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firstSheet="6" activeTab="9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25725"/>
</workbook>
</file>

<file path=xl/calcChain.xml><?xml version="1.0" encoding="utf-8"?>
<calcChain xmlns="http://schemas.openxmlformats.org/spreadsheetml/2006/main">
  <c r="H9" i="12"/>
  <c r="H8"/>
  <c r="H7"/>
  <c r="H6"/>
  <c r="H5"/>
  <c r="H4"/>
  <c r="H3"/>
  <c r="H2"/>
  <c r="H6" i="9"/>
  <c r="H5"/>
  <c r="G6"/>
  <c r="G5"/>
  <c r="G4"/>
  <c r="G3"/>
  <c r="G2"/>
  <c r="E6"/>
  <c r="E5"/>
  <c r="E4"/>
  <c r="E3"/>
  <c r="E2"/>
  <c r="H31" i="8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E29"/>
  <c r="E28"/>
  <c r="E26"/>
  <c r="E25"/>
  <c r="E24"/>
  <c r="E23"/>
  <c r="E22"/>
  <c r="E27" s="1"/>
  <c r="E19"/>
  <c r="E18"/>
  <c r="E17"/>
  <c r="E16"/>
  <c r="E14"/>
  <c r="E13"/>
  <c r="E12"/>
  <c r="E11"/>
  <c r="E9"/>
  <c r="E8"/>
  <c r="E7"/>
  <c r="E6"/>
  <c r="E5"/>
  <c r="E4"/>
  <c r="E3"/>
  <c r="E2"/>
  <c r="H21" i="7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E19"/>
  <c r="E18"/>
  <c r="E17"/>
  <c r="E14"/>
  <c r="E13"/>
  <c r="E12"/>
  <c r="E10"/>
  <c r="E9"/>
  <c r="E8"/>
  <c r="E7"/>
  <c r="E6"/>
  <c r="E5"/>
  <c r="E4"/>
  <c r="E3"/>
  <c r="E2"/>
  <c r="N55" i="2"/>
  <c r="Q55" s="1"/>
  <c r="O54"/>
  <c r="N54"/>
  <c r="O53"/>
  <c r="N53"/>
  <c r="Q53" s="1"/>
  <c r="O52"/>
  <c r="R52" s="1"/>
  <c r="N52"/>
  <c r="O51"/>
  <c r="N51"/>
  <c r="Q51" s="1"/>
  <c r="O50"/>
  <c r="R50" s="1"/>
  <c r="N50"/>
  <c r="N16"/>
  <c r="Q16" s="1"/>
  <c r="O15"/>
  <c r="N15"/>
  <c r="O14"/>
  <c r="N14"/>
  <c r="N20" s="1"/>
  <c r="O12"/>
  <c r="O16" s="1"/>
  <c r="R16" s="1"/>
  <c r="N12"/>
  <c r="R60"/>
  <c r="R59"/>
  <c r="Q59"/>
  <c r="R58"/>
  <c r="R55"/>
  <c r="R54"/>
  <c r="Q54"/>
  <c r="R53"/>
  <c r="Q52"/>
  <c r="R51"/>
  <c r="Q50"/>
  <c r="R49"/>
  <c r="Q49"/>
  <c r="R48"/>
  <c r="Q48"/>
  <c r="R47"/>
  <c r="Q47"/>
  <c r="R46"/>
  <c r="Q46"/>
  <c r="R45"/>
  <c r="Q45"/>
  <c r="R44"/>
  <c r="Q44"/>
  <c r="R43"/>
  <c r="Q43"/>
  <c r="R42"/>
  <c r="Q42"/>
  <c r="R41"/>
  <c r="Q41"/>
  <c r="R40"/>
  <c r="Q40"/>
  <c r="R39"/>
  <c r="Q39"/>
  <c r="R38"/>
  <c r="Q38"/>
  <c r="R37"/>
  <c r="Q37"/>
  <c r="R36"/>
  <c r="Q36"/>
  <c r="R35"/>
  <c r="Q35"/>
  <c r="R34"/>
  <c r="Q34"/>
  <c r="R33"/>
  <c r="Q33"/>
  <c r="R32"/>
  <c r="Q32"/>
  <c r="R31"/>
  <c r="Q31"/>
  <c r="R30"/>
  <c r="Q30"/>
  <c r="R29"/>
  <c r="Q29"/>
  <c r="R28"/>
  <c r="Q28"/>
  <c r="R27"/>
  <c r="Q27"/>
  <c r="R26"/>
  <c r="Q26"/>
  <c r="R25"/>
  <c r="Q25"/>
  <c r="R24"/>
  <c r="Q24"/>
  <c r="R23"/>
  <c r="Q23"/>
  <c r="R19"/>
  <c r="Q19"/>
  <c r="R18"/>
  <c r="Q18"/>
  <c r="R17"/>
  <c r="Q17"/>
  <c r="R15"/>
  <c r="Q15"/>
  <c r="R14"/>
  <c r="R13"/>
  <c r="Q13"/>
  <c r="R12"/>
  <c r="Q12"/>
  <c r="R11"/>
  <c r="Q11"/>
  <c r="R10"/>
  <c r="Q10"/>
  <c r="R9"/>
  <c r="Q9"/>
  <c r="R8"/>
  <c r="Q8"/>
  <c r="R7"/>
  <c r="Q7"/>
  <c r="R6"/>
  <c r="Q6"/>
  <c r="R5"/>
  <c r="Q5"/>
  <c r="R4"/>
  <c r="Q4"/>
  <c r="R3"/>
  <c r="Q3"/>
  <c r="E10" i="8" l="1"/>
  <c r="E15"/>
  <c r="E20"/>
  <c r="E21"/>
  <c r="E30"/>
  <c r="E31" s="1"/>
  <c r="E11" i="7"/>
  <c r="E20" s="1"/>
  <c r="E21" s="1"/>
  <c r="E15"/>
  <c r="Q20" i="2"/>
  <c r="N21"/>
  <c r="Q21" s="1"/>
  <c r="O20"/>
  <c r="Q14"/>
  <c r="E16" i="7" l="1"/>
  <c r="O21" i="2"/>
  <c r="R21" s="1"/>
  <c r="R20"/>
  <c r="L58" l="1"/>
  <c r="M55"/>
  <c r="K55"/>
  <c r="L54"/>
  <c r="K54"/>
  <c r="M54" s="1"/>
  <c r="M53"/>
  <c r="L53"/>
  <c r="K53"/>
  <c r="M52"/>
  <c r="L52"/>
  <c r="K52"/>
  <c r="L51"/>
  <c r="L63" s="1"/>
  <c r="K51"/>
  <c r="M51" s="1"/>
  <c r="L50"/>
  <c r="L56" s="1"/>
  <c r="L57" s="1"/>
  <c r="K50"/>
  <c r="K56" s="1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6"/>
  <c r="M25"/>
  <c r="M24"/>
  <c r="M23"/>
  <c r="M19"/>
  <c r="M18"/>
  <c r="M17"/>
  <c r="L16"/>
  <c r="L60" s="1"/>
  <c r="K16"/>
  <c r="M16" s="1"/>
  <c r="L15"/>
  <c r="L59" s="1"/>
  <c r="K15"/>
  <c r="K59" s="1"/>
  <c r="M14"/>
  <c r="L14"/>
  <c r="L20" s="1"/>
  <c r="L21" s="1"/>
  <c r="L61" s="1"/>
  <c r="K14"/>
  <c r="K20" s="1"/>
  <c r="M13"/>
  <c r="M12"/>
  <c r="M11"/>
  <c r="M10"/>
  <c r="M9"/>
  <c r="M8"/>
  <c r="M7"/>
  <c r="M6"/>
  <c r="M5"/>
  <c r="M4"/>
  <c r="M3"/>
  <c r="G25" i="5"/>
  <c r="G19"/>
  <c r="G28"/>
  <c r="G27"/>
  <c r="G15"/>
  <c r="F14" i="10"/>
  <c r="F12"/>
  <c r="F11"/>
  <c r="F10"/>
  <c r="F8"/>
  <c r="F7"/>
  <c r="F6"/>
  <c r="F5"/>
  <c r="F4"/>
  <c r="F3"/>
  <c r="F2"/>
  <c r="H27" i="6"/>
  <c r="H26"/>
  <c r="H25"/>
  <c r="H24"/>
  <c r="H23"/>
  <c r="H22"/>
  <c r="H20"/>
  <c r="H19"/>
  <c r="H18"/>
  <c r="H17"/>
  <c r="H16"/>
  <c r="H15"/>
  <c r="H14"/>
  <c r="H13"/>
  <c r="H12"/>
  <c r="H11"/>
  <c r="H9"/>
  <c r="H8"/>
  <c r="H7"/>
  <c r="H6"/>
  <c r="H5"/>
  <c r="H4"/>
  <c r="H3"/>
  <c r="H2"/>
  <c r="G21"/>
  <c r="G28" s="1"/>
  <c r="G10"/>
  <c r="G52" i="1"/>
  <c r="G24"/>
  <c r="G20"/>
  <c r="G14"/>
  <c r="G7"/>
  <c r="K21" i="2" l="1"/>
  <c r="M20"/>
  <c r="M56"/>
  <c r="K57"/>
  <c r="M57" s="1"/>
  <c r="K58"/>
  <c r="K60"/>
  <c r="L62"/>
  <c r="M15"/>
  <c r="M50"/>
  <c r="G29" i="5"/>
  <c r="F9" i="10"/>
  <c r="F13" s="1"/>
  <c r="F15" s="1"/>
  <c r="G22" i="1"/>
  <c r="F3" i="13"/>
  <c r="C2"/>
  <c r="K61" i="2" l="1"/>
  <c r="M21"/>
  <c r="G9" i="12"/>
  <c r="G8"/>
  <c r="G7"/>
  <c r="G6"/>
  <c r="G5"/>
  <c r="G4"/>
  <c r="G3"/>
  <c r="G2"/>
  <c r="B4" i="9"/>
  <c r="D26" i="8"/>
  <c r="D25"/>
  <c r="D24"/>
  <c r="D23"/>
  <c r="D22"/>
  <c r="D19"/>
  <c r="D18"/>
  <c r="D17"/>
  <c r="D16"/>
  <c r="D14"/>
  <c r="D13"/>
  <c r="D12"/>
  <c r="D11"/>
  <c r="D9"/>
  <c r="D8"/>
  <c r="D7"/>
  <c r="D6"/>
  <c r="D5"/>
  <c r="D4"/>
  <c r="D3"/>
  <c r="D2"/>
  <c r="D19" i="7"/>
  <c r="D18"/>
  <c r="D17"/>
  <c r="D14"/>
  <c r="D13"/>
  <c r="D12"/>
  <c r="D10"/>
  <c r="D9"/>
  <c r="D8"/>
  <c r="D7"/>
  <c r="D6"/>
  <c r="D4"/>
  <c r="D3"/>
  <c r="D2"/>
  <c r="C63" i="2"/>
  <c r="C62"/>
  <c r="N60"/>
  <c r="C60"/>
  <c r="B60"/>
  <c r="B5" i="9" s="1"/>
  <c r="N59" i="2"/>
  <c r="F3" i="9" s="1"/>
  <c r="C59" i="2"/>
  <c r="B59"/>
  <c r="B3" i="9" s="1"/>
  <c r="N58" i="2"/>
  <c r="C58"/>
  <c r="B58"/>
  <c r="B2" i="9" s="1"/>
  <c r="O63" i="2"/>
  <c r="H4" i="9"/>
  <c r="F4"/>
  <c r="O60" i="2"/>
  <c r="J55"/>
  <c r="H55"/>
  <c r="D29" i="8" s="1"/>
  <c r="I54" i="2"/>
  <c r="H54"/>
  <c r="J54" s="1"/>
  <c r="J53"/>
  <c r="I53"/>
  <c r="H53"/>
  <c r="I52"/>
  <c r="I63" s="1"/>
  <c r="H52"/>
  <c r="I51"/>
  <c r="H51"/>
  <c r="J51" s="1"/>
  <c r="I50"/>
  <c r="H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6"/>
  <c r="J25"/>
  <c r="J24"/>
  <c r="J23"/>
  <c r="J19"/>
  <c r="J18"/>
  <c r="J17"/>
  <c r="I16"/>
  <c r="H16"/>
  <c r="J16" s="1"/>
  <c r="I15"/>
  <c r="I59" s="1"/>
  <c r="H15"/>
  <c r="I14"/>
  <c r="I60" s="1"/>
  <c r="H14"/>
  <c r="J13"/>
  <c r="J12"/>
  <c r="J11"/>
  <c r="J10"/>
  <c r="J9"/>
  <c r="J8"/>
  <c r="J7"/>
  <c r="J6"/>
  <c r="J5"/>
  <c r="J4"/>
  <c r="J3"/>
  <c r="F4" i="13"/>
  <c r="C3"/>
  <c r="F5" i="9" l="1"/>
  <c r="Q60" i="2"/>
  <c r="F2" i="9"/>
  <c r="Q58" i="2"/>
  <c r="O58"/>
  <c r="H2" i="9" s="1"/>
  <c r="O59" i="2"/>
  <c r="H3" i="9" s="1"/>
  <c r="J14" i="2"/>
  <c r="J52"/>
  <c r="J15"/>
  <c r="H56"/>
  <c r="D28" i="8"/>
  <c r="D4" i="9"/>
  <c r="I62" i="2"/>
  <c r="O62"/>
  <c r="I56"/>
  <c r="H58"/>
  <c r="H59"/>
  <c r="H60"/>
  <c r="I58"/>
  <c r="D27" i="8"/>
  <c r="D10"/>
  <c r="D15"/>
  <c r="D20"/>
  <c r="D5" i="7"/>
  <c r="D15"/>
  <c r="D11"/>
  <c r="J56" i="2"/>
  <c r="H57"/>
  <c r="I20"/>
  <c r="J50"/>
  <c r="H20"/>
  <c r="D16" i="7" l="1"/>
  <c r="I21" i="2"/>
  <c r="D3" i="9"/>
  <c r="J57" i="2"/>
  <c r="D2" i="9"/>
  <c r="I57" i="2"/>
  <c r="D30" i="8"/>
  <c r="D20" i="7"/>
  <c r="D21" i="8"/>
  <c r="D5" i="9"/>
  <c r="J20" i="2"/>
  <c r="H21"/>
  <c r="D31" i="8" l="1"/>
  <c r="D21" i="7"/>
  <c r="H61" i="2"/>
  <c r="D6" i="9" s="1"/>
  <c r="I61" i="2"/>
  <c r="J21"/>
  <c r="F25" i="5" l="1"/>
  <c r="F19"/>
  <c r="F28"/>
  <c r="F27"/>
  <c r="F29" s="1"/>
  <c r="F15"/>
  <c r="E14" i="10"/>
  <c r="G14" s="1"/>
  <c r="E12"/>
  <c r="G12" s="1"/>
  <c r="E11"/>
  <c r="G11" s="1"/>
  <c r="E10"/>
  <c r="G10" s="1"/>
  <c r="E8"/>
  <c r="G8" s="1"/>
  <c r="E7"/>
  <c r="G7" s="1"/>
  <c r="E6"/>
  <c r="G6" s="1"/>
  <c r="E4"/>
  <c r="G4" s="1"/>
  <c r="E3"/>
  <c r="G3" s="1"/>
  <c r="F21" i="6"/>
  <c r="H21" s="1"/>
  <c r="F10"/>
  <c r="F52" i="1"/>
  <c r="F24"/>
  <c r="F20"/>
  <c r="F14"/>
  <c r="F7"/>
  <c r="E52"/>
  <c r="D52"/>
  <c r="C52"/>
  <c r="B52"/>
  <c r="E24"/>
  <c r="D24"/>
  <c r="C24"/>
  <c r="B24"/>
  <c r="F8" i="13"/>
  <c r="F7"/>
  <c r="C7"/>
  <c r="F6"/>
  <c r="C6"/>
  <c r="F5"/>
  <c r="C5"/>
  <c r="C4"/>
  <c r="E2" i="10" l="1"/>
  <c r="G2" s="1"/>
  <c r="H10" i="6"/>
  <c r="E5" i="10"/>
  <c r="G5" s="1"/>
  <c r="F28" i="6"/>
  <c r="H28" s="1"/>
  <c r="F22" i="1"/>
  <c r="B27" i="5"/>
  <c r="B6"/>
  <c r="B5"/>
  <c r="E9" i="10" l="1"/>
  <c r="G9" s="1"/>
  <c r="E55" i="2"/>
  <c r="F54"/>
  <c r="E54"/>
  <c r="F53"/>
  <c r="E53"/>
  <c r="F52"/>
  <c r="E52"/>
  <c r="F51"/>
  <c r="E51"/>
  <c r="F50"/>
  <c r="E50"/>
  <c r="F16"/>
  <c r="E16"/>
  <c r="C4" i="9" s="1"/>
  <c r="F15" i="2"/>
  <c r="E15"/>
  <c r="F14"/>
  <c r="E14"/>
  <c r="C25" i="5"/>
  <c r="C27" s="1"/>
  <c r="D9" i="1"/>
  <c r="F20" i="2" l="1"/>
  <c r="F21" s="1"/>
  <c r="F59"/>
  <c r="F63"/>
  <c r="E20"/>
  <c r="E21" s="1"/>
  <c r="E60"/>
  <c r="C5" i="9" s="1"/>
  <c r="E58" i="2"/>
  <c r="C2" i="9" s="1"/>
  <c r="F60" i="2"/>
  <c r="F58"/>
  <c r="F62"/>
  <c r="E13" i="10"/>
  <c r="G13" s="1"/>
  <c r="E59" i="2"/>
  <c r="C3" i="9" s="1"/>
  <c r="D25" i="5"/>
  <c r="D27" s="1"/>
  <c r="E19"/>
  <c r="E27" s="1"/>
  <c r="E9" i="1"/>
  <c r="E15" i="10" l="1"/>
  <c r="G15" s="1"/>
  <c r="B15" i="5"/>
  <c r="C15"/>
  <c r="D15"/>
  <c r="E15"/>
  <c r="D7" i="1" l="1"/>
  <c r="C28" i="5"/>
  <c r="B7" i="1"/>
  <c r="C7"/>
  <c r="E7"/>
  <c r="C10" i="6"/>
  <c r="C21"/>
  <c r="F56" i="2"/>
  <c r="F57" s="1"/>
  <c r="F61" s="1"/>
  <c r="E56"/>
  <c r="E57" s="1"/>
  <c r="E61" s="1"/>
  <c r="C6" i="9" s="1"/>
  <c r="C28" i="6" l="1"/>
  <c r="B14" i="1" l="1"/>
  <c r="B20"/>
  <c r="B22" l="1"/>
  <c r="D21" i="6" l="1"/>
  <c r="E21"/>
  <c r="E10"/>
  <c r="D10"/>
  <c r="B28" i="5" l="1"/>
  <c r="D20" i="1"/>
  <c r="C20"/>
  <c r="E20"/>
  <c r="C14"/>
  <c r="D14"/>
  <c r="E14"/>
  <c r="E28" i="5" l="1"/>
  <c r="D28"/>
  <c r="D28" i="6"/>
  <c r="E28"/>
  <c r="E29" i="5" l="1"/>
  <c r="C22" i="1"/>
  <c r="D22"/>
  <c r="E22"/>
  <c r="B6" i="10" l="1"/>
  <c r="C6"/>
  <c r="D6"/>
  <c r="B7"/>
  <c r="C7"/>
  <c r="D7"/>
  <c r="B8"/>
  <c r="C8"/>
  <c r="D8"/>
  <c r="B3"/>
  <c r="C3"/>
  <c r="D3"/>
  <c r="B4"/>
  <c r="C4"/>
  <c r="D4"/>
  <c r="I6" i="12" l="1"/>
  <c r="F2"/>
  <c r="I2"/>
  <c r="F3"/>
  <c r="I3"/>
  <c r="F4"/>
  <c r="I4"/>
  <c r="F5"/>
  <c r="I5"/>
  <c r="F6"/>
  <c r="F7"/>
  <c r="I7"/>
  <c r="F8"/>
  <c r="I8"/>
  <c r="F9"/>
  <c r="I9"/>
  <c r="E9"/>
  <c r="E8"/>
  <c r="E7"/>
  <c r="E6"/>
  <c r="E5"/>
  <c r="E4"/>
  <c r="E3"/>
  <c r="E2"/>
  <c r="B10" i="10"/>
  <c r="C10"/>
  <c r="D10"/>
  <c r="B11"/>
  <c r="C11"/>
  <c r="D11"/>
  <c r="B12"/>
  <c r="C12"/>
  <c r="D12"/>
  <c r="B14"/>
  <c r="C14"/>
  <c r="D14"/>
  <c r="I2" i="8" l="1"/>
  <c r="I3"/>
  <c r="I4"/>
  <c r="I5"/>
  <c r="I6"/>
  <c r="I7"/>
  <c r="I8"/>
  <c r="I9"/>
  <c r="I11"/>
  <c r="I12"/>
  <c r="I13"/>
  <c r="I14"/>
  <c r="I16"/>
  <c r="I17"/>
  <c r="I18"/>
  <c r="I19"/>
  <c r="I22"/>
  <c r="I23"/>
  <c r="I24"/>
  <c r="I25"/>
  <c r="I26"/>
  <c r="I29"/>
  <c r="F26"/>
  <c r="J26" s="1"/>
  <c r="F25"/>
  <c r="F24"/>
  <c r="F23"/>
  <c r="F22"/>
  <c r="F19"/>
  <c r="F18"/>
  <c r="F17"/>
  <c r="F16"/>
  <c r="F14"/>
  <c r="F13"/>
  <c r="F12"/>
  <c r="F11"/>
  <c r="F9"/>
  <c r="F8"/>
  <c r="F7"/>
  <c r="J7" s="1"/>
  <c r="F6"/>
  <c r="F5"/>
  <c r="F4"/>
  <c r="F3"/>
  <c r="F2"/>
  <c r="C29"/>
  <c r="C28"/>
  <c r="C26"/>
  <c r="C25"/>
  <c r="C24"/>
  <c r="C23"/>
  <c r="C22"/>
  <c r="C19"/>
  <c r="C18"/>
  <c r="C17"/>
  <c r="C16"/>
  <c r="C14"/>
  <c r="C13"/>
  <c r="C12"/>
  <c r="C11"/>
  <c r="C9"/>
  <c r="C8"/>
  <c r="C7"/>
  <c r="C6"/>
  <c r="C5"/>
  <c r="C4"/>
  <c r="C3"/>
  <c r="C2"/>
  <c r="B12"/>
  <c r="B13"/>
  <c r="B14"/>
  <c r="B29"/>
  <c r="B28"/>
  <c r="B23"/>
  <c r="B24"/>
  <c r="B25"/>
  <c r="B26"/>
  <c r="B22"/>
  <c r="B17"/>
  <c r="B18"/>
  <c r="B19"/>
  <c r="B16"/>
  <c r="B11"/>
  <c r="B3"/>
  <c r="B4"/>
  <c r="B5"/>
  <c r="B6"/>
  <c r="B7"/>
  <c r="B8"/>
  <c r="B9"/>
  <c r="B2"/>
  <c r="I2" i="7"/>
  <c r="I3"/>
  <c r="I4"/>
  <c r="I6"/>
  <c r="I7"/>
  <c r="I8"/>
  <c r="I9"/>
  <c r="I10"/>
  <c r="I12"/>
  <c r="I13"/>
  <c r="I14"/>
  <c r="I17"/>
  <c r="I18"/>
  <c r="I19"/>
  <c r="F19"/>
  <c r="F18"/>
  <c r="F17"/>
  <c r="F14"/>
  <c r="F13"/>
  <c r="F12"/>
  <c r="F10"/>
  <c r="F9"/>
  <c r="F8"/>
  <c r="F7"/>
  <c r="F6"/>
  <c r="F4"/>
  <c r="F3"/>
  <c r="F2"/>
  <c r="C19"/>
  <c r="C18"/>
  <c r="C17"/>
  <c r="C14"/>
  <c r="C13"/>
  <c r="C12"/>
  <c r="C10"/>
  <c r="C9"/>
  <c r="C8"/>
  <c r="C7"/>
  <c r="C6"/>
  <c r="C4"/>
  <c r="C3"/>
  <c r="C2"/>
  <c r="B18"/>
  <c r="B19"/>
  <c r="B17"/>
  <c r="B13"/>
  <c r="B14"/>
  <c r="B12"/>
  <c r="B7"/>
  <c r="B8"/>
  <c r="B9"/>
  <c r="B10"/>
  <c r="B6"/>
  <c r="B3"/>
  <c r="B4"/>
  <c r="B2"/>
  <c r="J5" i="8" l="1"/>
  <c r="J25"/>
  <c r="J17"/>
  <c r="J9"/>
  <c r="J19"/>
  <c r="J13"/>
  <c r="J8" i="7"/>
  <c r="J13"/>
  <c r="J6"/>
  <c r="J18" i="8"/>
  <c r="J6"/>
  <c r="J22"/>
  <c r="I20"/>
  <c r="J10" i="7"/>
  <c r="J9"/>
  <c r="J19"/>
  <c r="I11"/>
  <c r="F15" i="8"/>
  <c r="J23"/>
  <c r="B5" i="7"/>
  <c r="J4" i="8"/>
  <c r="J8"/>
  <c r="J24"/>
  <c r="I15" i="7"/>
  <c r="J14"/>
  <c r="B11"/>
  <c r="J4"/>
  <c r="B27" i="8"/>
  <c r="B15" i="7"/>
  <c r="F27" i="8"/>
  <c r="I27"/>
  <c r="I15"/>
  <c r="C27"/>
  <c r="I10"/>
  <c r="F10"/>
  <c r="F20"/>
  <c r="C10"/>
  <c r="C15"/>
  <c r="C20"/>
  <c r="J14"/>
  <c r="J3"/>
  <c r="J12"/>
  <c r="B20"/>
  <c r="B15"/>
  <c r="B10"/>
  <c r="J2"/>
  <c r="J11"/>
  <c r="J16"/>
  <c r="J2" i="7"/>
  <c r="I5"/>
  <c r="J17"/>
  <c r="C15"/>
  <c r="C11"/>
  <c r="J7"/>
  <c r="J12"/>
  <c r="J18"/>
  <c r="F11"/>
  <c r="F5"/>
  <c r="F15"/>
  <c r="J3"/>
  <c r="C5"/>
  <c r="F21" i="8" l="1"/>
  <c r="B21"/>
  <c r="C21"/>
  <c r="I21"/>
  <c r="C16" i="7"/>
  <c r="I16"/>
  <c r="F16"/>
  <c r="B16"/>
  <c r="B20"/>
  <c r="B21" s="1"/>
  <c r="I20"/>
  <c r="I21" s="1"/>
  <c r="J11"/>
  <c r="J20" i="8"/>
  <c r="J15" i="7"/>
  <c r="C30" i="8"/>
  <c r="C31" s="1"/>
  <c r="J27"/>
  <c r="B30"/>
  <c r="B31" s="1"/>
  <c r="J15"/>
  <c r="J10"/>
  <c r="C20" i="7"/>
  <c r="C21" s="1"/>
  <c r="F20"/>
  <c r="J5"/>
  <c r="F21" l="1"/>
  <c r="G8" s="1"/>
  <c r="J21" i="8"/>
  <c r="J16" i="7"/>
  <c r="G21"/>
  <c r="J20"/>
  <c r="I28" i="8"/>
  <c r="I30" s="1"/>
  <c r="I31" s="1"/>
  <c r="G13" i="7" l="1"/>
  <c r="G12"/>
  <c r="G10"/>
  <c r="G6"/>
  <c r="G3"/>
  <c r="J21"/>
  <c r="G7"/>
  <c r="G14"/>
  <c r="G2"/>
  <c r="G5"/>
  <c r="G15"/>
  <c r="G18"/>
  <c r="G16"/>
  <c r="G4"/>
  <c r="G17"/>
  <c r="G9"/>
  <c r="G11"/>
  <c r="C5" i="10"/>
  <c r="D5"/>
  <c r="B5"/>
  <c r="C2"/>
  <c r="D2"/>
  <c r="B2"/>
  <c r="C9" l="1"/>
  <c r="C13" s="1"/>
  <c r="C15" s="1"/>
  <c r="B9"/>
  <c r="B13" s="1"/>
  <c r="B15" s="1"/>
  <c r="D9"/>
  <c r="D13" l="1"/>
  <c r="D15" l="1"/>
  <c r="P49" i="2" l="1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6"/>
  <c r="P25"/>
  <c r="P24"/>
  <c r="P23"/>
  <c r="P19"/>
  <c r="P18"/>
  <c r="P17"/>
  <c r="P13"/>
  <c r="P12"/>
  <c r="P11"/>
  <c r="P10"/>
  <c r="P9"/>
  <c r="P8"/>
  <c r="P7"/>
  <c r="P6"/>
  <c r="P5"/>
  <c r="P4"/>
  <c r="P3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6"/>
  <c r="G25"/>
  <c r="G24"/>
  <c r="G23"/>
  <c r="G19"/>
  <c r="G18"/>
  <c r="G17"/>
  <c r="G13"/>
  <c r="G11"/>
  <c r="G10"/>
  <c r="G9"/>
  <c r="G8"/>
  <c r="G7"/>
  <c r="G6"/>
  <c r="G5"/>
  <c r="G4"/>
  <c r="G3"/>
  <c r="D24"/>
  <c r="D25"/>
  <c r="D26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23"/>
  <c r="D4"/>
  <c r="D5"/>
  <c r="D6"/>
  <c r="D7"/>
  <c r="D8"/>
  <c r="D9"/>
  <c r="D10"/>
  <c r="D11"/>
  <c r="D13"/>
  <c r="D17"/>
  <c r="D18"/>
  <c r="D19"/>
  <c r="D3"/>
  <c r="F28" i="8" l="1"/>
  <c r="P55" i="2" l="1"/>
  <c r="F29" i="8"/>
  <c r="J28"/>
  <c r="P51" i="2"/>
  <c r="P54"/>
  <c r="P53"/>
  <c r="P52"/>
  <c r="P50"/>
  <c r="P16"/>
  <c r="P14"/>
  <c r="P15"/>
  <c r="O56"/>
  <c r="R56" s="1"/>
  <c r="N56"/>
  <c r="Q56" s="1"/>
  <c r="O57" l="1"/>
  <c r="R57" s="1"/>
  <c r="F30" i="8"/>
  <c r="J30"/>
  <c r="J29"/>
  <c r="P21" i="2"/>
  <c r="P20"/>
  <c r="N57"/>
  <c r="Q57" s="1"/>
  <c r="P56"/>
  <c r="G12"/>
  <c r="D55"/>
  <c r="D54"/>
  <c r="F31" i="8" l="1"/>
  <c r="G13" s="1"/>
  <c r="P57" i="2"/>
  <c r="N61"/>
  <c r="F6" i="9" s="1"/>
  <c r="O61" i="2"/>
  <c r="G23" i="8"/>
  <c r="G14" i="2"/>
  <c r="G15"/>
  <c r="G50"/>
  <c r="G51"/>
  <c r="G52"/>
  <c r="G53"/>
  <c r="G54"/>
  <c r="G55"/>
  <c r="D14"/>
  <c r="D16"/>
  <c r="D12"/>
  <c r="D51"/>
  <c r="D53"/>
  <c r="D15"/>
  <c r="D50"/>
  <c r="D52"/>
  <c r="C56"/>
  <c r="C57" s="1"/>
  <c r="C61" s="1"/>
  <c r="B56"/>
  <c r="G6" i="8" l="1"/>
  <c r="G7"/>
  <c r="G19"/>
  <c r="G16"/>
  <c r="J31"/>
  <c r="G24"/>
  <c r="G28"/>
  <c r="G20"/>
  <c r="G2"/>
  <c r="G26"/>
  <c r="G18"/>
  <c r="G21"/>
  <c r="G10"/>
  <c r="G15"/>
  <c r="G25"/>
  <c r="G11"/>
  <c r="G8"/>
  <c r="G14"/>
  <c r="G17"/>
  <c r="G5"/>
  <c r="G12"/>
  <c r="G27"/>
  <c r="G4"/>
  <c r="G22"/>
  <c r="G3"/>
  <c r="G9"/>
  <c r="G31"/>
  <c r="G20" i="2"/>
  <c r="G56"/>
  <c r="G16"/>
  <c r="D21"/>
  <c r="D20"/>
  <c r="B57"/>
  <c r="D56"/>
  <c r="D57" l="1"/>
  <c r="B61"/>
  <c r="B6" i="9" s="1"/>
  <c r="G21" i="2"/>
  <c r="G57"/>
</calcChain>
</file>

<file path=xl/sharedStrings.xml><?xml version="1.0" encoding="utf-8"?>
<sst xmlns="http://schemas.openxmlformats.org/spreadsheetml/2006/main" count="475" uniqueCount="372">
  <si>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</si>
  <si>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</si>
  <si>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</si>
  <si>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</si>
  <si>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</si>
  <si>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</si>
  <si>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</si>
  <si>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</si>
  <si>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</si>
  <si>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</si>
  <si>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</si>
  <si>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</si>
  <si>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</si>
  <si>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</si>
  <si>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</si>
  <si>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</si>
  <si>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</si>
  <si>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</si>
  <si>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</si>
  <si>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</si>
  <si>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</si>
  <si>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</si>
  <si>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</si>
  <si>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</si>
  <si>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</si>
  <si>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</si>
  <si>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</si>
  <si>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</si>
  <si>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</si>
  <si>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</si>
  <si>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</si>
  <si>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</si>
  <si>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</si>
  <si>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</si>
  <si>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</si>
  <si>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</si>
  <si>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</si>
  <si>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</si>
  <si>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</si>
  <si>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</si>
  <si>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</si>
  <si>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</si>
  <si>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</si>
  <si>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</si>
  <si>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</si>
  <si>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</si>
  <si>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</si>
  <si>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</si>
  <si>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</si>
  <si>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</si>
  <si>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</si>
  <si>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</si>
  <si>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</si>
  <si>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</si>
  <si>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</si>
  <si>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</si>
  <si>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</si>
  <si>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</si>
  <si>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</si>
  <si>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</si>
  <si>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</si>
  <si>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</si>
  <si>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</si>
  <si>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</si>
  <si>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</si>
  <si>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</si>
  <si>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</si>
  <si>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</si>
  <si>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</si>
  <si>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</si>
  <si>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</si>
  <si>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</si>
  <si>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</si>
  <si>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</si>
  <si>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</si>
  <si>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</si>
  <si>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</si>
  <si>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</si>
  <si>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</si>
  <si>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</si>
  <si>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</si>
  <si>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</si>
  <si>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</si>
  <si>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</si>
  <si>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</si>
  <si>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</si>
  <si>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</si>
  <si>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</si>
  <si>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</si>
  <si>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</si>
  <si>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</si>
  <si>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</si>
  <si>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</si>
  <si>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</si>
  <si>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</si>
  <si>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</si>
  <si>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</si>
  <si>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</si>
  <si>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</si>
  <si>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</si>
  <si>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</si>
  <si>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</si>
  <si>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</si>
  <si>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</si>
  <si>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</si>
  <si>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</si>
  <si>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</si>
  <si>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</si>
  <si>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</si>
  <si>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</si>
  <si>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</si>
  <si>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</si>
  <si>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</si>
  <si>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</si>
  <si>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</si>
  <si>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</si>
  <si>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</si>
  <si>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</si>
  <si>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</si>
  <si>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</si>
  <si>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</si>
  <si>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</si>
  <si>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</si>
  <si>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</si>
  <si>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</si>
  <si>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</si>
  <si>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</si>
  <si>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</si>
  <si>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</si>
  <si>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</si>
  <si>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</si>
  <si>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</si>
  <si>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</si>
  <si>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</si>
  <si>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</si>
  <si>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</si>
  <si>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</si>
  <si>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</si>
  <si>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</si>
  <si>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</si>
  <si>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</si>
  <si>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</si>
  <si>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</si>
  <si>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</si>
  <si>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</si>
  <si>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</si>
  <si>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</si>
  <si>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</si>
  <si>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</si>
  <si>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</si>
  <si>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</si>
  <si>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</si>
  <si>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</si>
  <si>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</si>
  <si>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</si>
  <si>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</si>
  <si>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</si>
  <si>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</si>
  <si>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</si>
  <si>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</si>
  <si>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</si>
  <si>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</si>
  <si>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</si>
  <si>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</si>
  <si>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</si>
  <si>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</si>
  <si>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</si>
  <si>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</si>
  <si>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</si>
  <si>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</si>
  <si>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</si>
  <si>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</si>
  <si>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</si>
  <si>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</si>
  <si>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</si>
  <si>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</si>
  <si>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</si>
  <si>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</si>
  <si>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</si>
  <si>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</si>
  <si>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</si>
  <si>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</si>
  <si>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</si>
  <si>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</si>
  <si>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</si>
  <si>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</si>
  <si>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</si>
  <si>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</si>
  <si>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</si>
  <si>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</si>
  <si>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</si>
  <si>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</si>
  <si>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</si>
  <si>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</si>
  <si>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</si>
  <si>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</si>
  <si>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</si>
  <si>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</si>
  <si>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</si>
  <si>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</si>
  <si>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</si>
  <si>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</si>
  <si>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</si>
  <si>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</si>
  <si>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</si>
  <si>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</si>
  <si>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</si>
  <si>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</si>
  <si>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</si>
  <si>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</si>
  <si>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</si>
  <si>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</si>
  <si>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</si>
  <si>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</si>
  <si>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</si>
  <si>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</si>
  <si>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</si>
  <si>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</si>
  <si>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</si>
  <si>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</si>
  <si>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</si>
  <si>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</si>
  <si>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</si>
  <si>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</si>
  <si>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</si>
  <si>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</si>
  <si>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</si>
  <si>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</si>
  <si>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</si>
  <si>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</si>
  <si>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</si>
  <si>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</si>
  <si>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</si>
  <si>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</si>
  <si>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</si>
  <si>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</si>
  <si>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</si>
  <si>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</si>
  <si>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</si>
  <si>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</si>
  <si>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</si>
  <si>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</si>
  <si>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</si>
  <si>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</si>
  <si>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</si>
  <si>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</si>
  <si>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</si>
  <si>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</si>
  <si>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</si>
  <si>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</si>
  <si>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</si>
  <si>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</si>
  <si>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</si>
  <si>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</si>
  <si>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</si>
  <si>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</si>
  <si>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</si>
  <si>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</si>
  <si>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</si>
  <si>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</si>
  <si>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</si>
  <si>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</si>
  <si>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</si>
  <si>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</si>
  <si>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</si>
  <si>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</si>
  <si>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</si>
  <si>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</si>
  <si>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</si>
  <si>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</si>
  <si>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</si>
  <si>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</si>
  <si>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</si>
  <si>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</si>
  <si>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</si>
  <si>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</si>
  <si>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</si>
  <si>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</si>
  <si>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</si>
  <si>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</si>
  <si>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</si>
  <si>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</si>
  <si>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</si>
  <si>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</si>
  <si>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</si>
  <si>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</si>
  <si>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</si>
  <si>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</si>
  <si>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</si>
  <si>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</si>
  <si>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</si>
  <si>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</si>
  <si>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</si>
  <si>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</si>
  <si>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</si>
  <si>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</si>
  <si>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</si>
  <si>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</si>
  <si>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</si>
  <si>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</si>
  <si>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</si>
  <si>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</si>
  <si>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</si>
  <si>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</si>
  <si>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</si>
  <si>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</si>
  <si>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</si>
  <si>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</si>
  <si>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</si>
  <si>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</si>
  <si>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</si>
  <si>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</si>
  <si>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</si>
  <si>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</si>
  <si>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</si>
  <si>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</si>
  <si>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</si>
  <si>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</si>
  <si>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</si>
  <si>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</si>
  <si>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</si>
  <si>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</si>
  <si>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</si>
  <si>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</si>
  <si>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</si>
  <si>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</si>
  <si>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</si>
  <si>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</si>
  <si>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</si>
  <si>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</si>
  <si>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</si>
  <si>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</si>
  <si>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</si>
  <si>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</si>
  <si>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</si>
  <si>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</si>
  <si>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</si>
  <si>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</si>
  <si>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</si>
  <si>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</si>
  <si>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</si>
  <si>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</si>
  <si>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</si>
  <si>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</si>
  <si>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</si>
  <si>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</si>
  <si>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Saldo naturale</t>
  </si>
  <si>
    <t>Saldo migratorio</t>
  </si>
  <si>
    <t>Verifica</t>
  </si>
  <si>
    <t>Fondo a copertura residui perenti</t>
  </si>
  <si>
    <t>105 TRASFERIMENTI DI TRIBUTI</t>
  </si>
  <si>
    <t>106 FONDI PEREQUATIVI</t>
  </si>
  <si>
    <t>12.5</t>
  </si>
  <si>
    <t>Quota disavanzo derivante da debito autorizzato e non contratto</t>
  </si>
  <si>
    <t xml:space="preserve">Tutela della salute </t>
  </si>
  <si>
    <t>FPV per spese in conto capitale (*)</t>
  </si>
  <si>
    <t>(*) include FPV per incremento attività finanziarie</t>
  </si>
  <si>
    <t>Media Regioni</t>
  </si>
  <si>
    <t xml:space="preserve">     di cui da tributi destinati al finanziamento della sanità</t>
  </si>
  <si>
    <t xml:space="preserve">    di cui enti finanziati dal ssn</t>
  </si>
  <si>
    <t xml:space="preserve">    di cui altre amministrazioni pubbliche</t>
  </si>
  <si>
    <t>Anno</t>
  </si>
  <si>
    <t>Regione</t>
  </si>
  <si>
    <t>Popolazione al 1° gennaio</t>
  </si>
  <si>
    <t xml:space="preserve">     di cui da trasferimenti e contributi da amm.ni pubbliche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</si>
  <si>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</si>
  <si>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</si>
  <si>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</si>
  <si>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</si>
  <si>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</si>
  <si>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Riscossioni 2020</t>
  </si>
  <si>
    <t>Pagamenti 2020</t>
  </si>
</sst>
</file>

<file path=xl/styles.xml><?xml version="1.0" encoding="utf-8"?>
<styleSheet xmlns="http://schemas.openxmlformats.org/spreadsheetml/2006/main">
  <numFmts count="5">
    <numFmt numFmtId="164" formatCode="_-* #,##0.00\ _€_-;\-* #,##0.00\ _€_-;_-* &quot;-&quot;??\ _€_-;_-@_-"/>
    <numFmt numFmtId="165" formatCode="_-* #,##0_-;\-* #,##0_-;_-* &quot;-&quot;??_-;_-@_-"/>
    <numFmt numFmtId="166" formatCode="0.0"/>
    <numFmt numFmtId="167" formatCode="#,##0_ ;\-#,##0\ "/>
    <numFmt numFmtId="168" formatCode="#,##0.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16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6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5" fontId="0" fillId="0" borderId="1" xfId="0" applyNumberFormat="1" applyBorder="1"/>
    <xf numFmtId="166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0" xfId="0" applyNumberFormat="1" applyBorder="1"/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/>
    <xf numFmtId="0" fontId="0" fillId="0" borderId="4" xfId="0" applyBorder="1" applyAlignment="1">
      <alignment horizontal="center"/>
    </xf>
    <xf numFmtId="165" fontId="0" fillId="0" borderId="4" xfId="0" applyNumberFormat="1" applyBorder="1"/>
    <xf numFmtId="165" fontId="0" fillId="0" borderId="5" xfId="0" applyNumberFormat="1" applyBorder="1"/>
    <xf numFmtId="0" fontId="0" fillId="0" borderId="0" xfId="0" quotePrefix="1" applyAlignment="1">
      <alignment horizontal="center"/>
    </xf>
    <xf numFmtId="165" fontId="0" fillId="0" borderId="0" xfId="1" applyNumberFormat="1" applyFont="1"/>
    <xf numFmtId="165" fontId="0" fillId="0" borderId="0" xfId="0" applyNumberFormat="1"/>
    <xf numFmtId="165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5" fontId="1" fillId="0" borderId="0" xfId="0" applyNumberFormat="1" applyFont="1"/>
    <xf numFmtId="166" fontId="1" fillId="0" borderId="0" xfId="0" applyNumberFormat="1" applyFont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" fillId="0" borderId="0" xfId="1" applyNumberFormat="1" applyFont="1"/>
    <xf numFmtId="0" fontId="6" fillId="0" borderId="0" xfId="0" applyFont="1"/>
    <xf numFmtId="165" fontId="6" fillId="0" borderId="0" xfId="0" applyNumberFormat="1" applyFont="1"/>
    <xf numFmtId="166" fontId="6" fillId="0" borderId="0" xfId="0" applyNumberFormat="1" applyFont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5" fontId="2" fillId="0" borderId="1" xfId="0" applyNumberFormat="1" applyFont="1" applyBorder="1"/>
    <xf numFmtId="166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5" fontId="0" fillId="4" borderId="0" xfId="0" applyNumberFormat="1" applyFill="1"/>
    <xf numFmtId="166" fontId="0" fillId="4" borderId="0" xfId="0" applyNumberFormat="1" applyFill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5" fontId="0" fillId="4" borderId="0" xfId="0" applyNumberFormat="1" applyFont="1" applyFill="1"/>
    <xf numFmtId="166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7" fontId="0" fillId="4" borderId="0" xfId="0" applyNumberFormat="1" applyFont="1" applyFill="1"/>
    <xf numFmtId="167" fontId="3" fillId="4" borderId="0" xfId="1" applyNumberFormat="1" applyFont="1" applyFill="1"/>
    <xf numFmtId="167" fontId="6" fillId="0" borderId="0" xfId="0" applyNumberFormat="1" applyFont="1"/>
    <xf numFmtId="167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7" fontId="0" fillId="4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7" fontId="1" fillId="4" borderId="0" xfId="0" applyNumberFormat="1" applyFont="1" applyFill="1" applyAlignment="1">
      <alignment horizontal="center" vertical="center"/>
    </xf>
    <xf numFmtId="167" fontId="1" fillId="6" borderId="0" xfId="1" applyNumberFormat="1" applyFont="1" applyFill="1" applyAlignment="1">
      <alignment horizontal="center" vertical="center"/>
    </xf>
    <xf numFmtId="167" fontId="9" fillId="4" borderId="0" xfId="0" applyNumberFormat="1" applyFont="1" applyFill="1" applyAlignment="1">
      <alignment horizontal="center" vertical="center"/>
    </xf>
    <xf numFmtId="167" fontId="9" fillId="6" borderId="0" xfId="0" applyNumberFormat="1" applyFont="1" applyFill="1" applyAlignment="1">
      <alignment horizontal="center" vertical="center"/>
    </xf>
    <xf numFmtId="167" fontId="9" fillId="4" borderId="0" xfId="1" applyNumberFormat="1" applyFont="1" applyFill="1" applyAlignment="1">
      <alignment horizontal="center" vertical="center"/>
    </xf>
    <xf numFmtId="167" fontId="9" fillId="6" borderId="0" xfId="1" applyNumberFormat="1" applyFont="1" applyFill="1" applyAlignment="1">
      <alignment horizontal="center" vertical="center"/>
    </xf>
    <xf numFmtId="167" fontId="1" fillId="6" borderId="0" xfId="0" applyNumberFormat="1" applyFont="1" applyFill="1" applyAlignment="1">
      <alignment horizontal="center" vertical="center"/>
    </xf>
    <xf numFmtId="167" fontId="6" fillId="4" borderId="0" xfId="0" quotePrefix="1" applyNumberFormat="1" applyFont="1" applyFill="1" applyAlignment="1">
      <alignment horizontal="center" vertical="center"/>
    </xf>
    <xf numFmtId="167" fontId="6" fillId="6" borderId="0" xfId="1" quotePrefix="1" applyNumberFormat="1" applyFont="1" applyFill="1" applyAlignment="1">
      <alignment horizontal="center" vertical="center"/>
    </xf>
    <xf numFmtId="167" fontId="6" fillId="6" borderId="0" xfId="0" quotePrefix="1" applyNumberFormat="1" applyFont="1" applyFill="1" applyAlignment="1">
      <alignment horizontal="center" vertical="center"/>
    </xf>
    <xf numFmtId="167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/>
    <xf numFmtId="0" fontId="0" fillId="0" borderId="0" xfId="0" applyFill="1" applyBorder="1"/>
    <xf numFmtId="0" fontId="0" fillId="0" borderId="6" xfId="0" applyBorder="1" applyAlignment="1">
      <alignment horizontal="center" vertical="center" wrapText="1"/>
    </xf>
    <xf numFmtId="168" fontId="0" fillId="0" borderId="0" xfId="0" applyNumberFormat="1" applyFill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/>
    <xf numFmtId="0" fontId="0" fillId="0" borderId="1" xfId="0" applyBorder="1" applyAlignment="1">
      <alignment wrapText="1"/>
    </xf>
    <xf numFmtId="0" fontId="0" fillId="0" borderId="2" xfId="0" applyBorder="1"/>
    <xf numFmtId="168" fontId="0" fillId="4" borderId="0" xfId="0" applyNumberFormat="1" applyFill="1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166" fontId="0" fillId="0" borderId="5" xfId="0" applyNumberFormat="1" applyBorder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50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18806717062543146"/>
          <c:y val="5.4234059497589075E-2"/>
          <c:w val="0.80361249792401179"/>
          <c:h val="0.699937827610976"/>
        </c:manualLayout>
      </c:layout>
      <c:lineChart>
        <c:grouping val="standard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Risultato_amministrazione!$B$3:$G$3</c:f>
              <c:numCache>
                <c:formatCode>#,##0</c:formatCode>
                <c:ptCount val="6"/>
                <c:pt idx="0">
                  <c:v>5934295804.2600002</c:v>
                </c:pt>
                <c:pt idx="1">
                  <c:v>6607396294.4899998</c:v>
                </c:pt>
                <c:pt idx="2">
                  <c:v>5669422865.1599998</c:v>
                </c:pt>
                <c:pt idx="3">
                  <c:v>5489885012.7600002</c:v>
                </c:pt>
                <c:pt idx="4">
                  <c:v>4427240947.6499996</c:v>
                </c:pt>
                <c:pt idx="5">
                  <c:v>4230879123.25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Risultato_amministrazione!$B$4:$G$4</c:f>
              <c:numCache>
                <c:formatCode>#,##0</c:formatCode>
                <c:ptCount val="6"/>
                <c:pt idx="0">
                  <c:v>7220916254.2299995</c:v>
                </c:pt>
                <c:pt idx="1">
                  <c:v>7364658412.0200005</c:v>
                </c:pt>
                <c:pt idx="2">
                  <c:v>5711293653.3500004</c:v>
                </c:pt>
                <c:pt idx="3">
                  <c:v>5542102769.0900002</c:v>
                </c:pt>
                <c:pt idx="4">
                  <c:v>4429747838.71</c:v>
                </c:pt>
                <c:pt idx="5">
                  <c:v>4000555121.77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marker val="1"/>
        <c:axId val="94918528"/>
        <c:axId val="94920064"/>
      </c:lineChart>
      <c:catAx>
        <c:axId val="94918528"/>
        <c:scaling>
          <c:orientation val="minMax"/>
        </c:scaling>
        <c:axPos val="b"/>
        <c:numFmt formatCode="General" sourceLinked="1"/>
        <c:majorTickMark val="none"/>
        <c:tickLblPos val="nextTo"/>
        <c:crossAx val="94920064"/>
        <c:crosses val="autoZero"/>
        <c:auto val="1"/>
        <c:lblAlgn val="ctr"/>
        <c:lblOffset val="100"/>
      </c:catAx>
      <c:valAx>
        <c:axId val="94920064"/>
        <c:scaling>
          <c:orientation val="minMax"/>
          <c:max val="7500000000"/>
          <c:min val="4000000000"/>
        </c:scaling>
        <c:axPos val="l"/>
        <c:numFmt formatCode="#,##0" sourceLinked="1"/>
        <c:majorTickMark val="none"/>
        <c:tickLblPos val="nextTo"/>
        <c:crossAx val="94918528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spPr>
        <a:noFill/>
        <a:ln>
          <a:noFill/>
        </a:ln>
      </c:spPr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7.0247043861785319E-2"/>
          <c:y val="1.4773776546629733E-2"/>
          <c:w val="0.95679921453118866"/>
          <c:h val="0.79879366879694058"/>
        </c:manualLayout>
      </c:layout>
      <c:barChart>
        <c:barDir val="col"/>
        <c:grouping val="clustered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Piano_indicatori!$D$31:$H$31</c:f>
              <c:numCache>
                <c:formatCode>0.00</c:formatCode>
                <c:ptCount val="5"/>
                <c:pt idx="0">
                  <c:v>161.80000000000001</c:v>
                </c:pt>
                <c:pt idx="1">
                  <c:v>116.458</c:v>
                </c:pt>
                <c:pt idx="2">
                  <c:v>145.44999999999999</c:v>
                </c:pt>
                <c:pt idx="3">
                  <c:v>156.36000000000001</c:v>
                </c:pt>
                <c:pt idx="4">
                  <c:v>96.74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Piano_indicatori!$D$93:$H$93</c:f>
              <c:numCache>
                <c:formatCode>0.00</c:formatCode>
                <c:ptCount val="5"/>
                <c:pt idx="0">
                  <c:v>251.09759762080674</c:v>
                </c:pt>
                <c:pt idx="1">
                  <c:v>226.20399780332346</c:v>
                </c:pt>
                <c:pt idx="2">
                  <c:v>238.9835900012705</c:v>
                </c:pt>
                <c:pt idx="3">
                  <c:v>254.8769995879359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axId val="73602944"/>
        <c:axId val="73604480"/>
      </c:barChart>
      <c:catAx>
        <c:axId val="73602944"/>
        <c:scaling>
          <c:orientation val="minMax"/>
        </c:scaling>
        <c:axPos val="b"/>
        <c:numFmt formatCode="General" sourceLinked="1"/>
        <c:majorTickMark val="none"/>
        <c:tickLblPos val="nextTo"/>
        <c:spPr>
          <a:ln>
            <a:noFill/>
          </a:ln>
        </c:spPr>
        <c:crossAx val="73604480"/>
        <c:crosses val="autoZero"/>
        <c:auto val="1"/>
        <c:lblAlgn val="ctr"/>
        <c:lblOffset val="100"/>
      </c:catAx>
      <c:valAx>
        <c:axId val="73604480"/>
        <c:scaling>
          <c:orientation val="minMax"/>
        </c:scaling>
        <c:delete val="1"/>
        <c:axPos val="l"/>
        <c:numFmt formatCode="0" sourceLinked="0"/>
        <c:majorTickMark val="none"/>
        <c:tickLblPos val="none"/>
        <c:crossAx val="73602944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2.1600392734413748E-2"/>
          <c:y val="3.6934441366574581E-3"/>
          <c:w val="0.95679921453118866"/>
          <c:h val="0.79879366879694058"/>
        </c:manualLayout>
      </c:layout>
      <c:barChart>
        <c:barDir val="col"/>
        <c:grouping val="clustered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dLbls>
            <c:dLbl>
              <c:idx val="1"/>
              <c:layout>
                <c:manualLayout>
                  <c:x val="-1.1782032400589141E-2"/>
                  <c:y val="0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Piano_indicatori!$D$47:$H$47</c:f>
              <c:numCache>
                <c:formatCode>0.00</c:formatCode>
                <c:ptCount val="5"/>
                <c:pt idx="0">
                  <c:v>52.65</c:v>
                </c:pt>
                <c:pt idx="1">
                  <c:v>-1.71</c:v>
                </c:pt>
                <c:pt idx="2">
                  <c:v>-10.63</c:v>
                </c:pt>
                <c:pt idx="3">
                  <c:v>-17.100000000000001</c:v>
                </c:pt>
                <c:pt idx="4">
                  <c:v>-16.54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dLbls>
            <c:dLbl>
              <c:idx val="1"/>
              <c:layout>
                <c:manualLayout>
                  <c:x val="1.5709376534118805E-2"/>
                  <c:y val="1.10803324099723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782032400589101E-2"/>
                  <c:y val="1.108033240997230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Piano_indicatori!$D$94:$H$94</c:f>
              <c:numCache>
                <c:formatCode>0.00</c:formatCode>
                <c:ptCount val="5"/>
                <c:pt idx="0">
                  <c:v>5.1523529411764697</c:v>
                </c:pt>
                <c:pt idx="1">
                  <c:v>-0.42166666666666625</c:v>
                </c:pt>
                <c:pt idx="2">
                  <c:v>-3.3627777777777768</c:v>
                </c:pt>
                <c:pt idx="3">
                  <c:v>-6.1844444444444466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axId val="73623808"/>
        <c:axId val="73637888"/>
      </c:barChart>
      <c:catAx>
        <c:axId val="73623808"/>
        <c:scaling>
          <c:orientation val="minMax"/>
        </c:scaling>
        <c:axPos val="b"/>
        <c:numFmt formatCode="General" sourceLinked="1"/>
        <c:majorTickMark val="none"/>
        <c:tickLblPos val="nextTo"/>
        <c:spPr>
          <a:ln>
            <a:noFill/>
          </a:ln>
        </c:spPr>
        <c:crossAx val="73637888"/>
        <c:crosses val="autoZero"/>
        <c:auto val="1"/>
        <c:lblAlgn val="ctr"/>
        <c:lblOffset val="100"/>
      </c:catAx>
      <c:valAx>
        <c:axId val="73637888"/>
        <c:scaling>
          <c:orientation val="minMax"/>
          <c:min val="-20"/>
        </c:scaling>
        <c:delete val="1"/>
        <c:axPos val="l"/>
        <c:numFmt formatCode="0" sourceLinked="0"/>
        <c:majorTickMark val="none"/>
        <c:tickLblPos val="none"/>
        <c:crossAx val="73623808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2.1600392734413748E-2"/>
          <c:y val="3.6934441366574581E-3"/>
          <c:w val="0.95679921453118866"/>
          <c:h val="0.79879366879694058"/>
        </c:manualLayout>
      </c:layout>
      <c:barChart>
        <c:barDir val="col"/>
        <c:grouping val="clustered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Piano_indicatori!$D$52:$H$52</c:f>
              <c:numCache>
                <c:formatCode>0.00</c:formatCode>
                <c:ptCount val="5"/>
                <c:pt idx="0">
                  <c:v>536.87</c:v>
                </c:pt>
                <c:pt idx="1">
                  <c:v>524.02719999999999</c:v>
                </c:pt>
                <c:pt idx="2">
                  <c:v>538.15</c:v>
                </c:pt>
                <c:pt idx="3">
                  <c:v>969.47471515866562</c:v>
                </c:pt>
                <c:pt idx="4">
                  <c:v>936.18003183352459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Piano_indicatori!$D$95:$H$95</c:f>
              <c:numCache>
                <c:formatCode>0.00</c:formatCode>
                <c:ptCount val="5"/>
                <c:pt idx="0">
                  <c:v>1497.6574370098967</c:v>
                </c:pt>
                <c:pt idx="1">
                  <c:v>1511.4496314108096</c:v>
                </c:pt>
                <c:pt idx="2">
                  <c:v>1479.4297544978085</c:v>
                </c:pt>
                <c:pt idx="3">
                  <c:v>1400.855257564868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axId val="73648768"/>
        <c:axId val="74252672"/>
      </c:barChart>
      <c:catAx>
        <c:axId val="73648768"/>
        <c:scaling>
          <c:orientation val="minMax"/>
        </c:scaling>
        <c:axPos val="b"/>
        <c:numFmt formatCode="General" sourceLinked="1"/>
        <c:majorTickMark val="none"/>
        <c:tickLblPos val="nextTo"/>
        <c:spPr>
          <a:ln>
            <a:noFill/>
          </a:ln>
        </c:spPr>
        <c:crossAx val="74252672"/>
        <c:crosses val="autoZero"/>
        <c:auto val="1"/>
        <c:lblAlgn val="ctr"/>
        <c:lblOffset val="100"/>
      </c:catAx>
      <c:valAx>
        <c:axId val="74252672"/>
        <c:scaling>
          <c:orientation val="minMax"/>
          <c:max val="1700"/>
          <c:min val="0"/>
        </c:scaling>
        <c:delete val="1"/>
        <c:axPos val="l"/>
        <c:numFmt formatCode="0" sourceLinked="0"/>
        <c:majorTickMark val="none"/>
        <c:tickLblPos val="none"/>
        <c:crossAx val="73648768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77064321815794445"/>
          <c:h val="0.9494655159537152"/>
        </c:manualLayout>
      </c:layout>
      <c:barChart>
        <c:barDir val="bar"/>
        <c:grouping val="clustered"/>
        <c:ser>
          <c:idx val="1"/>
          <c:order val="0"/>
          <c:tx>
            <c:strRef>
              <c:f>Popolazione!$A$1</c:f>
              <c:strCache>
                <c:ptCount val="1"/>
                <c:pt idx="0">
                  <c:v>Anno</c:v>
                </c:pt>
              </c:strCache>
            </c:strRef>
          </c:tx>
          <c:spPr>
            <a:solidFill>
              <a:srgbClr val="00B050"/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Popolazione!$A$2:$A$8</c:f>
              <c:numCache>
                <c:formatCode>General</c:formatCode>
                <c:ptCount val="7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numCache>
            </c:numRef>
          </c:cat>
          <c:val>
            <c:numRef>
              <c:f>Popolazione!$B$2:$B$8</c:f>
              <c:numCache>
                <c:formatCode>#,##0</c:formatCode>
                <c:ptCount val="7"/>
                <c:pt idx="0">
                  <c:v>4869830</c:v>
                </c:pt>
                <c:pt idx="1">
                  <c:v>4879133</c:v>
                </c:pt>
                <c:pt idx="2">
                  <c:v>4884590</c:v>
                </c:pt>
                <c:pt idx="3">
                  <c:v>4880936</c:v>
                </c:pt>
                <c:pt idx="4">
                  <c:v>4883373</c:v>
                </c:pt>
                <c:pt idx="5">
                  <c:v>4890648</c:v>
                </c:pt>
                <c:pt idx="6">
                  <c:v>4902694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axId val="74384512"/>
        <c:axId val="74386048"/>
      </c:barChart>
      <c:catAx>
        <c:axId val="74384512"/>
        <c:scaling>
          <c:orientation val="minMax"/>
        </c:scaling>
        <c:axPos val="l"/>
        <c:numFmt formatCode="General" sourceLinked="1"/>
        <c:maj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74386048"/>
        <c:crosses val="autoZero"/>
        <c:auto val="1"/>
        <c:lblAlgn val="ctr"/>
        <c:lblOffset val="100"/>
      </c:catAx>
      <c:valAx>
        <c:axId val="74386048"/>
        <c:scaling>
          <c:orientation val="minMax"/>
          <c:max val="4950000"/>
          <c:min val="0"/>
        </c:scaling>
        <c:delete val="1"/>
        <c:axPos val="b"/>
        <c:numFmt formatCode="#,##0" sourceLinked="1"/>
        <c:majorTickMark val="none"/>
        <c:tickLblPos val="none"/>
        <c:crossAx val="74384512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</c:chart>
  <c:spPr>
    <a:noFill/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barChart>
        <c:barDir val="col"/>
        <c:grouping val="stacked"/>
        <c:ser>
          <c:idx val="1"/>
          <c:order val="0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Risultato_amministrazione!$B$8:$G$8</c:f>
              <c:numCache>
                <c:formatCode>#,##0</c:formatCode>
                <c:ptCount val="6"/>
                <c:pt idx="0">
                  <c:v>87325824.859999999</c:v>
                </c:pt>
                <c:pt idx="1">
                  <c:v>255924578.87</c:v>
                </c:pt>
                <c:pt idx="2">
                  <c:v>441001607.82999998</c:v>
                </c:pt>
                <c:pt idx="3">
                  <c:v>522161970.29000002</c:v>
                </c:pt>
                <c:pt idx="4">
                  <c:v>594030815.08000004</c:v>
                </c:pt>
                <c:pt idx="5">
                  <c:v>582458447.11000001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ser>
          <c:idx val="3"/>
          <c:order val="1"/>
          <c:tx>
            <c:strRef>
              <c:f>Risultato_amministrazione!$A$9</c:f>
              <c:strCache>
                <c:ptCount val="1"/>
                <c:pt idx="0">
                  <c:v>Fondo a copertura residui perenti</c:v>
                </c:pt>
              </c:strCache>
            </c:strRef>
          </c:tx>
          <c:spPr>
            <a:solidFill>
              <a:srgbClr val="0070C0"/>
            </a:solidFill>
          </c:spPr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Risultato_amministrazione!$B$9:$G$9</c:f>
              <c:numCache>
                <c:formatCode>#,##0</c:formatCode>
                <c:ptCount val="6"/>
                <c:pt idx="0">
                  <c:v>62518700.780000001</c:v>
                </c:pt>
                <c:pt idx="1">
                  <c:v>52014056.200000003</c:v>
                </c:pt>
                <c:pt idx="2">
                  <c:v>82441976.519999996</c:v>
                </c:pt>
                <c:pt idx="3">
                  <c:v>46658340.230000004</c:v>
                </c:pt>
                <c:pt idx="4">
                  <c:v>29786147.170000002</c:v>
                </c:pt>
                <c:pt idx="5">
                  <c:v>28970521.48</c:v>
                </c:pt>
              </c:numCache>
            </c:numRef>
          </c:val>
        </c:ser>
        <c:ser>
          <c:idx val="0"/>
          <c:order val="2"/>
          <c:tx>
            <c:strRef>
              <c:f>Risultato_amministrazione!$A$10</c:f>
              <c:strCache>
                <c:ptCount val="1"/>
                <c:pt idx="0">
                  <c:v>Fondo anticipazioni liquidità DL35/2013</c:v>
                </c:pt>
              </c:strCache>
            </c:strRef>
          </c:tx>
          <c:spPr>
            <a:solidFill>
              <a:srgbClr val="00B050"/>
            </a:solidFill>
          </c:spPr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Risultato_amministrazione!$B$10:$G$10</c:f>
              <c:numCache>
                <c:formatCode>#,##0</c:formatCode>
                <c:ptCount val="6"/>
                <c:pt idx="0">
                  <c:v>1571298729.6500001</c:v>
                </c:pt>
                <c:pt idx="1">
                  <c:v>1532844891.8399999</c:v>
                </c:pt>
                <c:pt idx="2">
                  <c:v>1493566894.6400001</c:v>
                </c:pt>
                <c:pt idx="3">
                  <c:v>1453444604.9200001</c:v>
                </c:pt>
                <c:pt idx="4">
                  <c:v>1412457346.9100001</c:v>
                </c:pt>
                <c:pt idx="5">
                  <c:v>1370583886.6300001</c:v>
                </c:pt>
              </c:numCache>
            </c:numRef>
          </c:val>
        </c:ser>
        <c:ser>
          <c:idx val="4"/>
          <c:order val="3"/>
          <c:tx>
            <c:strRef>
              <c:f>Risultato_amministrazione!$A$52</c:f>
              <c:strCache>
                <c:ptCount val="1"/>
                <c:pt idx="0">
                  <c:v>Altri accantonamenti</c:v>
                </c:pt>
              </c:strCache>
            </c:strRef>
          </c:tx>
          <c:spPr>
            <a:solidFill>
              <a:srgbClr val="00B0F0"/>
            </a:solidFill>
          </c:spPr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Risultato_amministrazione!$B$52:$G$52</c:f>
              <c:numCache>
                <c:formatCode>#,##0</c:formatCode>
                <c:ptCount val="6"/>
                <c:pt idx="0">
                  <c:v>268519757.36000001</c:v>
                </c:pt>
                <c:pt idx="1">
                  <c:v>122740646.34</c:v>
                </c:pt>
                <c:pt idx="2">
                  <c:v>90119757.359999999</c:v>
                </c:pt>
                <c:pt idx="3">
                  <c:v>104810180.87999998</c:v>
                </c:pt>
                <c:pt idx="4">
                  <c:v>102373687.54000001</c:v>
                </c:pt>
                <c:pt idx="5">
                  <c:v>100641229.48</c:v>
                </c:pt>
              </c:numCache>
            </c:numRef>
          </c:val>
        </c:ser>
        <c:overlap val="100"/>
        <c:axId val="111202304"/>
        <c:axId val="111205760"/>
      </c:barChart>
      <c:lineChart>
        <c:grouping val="standard"/>
        <c:ser>
          <c:idx val="2"/>
          <c:order val="4"/>
          <c:tx>
            <c:strRef>
              <c:f>Risultato_amministrazione!$A$24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Risultato_amministrazione!$B$24:$G$24</c:f>
              <c:numCache>
                <c:formatCode>0.0</c:formatCode>
                <c:ptCount val="6"/>
                <c:pt idx="0">
                  <c:v>1.471544859582365</c:v>
                </c:pt>
                <c:pt idx="1">
                  <c:v>3.8733045130563624</c:v>
                </c:pt>
                <c:pt idx="2">
                  <c:v>7.778597898210478</c:v>
                </c:pt>
                <c:pt idx="3">
                  <c:v>9.5113462135609801</c:v>
                </c:pt>
                <c:pt idx="4">
                  <c:v>13.417630124588417</c:v>
                </c:pt>
                <c:pt idx="5">
                  <c:v>13.766842070935311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marker val="1"/>
        <c:axId val="187489280"/>
        <c:axId val="187487360"/>
      </c:lineChart>
      <c:catAx>
        <c:axId val="1112023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1205760"/>
        <c:crosses val="autoZero"/>
        <c:auto val="1"/>
        <c:lblAlgn val="ctr"/>
        <c:lblOffset val="100"/>
      </c:catAx>
      <c:valAx>
        <c:axId val="111205760"/>
        <c:scaling>
          <c:orientation val="minMax"/>
        </c:scaling>
        <c:axPos val="l"/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1202304"/>
        <c:crosses val="autoZero"/>
        <c:crossBetween val="between"/>
      </c:valAx>
      <c:valAx>
        <c:axId val="187487360"/>
        <c:scaling>
          <c:orientation val="minMax"/>
        </c:scaling>
        <c:axPos val="r"/>
        <c:numFmt formatCode="0" sourceLinked="0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7489280"/>
        <c:crosses val="max"/>
        <c:crossBetween val="between"/>
      </c:valAx>
      <c:catAx>
        <c:axId val="187489280"/>
        <c:scaling>
          <c:orientation val="minMax"/>
        </c:scaling>
        <c:delete val="1"/>
        <c:axPos val="b"/>
        <c:numFmt formatCode="General" sourceLinked="1"/>
        <c:tickLblPos val="none"/>
        <c:crossAx val="187487360"/>
        <c:crosses val="autoZero"/>
        <c:auto val="1"/>
        <c:lblAlgn val="ctr"/>
        <c:lblOffset val="100"/>
      </c:catAx>
      <c:spPr>
        <a:noFill/>
        <a:ln w="25400"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1.9214134818513712E-2"/>
          <c:y val="1.9227205294990467E-2"/>
          <c:w val="0.89442744431799559"/>
          <c:h val="0.97284369888546562"/>
        </c:manualLayout>
      </c:layout>
      <c:barChart>
        <c:barDir val="bar"/>
        <c:grouping val="clustered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dPt>
            <c:idx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Lbls>
            <c:dLbl>
              <c:idx val="2"/>
              <c:layout>
                <c:manualLayout>
                  <c:x val="0"/>
                  <c:y val="0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6857051405159852E-2"/>
                  <c:y val="3.8647342995169927E-3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1963655837855647E-2"/>
                  <c:y val="3.8647342995169519E-3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Conto_economico!$C$1:$G$1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Conto_economico!$C$28:$G$28</c:f>
              <c:numCache>
                <c:formatCode>#,##0</c:formatCode>
                <c:ptCount val="5"/>
                <c:pt idx="0">
                  <c:v>533389567.68999916</c:v>
                </c:pt>
                <c:pt idx="1">
                  <c:v>592084149.08000183</c:v>
                </c:pt>
                <c:pt idx="2">
                  <c:v>245442254.70999572</c:v>
                </c:pt>
                <c:pt idx="3">
                  <c:v>256743093.07999673</c:v>
                </c:pt>
                <c:pt idx="4">
                  <c:v>215066534.93999857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axId val="237273472"/>
        <c:axId val="237275776"/>
      </c:barChart>
      <c:catAx>
        <c:axId val="237273472"/>
        <c:scaling>
          <c:orientation val="minMax"/>
        </c:scaling>
        <c:axPos val="l"/>
        <c:numFmt formatCode="General" sourceLinked="1"/>
        <c:maj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237275776"/>
        <c:crosses val="autoZero"/>
        <c:auto val="1"/>
        <c:lblAlgn val="ctr"/>
        <c:lblOffset val="100"/>
      </c:catAx>
      <c:valAx>
        <c:axId val="237275776"/>
        <c:scaling>
          <c:orientation val="minMax"/>
        </c:scaling>
        <c:delete val="1"/>
        <c:axPos val="b"/>
        <c:numFmt formatCode="#,##0" sourceLinked="1"/>
        <c:majorTickMark val="none"/>
        <c:tickLblPos val="none"/>
        <c:crossAx val="2372734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</c:chart>
  <c:spPr>
    <a:noFill/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col"/>
        <c:grouping val="stacked"/>
        <c:ser>
          <c:idx val="0"/>
          <c:order val="0"/>
          <c:tx>
            <c:strRef>
              <c:f>Stato_patrimoniale!$A$20</c:f>
              <c:strCache>
                <c:ptCount val="1"/>
                <c:pt idx="0">
                  <c:v>Debiti da finanziamento (D1)</c:v>
                </c:pt>
              </c:strCache>
            </c:strRef>
          </c:tx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Stato_patrimoniale!$B$20:$G$20</c:f>
              <c:numCache>
                <c:formatCode>#,##0</c:formatCode>
                <c:ptCount val="6"/>
                <c:pt idx="0">
                  <c:v>6255333642.5799999</c:v>
                </c:pt>
                <c:pt idx="1">
                  <c:v>6944136881.4399996</c:v>
                </c:pt>
                <c:pt idx="2">
                  <c:v>5932918734.3299999</c:v>
                </c:pt>
                <c:pt idx="3">
                  <c:v>5879650407.0799999</c:v>
                </c:pt>
                <c:pt idx="4">
                  <c:v>4756101409.2600002</c:v>
                </c:pt>
                <c:pt idx="5">
                  <c:v>4567746887.2600002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Stato_patrimoniale!$A$21</c:f>
              <c:strCache>
                <c:ptCount val="1"/>
                <c:pt idx="0">
                  <c:v>Debiti verso fornitori (D2)</c:v>
                </c:pt>
              </c:strCache>
            </c:strRef>
          </c:tx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Stato_patrimoniale!$B$21:$G$21</c:f>
              <c:numCache>
                <c:formatCode>#,##0</c:formatCode>
                <c:ptCount val="6"/>
                <c:pt idx="0">
                  <c:v>296377337.82999998</c:v>
                </c:pt>
                <c:pt idx="1">
                  <c:v>487231111.20999998</c:v>
                </c:pt>
                <c:pt idx="2">
                  <c:v>210965854.94999999</c:v>
                </c:pt>
                <c:pt idx="3">
                  <c:v>267772535.69</c:v>
                </c:pt>
                <c:pt idx="4">
                  <c:v>330443363.88999999</c:v>
                </c:pt>
                <c:pt idx="5">
                  <c:v>313085817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Stato_patrimoniale!$A$22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Stato_patrimoniale!$B$22:$G$22</c:f>
              <c:numCache>
                <c:formatCode>#,##0</c:formatCode>
                <c:ptCount val="6"/>
                <c:pt idx="0">
                  <c:v>2911533879.4099998</c:v>
                </c:pt>
                <c:pt idx="1">
                  <c:v>2032453557.1900001</c:v>
                </c:pt>
                <c:pt idx="2">
                  <c:v>1683226409.6199999</c:v>
                </c:pt>
                <c:pt idx="3">
                  <c:v>1593221696.5899999</c:v>
                </c:pt>
                <c:pt idx="4">
                  <c:v>1650055855.22</c:v>
                </c:pt>
                <c:pt idx="5">
                  <c:v>1374898970.3900001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Stato_patrimoniale!$A$25</c:f>
              <c:strCache>
                <c:ptCount val="1"/>
                <c:pt idx="0">
                  <c:v>Altri debiti (D5)</c:v>
                </c:pt>
              </c:strCache>
            </c:strRef>
          </c:tx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Stato_patrimoniale!$B$25:$G$25</c:f>
              <c:numCache>
                <c:formatCode>#,##0</c:formatCode>
                <c:ptCount val="6"/>
                <c:pt idx="0">
                  <c:v>592449067.21000004</c:v>
                </c:pt>
                <c:pt idx="1">
                  <c:v>579574418.01999998</c:v>
                </c:pt>
                <c:pt idx="2">
                  <c:v>512615275.43000001</c:v>
                </c:pt>
                <c:pt idx="3">
                  <c:v>469937800.18000001</c:v>
                </c:pt>
                <c:pt idx="4">
                  <c:v>437391094.26999998</c:v>
                </c:pt>
                <c:pt idx="5">
                  <c:v>433700023.84000003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overlap val="100"/>
        <c:axId val="54470528"/>
        <c:axId val="54472064"/>
      </c:barChart>
      <c:catAx>
        <c:axId val="54470528"/>
        <c:scaling>
          <c:orientation val="minMax"/>
        </c:scaling>
        <c:axPos val="b"/>
        <c:numFmt formatCode="General" sourceLinked="1"/>
        <c:majorTickMark val="none"/>
        <c:tickLblPos val="nextTo"/>
        <c:crossAx val="54472064"/>
        <c:crosses val="autoZero"/>
        <c:auto val="1"/>
        <c:lblAlgn val="ctr"/>
        <c:lblOffset val="100"/>
      </c:catAx>
      <c:valAx>
        <c:axId val="54472064"/>
        <c:scaling>
          <c:orientation val="minMax"/>
          <c:max val="12000000000"/>
        </c:scaling>
        <c:axPos val="l"/>
        <c:numFmt formatCode="#,##0" sourceLinked="1"/>
        <c:majorTickMark val="none"/>
        <c:tickLblPos val="nextTo"/>
        <c:crossAx val="54470528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spPr>
        <a:noFill/>
        <a:ln>
          <a:noFill/>
        </a:ln>
      </c:spPr>
    </c:legend>
    <c:plotVisOnly val="1"/>
    <c:dispBlanksAs val="gap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7.6893537318312541E-2"/>
          <c:y val="0"/>
          <c:w val="0.85332768443314899"/>
          <c:h val="0.8325141970890001"/>
        </c:manualLayout>
      </c:layout>
      <c:barChart>
        <c:barDir val="bar"/>
        <c:grouping val="stacked"/>
        <c:ser>
          <c:idx val="0"/>
          <c:order val="0"/>
          <c:tx>
            <c:strRef>
              <c:f>Stato_patrimoniale!$A$16</c:f>
              <c:strCache>
                <c:ptCount val="1"/>
                <c:pt idx="0">
                  <c:v>Fondo di dotazione (A1)</c:v>
                </c:pt>
              </c:strCache>
            </c:strRef>
          </c:tx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Stato_patrimoniale!$B$16:$G$16</c:f>
              <c:numCache>
                <c:formatCode>#,##0</c:formatCode>
                <c:ptCount val="6"/>
                <c:pt idx="0">
                  <c:v>-1438232261.0599999</c:v>
                </c:pt>
                <c:pt idx="1">
                  <c:v>-1457709476.72</c:v>
                </c:pt>
                <c:pt idx="2">
                  <c:v>421067548.60000002</c:v>
                </c:pt>
                <c:pt idx="3">
                  <c:v>421367477.20999998</c:v>
                </c:pt>
                <c:pt idx="4">
                  <c:v>421722914.32999998</c:v>
                </c:pt>
                <c:pt idx="5">
                  <c:v>249112515.43000001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Stato_patrimoniale!$A$17</c:f>
              <c:strCache>
                <c:ptCount val="1"/>
                <c:pt idx="0">
                  <c:v>Riserve (A2)</c:v>
                </c:pt>
              </c:strCache>
            </c:strRef>
          </c:tx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Stato_patrimoniale!$B$17:$G$17</c:f>
              <c:numCache>
                <c:formatCode>#,##0</c:formatCode>
                <c:ptCount val="6"/>
                <c:pt idx="0">
                  <c:v>202230164.43000001</c:v>
                </c:pt>
                <c:pt idx="1">
                  <c:v>202230164.43000001</c:v>
                </c:pt>
                <c:pt idx="2">
                  <c:v>859902210.00999999</c:v>
                </c:pt>
                <c:pt idx="3">
                  <c:v>1588718827.5999999</c:v>
                </c:pt>
                <c:pt idx="4">
                  <c:v>1887735827.4400001</c:v>
                </c:pt>
                <c:pt idx="5">
                  <c:v>1825626707.3399999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Stato_patrimoniale!$A$18</c:f>
              <c:strCache>
                <c:ptCount val="1"/>
                <c:pt idx="0">
                  <c:v>Risultato economico dell'esercizio (A3)</c:v>
                </c:pt>
              </c:strCache>
            </c:strRef>
          </c:tx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Stato_patrimoniale!$B$18:$G$18</c:f>
              <c:numCache>
                <c:formatCode>#,##0</c:formatCode>
                <c:ptCount val="6"/>
                <c:pt idx="0">
                  <c:v>0</c:v>
                </c:pt>
                <c:pt idx="1">
                  <c:v>533389567.69</c:v>
                </c:pt>
                <c:pt idx="2">
                  <c:v>592084149.08000004</c:v>
                </c:pt>
                <c:pt idx="3">
                  <c:v>245442254.71000001</c:v>
                </c:pt>
                <c:pt idx="4">
                  <c:v>256743093.08000001</c:v>
                </c:pt>
                <c:pt idx="5">
                  <c:v>215066534.94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overlap val="100"/>
        <c:axId val="54487680"/>
        <c:axId val="54497664"/>
      </c:barChart>
      <c:catAx>
        <c:axId val="54487680"/>
        <c:scaling>
          <c:orientation val="minMax"/>
        </c:scaling>
        <c:axPos val="l"/>
        <c:numFmt formatCode="General" sourceLinked="1"/>
        <c:maj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54497664"/>
        <c:crosses val="autoZero"/>
        <c:auto val="1"/>
        <c:lblAlgn val="ctr"/>
        <c:lblOffset val="100"/>
      </c:catAx>
      <c:valAx>
        <c:axId val="54497664"/>
        <c:scaling>
          <c:orientation val="minMax"/>
          <c:max val="2500000000"/>
          <c:min val="-1500000000"/>
        </c:scaling>
        <c:axPos val="b"/>
        <c:numFmt formatCode="#,##0" sourceLinked="0"/>
        <c:majorTickMark val="none"/>
        <c:tickLblPos val="nextTo"/>
        <c:crossAx val="54487680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spPr>
        <a:noFill/>
        <a:ln>
          <a:noFill/>
        </a:ln>
      </c:spPr>
    </c:legend>
    <c:plotVisOnly val="1"/>
    <c:dispBlanksAs val="gap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6.6133228191836882E-2"/>
          <c:y val="3.03012788295083E-2"/>
          <c:w val="0.9122663790737443"/>
          <c:h val="0.68340956050706358"/>
        </c:manualLayout>
      </c:layout>
      <c:lineChart>
        <c:grouping val="standard"/>
        <c:ser>
          <c:idx val="0"/>
          <c:order val="0"/>
          <c:tx>
            <c:strRef>
              <c:f>Piano_indicatori!$A$73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Piano_indicatori!$D$74:$H$74</c:f>
              <c:numCache>
                <c:formatCode>0.00</c:formatCode>
                <c:ptCount val="5"/>
                <c:pt idx="0">
                  <c:v>65.87</c:v>
                </c:pt>
                <c:pt idx="1">
                  <c:v>74.25</c:v>
                </c:pt>
                <c:pt idx="2">
                  <c:v>72.87</c:v>
                </c:pt>
                <c:pt idx="3">
                  <c:v>81.67</c:v>
                </c:pt>
                <c:pt idx="4">
                  <c:v>81.39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Piano_indicatori!$A$77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Piano_indicatori!$D$77:$H$77</c:f>
              <c:numCache>
                <c:formatCode>0.00</c:formatCode>
                <c:ptCount val="5"/>
                <c:pt idx="0">
                  <c:v>67.499664332627347</c:v>
                </c:pt>
                <c:pt idx="1">
                  <c:v>72.72967831925672</c:v>
                </c:pt>
                <c:pt idx="2">
                  <c:v>71.563063887064033</c:v>
                </c:pt>
                <c:pt idx="3">
                  <c:v>77.607900814141601</c:v>
                </c:pt>
                <c:pt idx="4">
                  <c:v>78.376081250820562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Piano_indicatori!$A$78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Piano_indicatori!$D$78:$H$78</c:f>
              <c:numCache>
                <c:formatCode>0.00</c:formatCode>
                <c:ptCount val="5"/>
                <c:pt idx="0">
                  <c:v>62.787887232593384</c:v>
                </c:pt>
                <c:pt idx="1">
                  <c:v>69.407797521204913</c:v>
                </c:pt>
                <c:pt idx="2">
                  <c:v>69.211969369471788</c:v>
                </c:pt>
                <c:pt idx="3">
                  <c:v>75.126098073322979</c:v>
                </c:pt>
                <c:pt idx="4">
                  <c:v>75.316175676231396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marker val="1"/>
        <c:axId val="64413696"/>
        <c:axId val="64415232"/>
      </c:lineChart>
      <c:catAx>
        <c:axId val="64413696"/>
        <c:scaling>
          <c:orientation val="minMax"/>
        </c:scaling>
        <c:axPos val="b"/>
        <c:numFmt formatCode="General" sourceLinked="1"/>
        <c:majorTickMark val="none"/>
        <c:tickLblPos val="nextTo"/>
        <c:crossAx val="64415232"/>
        <c:crosses val="autoZero"/>
        <c:auto val="1"/>
        <c:lblAlgn val="ctr"/>
        <c:lblOffset val="100"/>
      </c:catAx>
      <c:valAx>
        <c:axId val="64415232"/>
        <c:scaling>
          <c:orientation val="minMax"/>
          <c:max val="83"/>
          <c:min val="60"/>
        </c:scaling>
        <c:axPos val="l"/>
        <c:numFmt formatCode="0" sourceLinked="0"/>
        <c:majorTickMark val="none"/>
        <c:tickLblPos val="nextTo"/>
        <c:spPr>
          <a:ln>
            <a:noFill/>
          </a:ln>
        </c:spPr>
        <c:crossAx val="64413696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8021"/>
          <c:w val="0.96177967444791601"/>
          <c:h val="0.17956804601552609"/>
        </c:manualLayout>
      </c:layout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72316560467713364"/>
        </c:manualLayout>
      </c:layout>
      <c:barChart>
        <c:barDir val="col"/>
        <c:grouping val="stacked"/>
        <c:ser>
          <c:idx val="0"/>
          <c:order val="0"/>
          <c:tx>
            <c:strRef>
              <c:f>Piano_indicatori!$B$80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Piano_indicatori!$D$80:$H$80</c:f>
              <c:numCache>
                <c:formatCode>0.00</c:formatCode>
                <c:ptCount val="5"/>
                <c:pt idx="0">
                  <c:v>0.57881773399014769</c:v>
                </c:pt>
                <c:pt idx="1">
                  <c:v>0.52405907575035726</c:v>
                </c:pt>
                <c:pt idx="2">
                  <c:v>0.76533483398987068</c:v>
                </c:pt>
                <c:pt idx="3">
                  <c:v>0.60422960725075525</c:v>
                </c:pt>
                <c:pt idx="4">
                  <c:v>0.55919095776323613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Piano_indicatori!$B$81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Piano_indicatori!$D$81:$H$81</c:f>
              <c:numCache>
                <c:formatCode>0.00</c:formatCode>
                <c:ptCount val="5"/>
                <c:pt idx="0">
                  <c:v>2.3645320197044333</c:v>
                </c:pt>
                <c:pt idx="1">
                  <c:v>2.2987136731777031</c:v>
                </c:pt>
                <c:pt idx="2">
                  <c:v>2.1271806415306695</c:v>
                </c:pt>
                <c:pt idx="3">
                  <c:v>2.4052986288635831</c:v>
                </c:pt>
                <c:pt idx="4">
                  <c:v>2.4866151100535396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Piano_indicatori!$B$82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Piano_indicatori!$D$82:$H$82</c:f>
              <c:numCache>
                <c:formatCode>0.00</c:formatCode>
                <c:ptCount val="5"/>
                <c:pt idx="0">
                  <c:v>6.958128078817734</c:v>
                </c:pt>
                <c:pt idx="1">
                  <c:v>5.8361124344926161</c:v>
                </c:pt>
                <c:pt idx="2">
                  <c:v>7.2819358469330338</c:v>
                </c:pt>
                <c:pt idx="3">
                  <c:v>6.9021612828259364</c:v>
                </c:pt>
                <c:pt idx="4">
                  <c:v>5.9488399762046402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Piano_indicatori!$B$83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Piano_indicatori!$D$83:$H$83</c:f>
              <c:numCache>
                <c:formatCode>0.00</c:formatCode>
                <c:ptCount val="5"/>
                <c:pt idx="0">
                  <c:v>0.92364532019704426</c:v>
                </c:pt>
                <c:pt idx="1">
                  <c:v>1.2029537875178655</c:v>
                </c:pt>
                <c:pt idx="2">
                  <c:v>1.3393359594822736</c:v>
                </c:pt>
                <c:pt idx="3">
                  <c:v>1.603532419242389</c:v>
                </c:pt>
                <c:pt idx="4">
                  <c:v>1.9274241522903035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ser>
          <c:idx val="4"/>
          <c:order val="4"/>
          <c:tx>
            <c:strRef>
              <c:f>Piano_indicatori!$B$84</c:f>
              <c:strCache>
                <c:ptCount val="1"/>
                <c:pt idx="0">
                  <c:v>Tutela della salute </c:v>
                </c:pt>
              </c:strCache>
            </c:strRef>
          </c:tx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Piano_indicatori!$D$84:$H$84</c:f>
              <c:numCache>
                <c:formatCode>0.00</c:formatCode>
                <c:ptCount val="5"/>
                <c:pt idx="0">
                  <c:v>78.091133004926107</c:v>
                </c:pt>
                <c:pt idx="1">
                  <c:v>79.418770843258685</c:v>
                </c:pt>
                <c:pt idx="2">
                  <c:v>77.816544738323017</c:v>
                </c:pt>
                <c:pt idx="3">
                  <c:v>77.678363932140357</c:v>
                </c:pt>
                <c:pt idx="4">
                  <c:v>78.429506246281974</c:v>
                </c:pt>
              </c:numCache>
            </c:numRef>
          </c:val>
        </c:ser>
        <c:overlap val="100"/>
        <c:axId val="70419968"/>
        <c:axId val="70421504"/>
      </c:barChart>
      <c:catAx>
        <c:axId val="704199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70421504"/>
        <c:crosses val="autoZero"/>
        <c:auto val="1"/>
        <c:lblAlgn val="ctr"/>
        <c:lblOffset val="100"/>
      </c:catAx>
      <c:valAx>
        <c:axId val="70421504"/>
        <c:scaling>
          <c:orientation val="minMax"/>
          <c:max val="100"/>
          <c:min val="0"/>
        </c:scaling>
        <c:axPos val="l"/>
        <c:numFmt formatCode="0" sourceLinked="0"/>
        <c:maj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70419968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51607295351958"/>
          <c:w val="0.96273135461591564"/>
          <c:h val="0.14839270464804197"/>
        </c:manualLayout>
      </c:layout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6.6133073571989068E-2"/>
          <c:y val="3.0301278829508307E-2"/>
          <c:w val="0.9122665336936"/>
          <c:h val="0.71915787122354569"/>
        </c:manualLayout>
      </c:layout>
      <c:lineChart>
        <c:grouping val="standard"/>
        <c:ser>
          <c:idx val="0"/>
          <c:order val="0"/>
          <c:tx>
            <c:strRef>
              <c:f>Piano_indicatori!$B$86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Piano_indicatori!$D$86:$H$86</c:f>
              <c:numCache>
                <c:formatCode>0.00</c:formatCode>
                <c:ptCount val="5"/>
                <c:pt idx="0">
                  <c:v>51.06</c:v>
                </c:pt>
                <c:pt idx="1">
                  <c:v>53.48</c:v>
                </c:pt>
                <c:pt idx="2">
                  <c:v>39.732703183082748</c:v>
                </c:pt>
                <c:pt idx="3">
                  <c:v>51.64</c:v>
                </c:pt>
                <c:pt idx="4">
                  <c:v>44.45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Piano_indicatori!$B$87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Piano_indicatori!$D$87:$H$87</c:f>
              <c:numCache>
                <c:formatCode>0.00</c:formatCode>
                <c:ptCount val="5"/>
                <c:pt idx="0">
                  <c:v>70.23</c:v>
                </c:pt>
                <c:pt idx="1">
                  <c:v>55.42</c:v>
                </c:pt>
                <c:pt idx="2">
                  <c:v>58.635240901305309</c:v>
                </c:pt>
                <c:pt idx="3">
                  <c:v>45.47</c:v>
                </c:pt>
                <c:pt idx="4">
                  <c:v>40.47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Piano_indicatori!$B$88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Piano_indicatori!$D$88:$H$88</c:f>
              <c:numCache>
                <c:formatCode>0.00</c:formatCode>
                <c:ptCount val="5"/>
                <c:pt idx="0">
                  <c:v>74.459999999999994</c:v>
                </c:pt>
                <c:pt idx="1">
                  <c:v>75.38</c:v>
                </c:pt>
                <c:pt idx="2">
                  <c:v>81.242735099370563</c:v>
                </c:pt>
                <c:pt idx="3">
                  <c:v>84.17</c:v>
                </c:pt>
                <c:pt idx="4">
                  <c:v>89.69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Piano_indicatori!$B$89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Piano_indicatori!$D$89:$H$89</c:f>
              <c:numCache>
                <c:formatCode>0.00</c:formatCode>
                <c:ptCount val="5"/>
                <c:pt idx="0">
                  <c:v>60.6</c:v>
                </c:pt>
                <c:pt idx="1">
                  <c:v>40.67</c:v>
                </c:pt>
                <c:pt idx="2">
                  <c:v>53.645115646350618</c:v>
                </c:pt>
                <c:pt idx="3">
                  <c:v>49.08</c:v>
                </c:pt>
                <c:pt idx="4">
                  <c:v>58.32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ser>
          <c:idx val="4"/>
          <c:order val="4"/>
          <c:tx>
            <c:strRef>
              <c:f>Piano_indicatori!$B$90</c:f>
              <c:strCache>
                <c:ptCount val="1"/>
                <c:pt idx="0">
                  <c:v>Tutela della salute </c:v>
                </c:pt>
              </c:strCache>
            </c:strRef>
          </c:tx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Piano_indicatori!$D$90:$H$90</c:f>
              <c:numCache>
                <c:formatCode>0.00</c:formatCode>
                <c:ptCount val="5"/>
                <c:pt idx="0">
                  <c:v>83.15</c:v>
                </c:pt>
                <c:pt idx="1">
                  <c:v>88.58</c:v>
                </c:pt>
                <c:pt idx="2">
                  <c:v>88.730311595033157</c:v>
                </c:pt>
                <c:pt idx="3">
                  <c:v>88.77</c:v>
                </c:pt>
                <c:pt idx="4">
                  <c:v>92.74</c:v>
                </c:pt>
              </c:numCache>
            </c:numRef>
          </c:val>
        </c:ser>
        <c:marker val="1"/>
        <c:axId val="73442432"/>
        <c:axId val="73443968"/>
      </c:lineChart>
      <c:catAx>
        <c:axId val="73442432"/>
        <c:scaling>
          <c:orientation val="minMax"/>
        </c:scaling>
        <c:axPos val="b"/>
        <c:numFmt formatCode="General" sourceLinked="1"/>
        <c:majorTickMark val="none"/>
        <c:tickLblPos val="nextTo"/>
        <c:spPr>
          <a:ln>
            <a:noFill/>
          </a:ln>
        </c:spPr>
        <c:crossAx val="73443968"/>
        <c:crosses val="autoZero"/>
        <c:auto val="1"/>
        <c:lblAlgn val="ctr"/>
        <c:lblOffset val="100"/>
      </c:catAx>
      <c:valAx>
        <c:axId val="73443968"/>
        <c:scaling>
          <c:orientation val="minMax"/>
          <c:max val="100"/>
          <c:min val="30"/>
        </c:scaling>
        <c:axPos val="l"/>
        <c:numFmt formatCode="0" sourceLinked="0"/>
        <c:majorTickMark val="none"/>
        <c:tickLblPos val="nextTo"/>
        <c:spPr>
          <a:ln>
            <a:noFill/>
          </a:ln>
        </c:spPr>
        <c:crossAx val="73442432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523468476014987"/>
          <c:w val="0.96716740304369175"/>
          <c:h val="0.14765315239850338"/>
        </c:manualLayout>
      </c:layout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2.1600392734413727E-2"/>
          <c:y val="0"/>
          <c:w val="0.95679921453118799"/>
          <c:h val="0.80248711293359865"/>
        </c:manualLayout>
      </c:layout>
      <c:barChart>
        <c:barDir val="col"/>
        <c:grouping val="clustered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Piano_indicatori!$D$20:$H$20</c:f>
              <c:numCache>
                <c:formatCode>0.00</c:formatCode>
                <c:ptCount val="5"/>
                <c:pt idx="0">
                  <c:v>26.68</c:v>
                </c:pt>
                <c:pt idx="1">
                  <c:v>27.793900000000001</c:v>
                </c:pt>
                <c:pt idx="2">
                  <c:v>28.24</c:v>
                </c:pt>
                <c:pt idx="3">
                  <c:v>28.51</c:v>
                </c:pt>
                <c:pt idx="4">
                  <c:v>27.22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Piano_indicatori!$D$92:$H$92</c:f>
              <c:numCache>
                <c:formatCode>0.00</c:formatCode>
                <c:ptCount val="5"/>
                <c:pt idx="0">
                  <c:v>93.080814543787938</c:v>
                </c:pt>
                <c:pt idx="1">
                  <c:v>88.060780079821342</c:v>
                </c:pt>
                <c:pt idx="2">
                  <c:v>89.823506154392092</c:v>
                </c:pt>
                <c:pt idx="3">
                  <c:v>92.549410739486376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axId val="73459200"/>
        <c:axId val="73460736"/>
      </c:barChart>
      <c:catAx>
        <c:axId val="73459200"/>
        <c:scaling>
          <c:orientation val="minMax"/>
        </c:scaling>
        <c:axPos val="b"/>
        <c:numFmt formatCode="General" sourceLinked="1"/>
        <c:majorTickMark val="none"/>
        <c:tickLblPos val="nextTo"/>
        <c:spPr>
          <a:ln>
            <a:noFill/>
          </a:ln>
        </c:spPr>
        <c:crossAx val="73460736"/>
        <c:crosses val="autoZero"/>
        <c:auto val="1"/>
        <c:lblAlgn val="ctr"/>
        <c:lblOffset val="100"/>
      </c:catAx>
      <c:valAx>
        <c:axId val="73460736"/>
        <c:scaling>
          <c:orientation val="minMax"/>
        </c:scaling>
        <c:delete val="1"/>
        <c:axPos val="l"/>
        <c:numFmt formatCode="0" sourceLinked="0"/>
        <c:majorTickMark val="none"/>
        <c:tickLblPos val="none"/>
        <c:crossAx val="73459200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</c:legend>
    <c:plotVisOnly val="1"/>
    <c:dispBlanksAs val="gap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1171574</xdr:colOff>
      <xdr:row>26</xdr:row>
      <xdr:rowOff>142874</xdr:rowOff>
    </xdr:from>
    <xdr:to>
      <xdr:col>10</xdr:col>
      <xdr:colOff>247650</xdr:colOff>
      <xdr:row>49</xdr:row>
      <xdr:rowOff>38099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1743075</xdr:colOff>
      <xdr:row>52</xdr:row>
      <xdr:rowOff>171450</xdr:rowOff>
    </xdr:from>
    <xdr:to>
      <xdr:col>10</xdr:col>
      <xdr:colOff>371475</xdr:colOff>
      <xdr:row>74</xdr:row>
      <xdr:rowOff>95250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133349</xdr:rowOff>
    </xdr:from>
    <xdr:to>
      <xdr:col>10</xdr:col>
      <xdr:colOff>514349</xdr:colOff>
      <xdr:row>45</xdr:row>
      <xdr:rowOff>180974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419098</xdr:colOff>
      <xdr:row>30</xdr:row>
      <xdr:rowOff>38100</xdr:rowOff>
    </xdr:from>
    <xdr:to>
      <xdr:col>7</xdr:col>
      <xdr:colOff>638175</xdr:colOff>
      <xdr:row>50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53</xdr:row>
      <xdr:rowOff>85725</xdr:rowOff>
    </xdr:from>
    <xdr:to>
      <xdr:col>7</xdr:col>
      <xdr:colOff>514350</xdr:colOff>
      <xdr:row>75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181</xdr:row>
      <xdr:rowOff>28576</xdr:rowOff>
    </xdr:from>
    <xdr:to>
      <xdr:col>2</xdr:col>
      <xdr:colOff>752475</xdr:colOff>
      <xdr:row>199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201</xdr:row>
      <xdr:rowOff>123823</xdr:rowOff>
    </xdr:from>
    <xdr:to>
      <xdr:col>3</xdr:col>
      <xdr:colOff>85724</xdr:colOff>
      <xdr:row>219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221</xdr:row>
      <xdr:rowOff>0</xdr:rowOff>
    </xdr:from>
    <xdr:to>
      <xdr:col>3</xdr:col>
      <xdr:colOff>123825</xdr:colOff>
      <xdr:row>239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97</xdr:row>
      <xdr:rowOff>161924</xdr:rowOff>
    </xdr:from>
    <xdr:to>
      <xdr:col>3</xdr:col>
      <xdr:colOff>123825</xdr:colOff>
      <xdr:row>115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118</xdr:row>
      <xdr:rowOff>142875</xdr:rowOff>
    </xdr:from>
    <xdr:to>
      <xdr:col>3</xdr:col>
      <xdr:colOff>123825</xdr:colOff>
      <xdr:row>136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139</xdr:row>
      <xdr:rowOff>0</xdr:rowOff>
    </xdr:from>
    <xdr:to>
      <xdr:col>3</xdr:col>
      <xdr:colOff>123825</xdr:colOff>
      <xdr:row>157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160</xdr:row>
      <xdr:rowOff>0</xdr:rowOff>
    </xdr:from>
    <xdr:to>
      <xdr:col>3</xdr:col>
      <xdr:colOff>123825</xdr:colOff>
      <xdr:row>178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9</xdr:row>
      <xdr:rowOff>19049</xdr:rowOff>
    </xdr:from>
    <xdr:to>
      <xdr:col>9</xdr:col>
      <xdr:colOff>419100</xdr:colOff>
      <xdr:row>26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3"/>
  <sheetViews>
    <sheetView workbookViewId="0">
      <pane xSplit="1" ySplit="2" topLeftCell="I53" activePane="bottomRight" state="frozen"/>
      <selection pane="topRight" activeCell="B1" sqref="B1"/>
      <selection pane="bottomLeft" activeCell="A3" sqref="A3"/>
      <selection pane="bottomRight" activeCell="N3" sqref="N3:O55"/>
    </sheetView>
  </sheetViews>
  <sheetFormatPr defaultRowHeight="15"/>
  <cols>
    <col min="1" max="1" width="60.7109375" bestFit="1" customWidth="1"/>
    <col min="2" max="3" width="15.28515625" bestFit="1" customWidth="1"/>
    <col min="4" max="4" width="7.140625" customWidth="1"/>
    <col min="5" max="6" width="15.28515625" bestFit="1" customWidth="1"/>
    <col min="7" max="7" width="7.140625" customWidth="1"/>
    <col min="8" max="9" width="15.28515625" bestFit="1" customWidth="1"/>
    <col min="10" max="10" width="7.140625" customWidth="1"/>
    <col min="11" max="12" width="15.28515625" bestFit="1" customWidth="1"/>
    <col min="13" max="13" width="7.140625" customWidth="1"/>
    <col min="14" max="15" width="15.28515625" bestFit="1" customWidth="1"/>
    <col min="16" max="16" width="7.140625" customWidth="1"/>
  </cols>
  <sheetData>
    <row r="1" spans="1:18">
      <c r="B1" s="111">
        <v>2016</v>
      </c>
      <c r="C1" s="111"/>
      <c r="D1" s="112"/>
      <c r="E1" s="113">
        <v>2017</v>
      </c>
      <c r="F1" s="111"/>
      <c r="G1" s="112"/>
      <c r="H1" s="113">
        <v>2018</v>
      </c>
      <c r="I1" s="111"/>
      <c r="J1" s="112"/>
      <c r="K1" s="113">
        <v>2019</v>
      </c>
      <c r="L1" s="111"/>
      <c r="M1" s="112"/>
      <c r="N1" s="113">
        <v>2020</v>
      </c>
      <c r="O1" s="111"/>
      <c r="P1" s="112"/>
      <c r="Q1" s="110" t="s">
        <v>232</v>
      </c>
      <c r="R1" s="110"/>
    </row>
    <row r="2" spans="1:18">
      <c r="B2" s="17" t="s">
        <v>72</v>
      </c>
      <c r="C2" s="17" t="s">
        <v>73</v>
      </c>
      <c r="D2" s="18" t="s">
        <v>233</v>
      </c>
      <c r="E2" s="23" t="s">
        <v>72</v>
      </c>
      <c r="F2" s="17" t="s">
        <v>73</v>
      </c>
      <c r="G2" s="18" t="s">
        <v>233</v>
      </c>
      <c r="H2" s="23" t="s">
        <v>72</v>
      </c>
      <c r="I2" s="17" t="s">
        <v>73</v>
      </c>
      <c r="J2" s="18" t="s">
        <v>233</v>
      </c>
      <c r="K2" s="23" t="s">
        <v>72</v>
      </c>
      <c r="L2" s="17" t="s">
        <v>73</v>
      </c>
      <c r="M2" s="18" t="s">
        <v>233</v>
      </c>
      <c r="N2" s="23" t="s">
        <v>72</v>
      </c>
      <c r="O2" s="17" t="s">
        <v>73</v>
      </c>
      <c r="P2" s="18" t="s">
        <v>233</v>
      </c>
      <c r="Q2" s="12" t="s">
        <v>72</v>
      </c>
      <c r="R2" s="12" t="s">
        <v>73</v>
      </c>
    </row>
    <row r="3" spans="1:18">
      <c r="A3" t="s">
        <v>19</v>
      </c>
      <c r="B3" s="28">
        <v>9291631937.0799999</v>
      </c>
      <c r="C3" s="28">
        <v>7706209910.04</v>
      </c>
      <c r="D3" s="20">
        <f>IF(B3&gt;0,C3/B3*100,"-")</f>
        <v>82.937098264589281</v>
      </c>
      <c r="E3" s="28">
        <v>9763898305.3299999</v>
      </c>
      <c r="F3" s="28">
        <v>8029338443.4499998</v>
      </c>
      <c r="G3" s="20">
        <f>IF(E3&gt;0,F3/E3*100,"-")</f>
        <v>82.234965915887059</v>
      </c>
      <c r="H3" s="28">
        <v>9995251504.5100002</v>
      </c>
      <c r="I3" s="28">
        <v>8421459740.9300003</v>
      </c>
      <c r="J3" s="20">
        <f>IF(H3&gt;0,I3/H3*100,"-")</f>
        <v>84.254605670803954</v>
      </c>
      <c r="K3" s="28">
        <v>10346469895.77</v>
      </c>
      <c r="L3" s="28">
        <v>9176427557.8799992</v>
      </c>
      <c r="M3" s="20">
        <f>IF(K3&gt;0,L3/K3*100,"-")</f>
        <v>88.691386050730642</v>
      </c>
      <c r="N3" s="28">
        <v>10307586452.17</v>
      </c>
      <c r="O3" s="28">
        <v>9157358035.4599991</v>
      </c>
      <c r="P3" s="20">
        <f>IF(N3&gt;0,O3/N3*100,"-")</f>
        <v>88.840953000516919</v>
      </c>
      <c r="Q3" s="13">
        <f>IF(K3&gt;0,N3/K3*100-100,"-")</f>
        <v>-0.37581362524331041</v>
      </c>
      <c r="R3" s="13">
        <f>IF(L3&gt;0,O3/L3*100-100,"-")</f>
        <v>-0.20780987262983786</v>
      </c>
    </row>
    <row r="4" spans="1:18">
      <c r="A4" t="s">
        <v>20</v>
      </c>
      <c r="B4" s="28">
        <v>1359422552.4400001</v>
      </c>
      <c r="C4" s="28">
        <v>788674419.34000003</v>
      </c>
      <c r="D4" s="20">
        <f t="shared" ref="D4:D21" si="0">IF(B4&gt;0,C4/B4*100,"-")</f>
        <v>58.015399106364995</v>
      </c>
      <c r="E4" s="28">
        <v>1177271140.1800001</v>
      </c>
      <c r="F4" s="28">
        <v>727292833.39999998</v>
      </c>
      <c r="G4" s="20">
        <f t="shared" ref="G4:G21" si="1">IF(E4&gt;0,F4/E4*100,"-")</f>
        <v>61.777852915752248</v>
      </c>
      <c r="H4" s="28">
        <v>1139372299.1600001</v>
      </c>
      <c r="I4" s="28">
        <v>896611690.63999999</v>
      </c>
      <c r="J4" s="20">
        <f t="shared" ref="J4:J13" si="2">IF(H4&gt;0,I4/H4*100,"-")</f>
        <v>78.693478093247066</v>
      </c>
      <c r="K4" s="28">
        <v>819046061.26999998</v>
      </c>
      <c r="L4" s="28">
        <v>505549439.25999999</v>
      </c>
      <c r="M4" s="20">
        <f t="shared" ref="M4:M21" si="3">IF(K4&gt;0,L4/K4*100,"-")</f>
        <v>61.724176840079416</v>
      </c>
      <c r="N4" s="28">
        <v>1322597284.4300001</v>
      </c>
      <c r="O4" s="28">
        <v>885814730.63999999</v>
      </c>
      <c r="P4" s="20">
        <f t="shared" ref="P4:P21" si="4">IF(N4&gt;0,O4/N4*100,"-")</f>
        <v>66.975393119891351</v>
      </c>
      <c r="Q4" s="13">
        <f t="shared" ref="Q4:R46" si="5">IF(K4&gt;0,N4/K4*100-100,"-")</f>
        <v>61.480208131298696</v>
      </c>
      <c r="R4" s="13">
        <f t="shared" si="5"/>
        <v>75.218220385451303</v>
      </c>
    </row>
    <row r="5" spans="1:18">
      <c r="A5" t="s">
        <v>21</v>
      </c>
      <c r="B5" s="28">
        <v>385563798.13</v>
      </c>
      <c r="C5" s="28">
        <v>143181275.31999999</v>
      </c>
      <c r="D5" s="20">
        <f t="shared" si="0"/>
        <v>37.135559929234788</v>
      </c>
      <c r="E5" s="28">
        <v>452360035.76999998</v>
      </c>
      <c r="F5" s="28">
        <v>434627505.29000002</v>
      </c>
      <c r="G5" s="20">
        <f t="shared" si="1"/>
        <v>96.079996224729285</v>
      </c>
      <c r="H5" s="28">
        <v>510985572.18000001</v>
      </c>
      <c r="I5" s="28">
        <v>344395845.38</v>
      </c>
      <c r="J5" s="20">
        <f t="shared" si="2"/>
        <v>67.398350194256167</v>
      </c>
      <c r="K5" s="28">
        <v>513260710.70999998</v>
      </c>
      <c r="L5" s="28">
        <v>498213932.81999999</v>
      </c>
      <c r="M5" s="20">
        <f t="shared" si="3"/>
        <v>97.068394760006939</v>
      </c>
      <c r="N5" s="28">
        <v>488536636.13999999</v>
      </c>
      <c r="O5" s="28">
        <v>481357184.80000001</v>
      </c>
      <c r="P5" s="20">
        <f t="shared" si="4"/>
        <v>98.530417002760345</v>
      </c>
      <c r="Q5" s="13">
        <f t="shared" si="5"/>
        <v>-4.8170596451458181</v>
      </c>
      <c r="R5" s="13">
        <f t="shared" si="5"/>
        <v>-3.3834356908862588</v>
      </c>
    </row>
    <row r="6" spans="1:18">
      <c r="A6" t="s">
        <v>22</v>
      </c>
      <c r="B6" s="28">
        <v>0</v>
      </c>
      <c r="C6" s="28">
        <v>0</v>
      </c>
      <c r="D6" s="20" t="str">
        <f t="shared" si="0"/>
        <v>-</v>
      </c>
      <c r="E6" s="28">
        <v>0</v>
      </c>
      <c r="F6" s="28">
        <v>0</v>
      </c>
      <c r="G6" s="20" t="str">
        <f t="shared" si="1"/>
        <v>-</v>
      </c>
      <c r="H6" s="28">
        <v>0</v>
      </c>
      <c r="I6" s="28">
        <v>0</v>
      </c>
      <c r="J6" s="20" t="str">
        <f t="shared" si="2"/>
        <v>-</v>
      </c>
      <c r="K6" s="28">
        <v>0</v>
      </c>
      <c r="L6" s="28">
        <v>0</v>
      </c>
      <c r="M6" s="20" t="str">
        <f t="shared" si="3"/>
        <v>-</v>
      </c>
      <c r="N6" s="28">
        <v>0</v>
      </c>
      <c r="O6" s="28">
        <v>0</v>
      </c>
      <c r="P6" s="20" t="str">
        <f t="shared" si="4"/>
        <v>-</v>
      </c>
      <c r="Q6" s="13" t="str">
        <f t="shared" si="5"/>
        <v>-</v>
      </c>
      <c r="R6" s="13" t="str">
        <f t="shared" si="5"/>
        <v>-</v>
      </c>
    </row>
    <row r="7" spans="1:18">
      <c r="A7" t="s">
        <v>23</v>
      </c>
      <c r="B7" s="28">
        <v>459472863.72000003</v>
      </c>
      <c r="C7" s="28">
        <v>201206608.59</v>
      </c>
      <c r="D7" s="20">
        <f t="shared" si="0"/>
        <v>43.790749025085859</v>
      </c>
      <c r="E7" s="28">
        <v>375829237.56999999</v>
      </c>
      <c r="F7" s="28">
        <v>230241296.19</v>
      </c>
      <c r="G7" s="20">
        <f t="shared" si="1"/>
        <v>61.262209847927664</v>
      </c>
      <c r="H7" s="28">
        <v>229344191.56999999</v>
      </c>
      <c r="I7" s="28">
        <v>63664099.909999996</v>
      </c>
      <c r="J7" s="20">
        <f t="shared" si="2"/>
        <v>27.759194368159335</v>
      </c>
      <c r="K7" s="28">
        <v>292137696.19</v>
      </c>
      <c r="L7" s="28">
        <v>111085206.34</v>
      </c>
      <c r="M7" s="20">
        <f t="shared" si="3"/>
        <v>38.024947751950712</v>
      </c>
      <c r="N7" s="28">
        <v>378397643.14999998</v>
      </c>
      <c r="O7" s="28">
        <v>221401287.53999999</v>
      </c>
      <c r="P7" s="20">
        <f t="shared" si="4"/>
        <v>58.510218429725967</v>
      </c>
      <c r="Q7" s="13">
        <f t="shared" si="5"/>
        <v>29.52715383361496</v>
      </c>
      <c r="R7" s="13">
        <f t="shared" si="5"/>
        <v>99.307625951878833</v>
      </c>
    </row>
    <row r="8" spans="1:18">
      <c r="A8" t="s">
        <v>24</v>
      </c>
      <c r="B8" s="28">
        <v>87150481.540000007</v>
      </c>
      <c r="C8" s="28">
        <v>77756162.739999995</v>
      </c>
      <c r="D8" s="20">
        <f t="shared" si="0"/>
        <v>89.220577288849228</v>
      </c>
      <c r="E8" s="28">
        <v>30258289.050000001</v>
      </c>
      <c r="F8" s="28">
        <v>4951714.4800000004</v>
      </c>
      <c r="G8" s="20">
        <f t="shared" si="1"/>
        <v>16.364819807946148</v>
      </c>
      <c r="H8" s="28">
        <v>9634032.9700000007</v>
      </c>
      <c r="I8" s="28">
        <v>5807639.2999999998</v>
      </c>
      <c r="J8" s="20">
        <f t="shared" si="2"/>
        <v>60.282535030602034</v>
      </c>
      <c r="K8" s="28">
        <v>6753410.2999999998</v>
      </c>
      <c r="L8" s="28">
        <v>3742406.99</v>
      </c>
      <c r="M8" s="20">
        <f t="shared" si="3"/>
        <v>55.415069183638977</v>
      </c>
      <c r="N8" s="28">
        <v>26960693.59</v>
      </c>
      <c r="O8" s="28">
        <v>24598433.710000001</v>
      </c>
      <c r="P8" s="20">
        <f t="shared" si="4"/>
        <v>91.23813387027927</v>
      </c>
      <c r="Q8" s="13">
        <f t="shared" si="5"/>
        <v>299.21598706952545</v>
      </c>
      <c r="R8" s="13">
        <f t="shared" si="5"/>
        <v>557.28911301547134</v>
      </c>
    </row>
    <row r="9" spans="1:18">
      <c r="A9" t="s">
        <v>25</v>
      </c>
      <c r="B9" s="28">
        <v>453001.13</v>
      </c>
      <c r="C9" s="28">
        <v>453001.13</v>
      </c>
      <c r="D9" s="20">
        <f t="shared" si="0"/>
        <v>100</v>
      </c>
      <c r="E9" s="28">
        <v>7127244.0499999998</v>
      </c>
      <c r="F9" s="28">
        <v>7034431.7599999998</v>
      </c>
      <c r="G9" s="20">
        <f t="shared" si="1"/>
        <v>98.697781507846642</v>
      </c>
      <c r="H9" s="28">
        <v>2212901.38</v>
      </c>
      <c r="I9" s="28">
        <v>1965151.38</v>
      </c>
      <c r="J9" s="20">
        <f t="shared" si="2"/>
        <v>88.804290953083495</v>
      </c>
      <c r="K9" s="28">
        <v>13790004.210000001</v>
      </c>
      <c r="L9" s="28">
        <v>11810673.710000001</v>
      </c>
      <c r="M9" s="20">
        <f t="shared" si="3"/>
        <v>85.64662874747593</v>
      </c>
      <c r="N9" s="28">
        <v>7628004.9699999997</v>
      </c>
      <c r="O9" s="28">
        <v>7601712.9699999997</v>
      </c>
      <c r="P9" s="20">
        <f t="shared" si="4"/>
        <v>99.655322720640555</v>
      </c>
      <c r="Q9" s="13">
        <f t="shared" si="5"/>
        <v>-44.684534871508944</v>
      </c>
      <c r="R9" s="13">
        <f t="shared" si="5"/>
        <v>-35.636923374119704</v>
      </c>
    </row>
    <row r="10" spans="1:18">
      <c r="A10" t="s">
        <v>26</v>
      </c>
      <c r="B10" s="28">
        <v>8994167.9499999993</v>
      </c>
      <c r="C10" s="28">
        <v>660986.13</v>
      </c>
      <c r="D10" s="20">
        <f t="shared" si="0"/>
        <v>7.349052560220426</v>
      </c>
      <c r="E10" s="28">
        <v>7257099.5499999998</v>
      </c>
      <c r="F10" s="28">
        <v>634041.55000000005</v>
      </c>
      <c r="G10" s="20">
        <f t="shared" si="1"/>
        <v>8.7368451491064363</v>
      </c>
      <c r="H10" s="28">
        <v>29652334.41</v>
      </c>
      <c r="I10" s="28">
        <v>6950483.7300000004</v>
      </c>
      <c r="J10" s="20">
        <f t="shared" si="2"/>
        <v>23.439920897614076</v>
      </c>
      <c r="K10" s="28">
        <v>7871154.3300000001</v>
      </c>
      <c r="L10" s="28">
        <v>7780014.8600000003</v>
      </c>
      <c r="M10" s="20">
        <f t="shared" si="3"/>
        <v>98.842107952925886</v>
      </c>
      <c r="N10" s="28">
        <v>20166343.960000001</v>
      </c>
      <c r="O10" s="28">
        <v>15062321.119999999</v>
      </c>
      <c r="P10" s="20">
        <f t="shared" si="4"/>
        <v>74.69039083076315</v>
      </c>
      <c r="Q10" s="13">
        <f t="shared" si="5"/>
        <v>156.20567345679268</v>
      </c>
      <c r="R10" s="13">
        <f t="shared" si="5"/>
        <v>93.6027294426016</v>
      </c>
    </row>
    <row r="11" spans="1:18">
      <c r="A11" t="s">
        <v>27</v>
      </c>
      <c r="B11" s="28">
        <v>0</v>
      </c>
      <c r="C11" s="28">
        <v>0</v>
      </c>
      <c r="D11" s="20" t="str">
        <f t="shared" si="0"/>
        <v>-</v>
      </c>
      <c r="E11" s="28">
        <v>286281.49</v>
      </c>
      <c r="F11" s="28">
        <v>286281.49</v>
      </c>
      <c r="G11" s="20">
        <f t="shared" si="1"/>
        <v>100</v>
      </c>
      <c r="H11" s="28">
        <v>4358920</v>
      </c>
      <c r="I11" s="28">
        <v>4358920</v>
      </c>
      <c r="J11" s="20">
        <f t="shared" si="2"/>
        <v>100</v>
      </c>
      <c r="K11" s="28">
        <v>0</v>
      </c>
      <c r="L11" s="28">
        <v>0</v>
      </c>
      <c r="M11" s="20" t="str">
        <f t="shared" si="3"/>
        <v>-</v>
      </c>
      <c r="N11" s="28">
        <v>0</v>
      </c>
      <c r="O11" s="28">
        <v>0</v>
      </c>
      <c r="P11" s="20" t="str">
        <f t="shared" si="4"/>
        <v>-</v>
      </c>
      <c r="Q11" s="13" t="str">
        <f t="shared" si="5"/>
        <v>-</v>
      </c>
      <c r="R11" s="13" t="str">
        <f t="shared" si="5"/>
        <v>-</v>
      </c>
    </row>
    <row r="12" spans="1:18">
      <c r="A12" t="s">
        <v>28</v>
      </c>
      <c r="B12" s="28">
        <v>21388591.73</v>
      </c>
      <c r="C12" s="28">
        <v>8673456.3200000003</v>
      </c>
      <c r="D12" s="20">
        <f t="shared" si="0"/>
        <v>40.551787745027006</v>
      </c>
      <c r="E12" s="28">
        <v>19225664.91</v>
      </c>
      <c r="F12" s="28">
        <v>8703152.0299999993</v>
      </c>
      <c r="G12" s="20">
        <f t="shared" si="1"/>
        <v>45.268405908152275</v>
      </c>
      <c r="H12" s="28">
        <v>18710055.66</v>
      </c>
      <c r="I12" s="28">
        <v>8295763.2800000003</v>
      </c>
      <c r="J12" s="20">
        <f t="shared" si="2"/>
        <v>44.338528066142594</v>
      </c>
      <c r="K12" s="28">
        <v>22414847.010000002</v>
      </c>
      <c r="L12" s="28">
        <v>12716148.01</v>
      </c>
      <c r="M12" s="20">
        <f t="shared" si="3"/>
        <v>56.730915916253664</v>
      </c>
      <c r="N12" s="28">
        <f>402.73+12556012.51</f>
        <v>12556415.24</v>
      </c>
      <c r="O12" s="28">
        <f>251.7+9815142.83</f>
        <v>9815394.5299999993</v>
      </c>
      <c r="P12" s="20">
        <f t="shared" si="4"/>
        <v>78.170356287134055</v>
      </c>
      <c r="Q12" s="13">
        <f t="shared" si="5"/>
        <v>-43.981704472940777</v>
      </c>
      <c r="R12" s="13">
        <f t="shared" si="5"/>
        <v>-22.811573738516117</v>
      </c>
    </row>
    <row r="13" spans="1:18">
      <c r="A13" t="s">
        <v>29</v>
      </c>
      <c r="B13" s="28">
        <v>144815047.52000001</v>
      </c>
      <c r="C13" s="28">
        <v>122147836.90000001</v>
      </c>
      <c r="D13" s="20">
        <f t="shared" si="0"/>
        <v>84.347475619293292</v>
      </c>
      <c r="E13" s="28">
        <v>60891920.329999998</v>
      </c>
      <c r="F13" s="28">
        <v>60705562.479999997</v>
      </c>
      <c r="G13" s="20">
        <f t="shared" si="1"/>
        <v>99.693953074578616</v>
      </c>
      <c r="H13" s="28">
        <v>133399418.12</v>
      </c>
      <c r="I13" s="28">
        <v>133313642.15000001</v>
      </c>
      <c r="J13" s="20">
        <f t="shared" si="2"/>
        <v>99.935699891941937</v>
      </c>
      <c r="K13" s="28">
        <v>164906727.53</v>
      </c>
      <c r="L13" s="28">
        <v>142414224.03</v>
      </c>
      <c r="M13" s="20">
        <f t="shared" si="3"/>
        <v>86.360469438150645</v>
      </c>
      <c r="N13" s="28">
        <v>103082109.87</v>
      </c>
      <c r="O13" s="28">
        <v>102984660.36</v>
      </c>
      <c r="P13" s="20">
        <f t="shared" si="4"/>
        <v>99.905464187604522</v>
      </c>
      <c r="Q13" s="13">
        <f t="shared" si="5"/>
        <v>-37.490658256348453</v>
      </c>
      <c r="R13" s="13">
        <f t="shared" si="5"/>
        <v>-27.686534781591789</v>
      </c>
    </row>
    <row r="14" spans="1:18">
      <c r="A14" t="s">
        <v>30</v>
      </c>
      <c r="B14" s="28">
        <v>11036618287.65</v>
      </c>
      <c r="C14" s="28">
        <v>8638065604.7000008</v>
      </c>
      <c r="D14" s="20">
        <f>IF(B14&gt;0,C14/B14*100,"-")</f>
        <v>78.267322286266023</v>
      </c>
      <c r="E14" s="28">
        <f t="shared" ref="E14:F14" si="6">SUM(E3:E5)</f>
        <v>11393529481.280001</v>
      </c>
      <c r="F14" s="28">
        <f t="shared" si="6"/>
        <v>9191258782.1400013</v>
      </c>
      <c r="G14" s="20">
        <f>IF(E14&gt;0,F14/E14*100,"-")</f>
        <v>80.670864961042895</v>
      </c>
      <c r="H14" s="28">
        <f t="shared" ref="H14:I14" si="7">SUM(H3:H5)</f>
        <v>11645609375.85</v>
      </c>
      <c r="I14" s="28">
        <f t="shared" si="7"/>
        <v>9662467276.9499989</v>
      </c>
      <c r="J14" s="20">
        <f>IF(H14&gt;0,I14/H14*100,"-")</f>
        <v>82.970903154174763</v>
      </c>
      <c r="K14" s="28">
        <f t="shared" ref="K14:L14" si="8">SUM(K3:K5)</f>
        <v>11678776667.75</v>
      </c>
      <c r="L14" s="28">
        <f t="shared" si="8"/>
        <v>10180190929.959999</v>
      </c>
      <c r="M14" s="20">
        <f>IF(K14&gt;0,L14/K14*100,"-")</f>
        <v>87.168298697514913</v>
      </c>
      <c r="N14" s="28">
        <f t="shared" ref="N14:O14" si="9">SUM(N3:N5)</f>
        <v>12118720372.74</v>
      </c>
      <c r="O14" s="28">
        <f t="shared" si="9"/>
        <v>10524529950.899998</v>
      </c>
      <c r="P14" s="20">
        <f>IF(N14&gt;0,O14/N14*100,"-")</f>
        <v>86.845224802562541</v>
      </c>
      <c r="Q14" s="13">
        <f t="shared" si="5"/>
        <v>3.7670358591997797</v>
      </c>
      <c r="R14" s="13">
        <f t="shared" si="5"/>
        <v>3.3824416782461242</v>
      </c>
    </row>
    <row r="15" spans="1:18">
      <c r="A15" t="s">
        <v>31</v>
      </c>
      <c r="B15" s="27">
        <v>556070514.34000003</v>
      </c>
      <c r="C15" s="27">
        <v>280076758.58999997</v>
      </c>
      <c r="D15" s="20">
        <f>IF(B15&gt;0,C15/B15*100,"-")</f>
        <v>50.367129953369862</v>
      </c>
      <c r="E15" s="27">
        <f t="shared" ref="E15:F15" si="10">SUM(E6:E10)</f>
        <v>420471870.22000003</v>
      </c>
      <c r="F15" s="27">
        <f t="shared" si="10"/>
        <v>242861483.97999999</v>
      </c>
      <c r="G15" s="20">
        <f>IF(E15&gt;0,F15/E15*100,"-")</f>
        <v>57.759270281964305</v>
      </c>
      <c r="H15" s="27">
        <f t="shared" ref="H15:I15" si="11">SUM(H6:H10)</f>
        <v>270843460.32999998</v>
      </c>
      <c r="I15" s="27">
        <f t="shared" si="11"/>
        <v>78387374.319999993</v>
      </c>
      <c r="J15" s="20">
        <f>IF(H15&gt;0,I15/H15*100,"-")</f>
        <v>28.94194832117843</v>
      </c>
      <c r="K15" s="27">
        <f t="shared" ref="K15:L15" si="12">SUM(K6:K10)</f>
        <v>320552265.02999997</v>
      </c>
      <c r="L15" s="27">
        <f t="shared" si="12"/>
        <v>134418301.90000001</v>
      </c>
      <c r="M15" s="20">
        <f>IF(K15&gt;0,L15/K15*100,"-")</f>
        <v>41.933349585728244</v>
      </c>
      <c r="N15" s="27">
        <f t="shared" ref="N15:O15" si="13">SUM(N6:N10)</f>
        <v>433152685.66999996</v>
      </c>
      <c r="O15" s="27">
        <f t="shared" si="13"/>
        <v>268663755.33999997</v>
      </c>
      <c r="P15" s="20">
        <f>IF(N15&gt;0,O15/N15*100,"-")</f>
        <v>62.025185166387985</v>
      </c>
      <c r="Q15" s="13">
        <f t="shared" si="5"/>
        <v>35.127008267891</v>
      </c>
      <c r="R15" s="13">
        <f t="shared" si="5"/>
        <v>99.871410025601563</v>
      </c>
    </row>
    <row r="16" spans="1:18">
      <c r="A16" t="s">
        <v>32</v>
      </c>
      <c r="B16" s="28">
        <v>166203639.25</v>
      </c>
      <c r="C16" s="28">
        <v>130821293.22</v>
      </c>
      <c r="D16" s="20">
        <f t="shared" si="0"/>
        <v>78.711449286150341</v>
      </c>
      <c r="E16" s="28">
        <f t="shared" ref="E16:F16" si="14">SUM(E11:E13)</f>
        <v>80403866.729999989</v>
      </c>
      <c r="F16" s="28">
        <f t="shared" si="14"/>
        <v>69694996</v>
      </c>
      <c r="G16" s="20">
        <f t="shared" si="1"/>
        <v>86.681149594507829</v>
      </c>
      <c r="H16" s="28">
        <f t="shared" ref="H16:I16" si="15">SUM(H11:H13)</f>
        <v>156468393.78</v>
      </c>
      <c r="I16" s="28">
        <f t="shared" si="15"/>
        <v>145968325.43000001</v>
      </c>
      <c r="J16" s="20">
        <f t="shared" ref="J16:J21" si="16">IF(H16&gt;0,I16/H16*100,"-")</f>
        <v>93.289335886732843</v>
      </c>
      <c r="K16" s="28">
        <f t="shared" ref="K16:L16" si="17">SUM(K11:K13)</f>
        <v>187321574.53999999</v>
      </c>
      <c r="L16" s="28">
        <f t="shared" si="17"/>
        <v>155130372.03999999</v>
      </c>
      <c r="M16" s="20">
        <f t="shared" ref="M16:M33" si="18">IF(K16&gt;0,L16/K16*100,"-")</f>
        <v>82.815005383629199</v>
      </c>
      <c r="N16" s="28">
        <f t="shared" ref="N16:O16" si="19">SUM(N11:N13)</f>
        <v>115638525.11</v>
      </c>
      <c r="O16" s="28">
        <f t="shared" si="19"/>
        <v>112800054.89</v>
      </c>
      <c r="P16" s="20">
        <f t="shared" si="4"/>
        <v>97.545393961657737</v>
      </c>
      <c r="Q16" s="13">
        <f t="shared" si="5"/>
        <v>-38.267375023955417</v>
      </c>
      <c r="R16" s="13">
        <f t="shared" si="5"/>
        <v>-27.286930723717489</v>
      </c>
    </row>
    <row r="17" spans="1:18">
      <c r="A17" t="s">
        <v>33</v>
      </c>
      <c r="B17" s="28">
        <v>41729107.450000003</v>
      </c>
      <c r="C17" s="28">
        <v>0</v>
      </c>
      <c r="D17" s="20">
        <f t="shared" si="0"/>
        <v>0</v>
      </c>
      <c r="E17" s="28">
        <v>34053627.68</v>
      </c>
      <c r="F17" s="28">
        <v>0</v>
      </c>
      <c r="G17" s="20">
        <f t="shared" si="1"/>
        <v>0</v>
      </c>
      <c r="H17" s="28">
        <v>179872062.38999999</v>
      </c>
      <c r="I17" s="28">
        <v>140000000</v>
      </c>
      <c r="J17" s="20">
        <f t="shared" si="16"/>
        <v>77.833098781316536</v>
      </c>
      <c r="K17" s="28">
        <v>193000000</v>
      </c>
      <c r="L17" s="28">
        <v>165000000</v>
      </c>
      <c r="M17" s="20">
        <f t="shared" si="18"/>
        <v>85.492227979274617</v>
      </c>
      <c r="N17" s="28">
        <v>42494372.640000001</v>
      </c>
      <c r="O17" s="28">
        <v>0</v>
      </c>
      <c r="P17" s="20">
        <f t="shared" si="4"/>
        <v>0</v>
      </c>
      <c r="Q17" s="13">
        <f t="shared" si="5"/>
        <v>-77.982190341968916</v>
      </c>
      <c r="R17" s="13">
        <f t="shared" si="5"/>
        <v>-100</v>
      </c>
    </row>
    <row r="18" spans="1:18">
      <c r="A18" t="s">
        <v>34</v>
      </c>
      <c r="B18" s="28">
        <v>0</v>
      </c>
      <c r="C18" s="28">
        <v>0</v>
      </c>
      <c r="D18" s="20" t="str">
        <f t="shared" si="0"/>
        <v>-</v>
      </c>
      <c r="E18" s="28">
        <v>0</v>
      </c>
      <c r="F18" s="28">
        <v>0</v>
      </c>
      <c r="G18" s="20" t="str">
        <f t="shared" si="1"/>
        <v>-</v>
      </c>
      <c r="H18" s="28">
        <v>0</v>
      </c>
      <c r="I18" s="28">
        <v>0</v>
      </c>
      <c r="J18" s="20" t="str">
        <f t="shared" si="16"/>
        <v>-</v>
      </c>
      <c r="K18" s="28">
        <v>0</v>
      </c>
      <c r="L18" s="28">
        <v>0</v>
      </c>
      <c r="M18" s="20" t="str">
        <f t="shared" si="18"/>
        <v>-</v>
      </c>
      <c r="N18" s="28">
        <v>0</v>
      </c>
      <c r="O18" s="28">
        <v>0</v>
      </c>
      <c r="P18" s="20" t="str">
        <f t="shared" si="4"/>
        <v>-</v>
      </c>
      <c r="Q18" s="13" t="str">
        <f t="shared" si="5"/>
        <v>-</v>
      </c>
      <c r="R18" s="13" t="str">
        <f t="shared" si="5"/>
        <v>-</v>
      </c>
    </row>
    <row r="19" spans="1:18">
      <c r="A19" t="s">
        <v>35</v>
      </c>
      <c r="B19" s="28">
        <v>2760853812.0300002</v>
      </c>
      <c r="C19" s="28">
        <v>2683653962.73</v>
      </c>
      <c r="D19" s="20">
        <f t="shared" si="0"/>
        <v>97.203769031028969</v>
      </c>
      <c r="E19" s="28">
        <v>2283952756.3800001</v>
      </c>
      <c r="F19" s="28">
        <v>2253919480.8499999</v>
      </c>
      <c r="G19" s="20">
        <f t="shared" si="1"/>
        <v>98.685030789445833</v>
      </c>
      <c r="H19" s="28">
        <v>1554133093.23</v>
      </c>
      <c r="I19" s="28">
        <v>1522989643.74</v>
      </c>
      <c r="J19" s="20">
        <f t="shared" si="16"/>
        <v>97.996088647383885</v>
      </c>
      <c r="K19" s="28">
        <v>2031005483.26</v>
      </c>
      <c r="L19" s="28">
        <v>2013810688.03</v>
      </c>
      <c r="M19" s="20">
        <f t="shared" si="18"/>
        <v>99.153385090699004</v>
      </c>
      <c r="N19" s="28">
        <v>2479401321.3979998</v>
      </c>
      <c r="O19" s="28">
        <v>2471529342.4200001</v>
      </c>
      <c r="P19" s="20">
        <f t="shared" si="4"/>
        <v>99.682504848647852</v>
      </c>
      <c r="Q19" s="13">
        <f t="shared" si="5"/>
        <v>22.077529668618737</v>
      </c>
      <c r="R19" s="13">
        <f t="shared" si="5"/>
        <v>22.728981284619223</v>
      </c>
    </row>
    <row r="20" spans="1:18">
      <c r="A20" t="s">
        <v>36</v>
      </c>
      <c r="B20" s="28">
        <v>14561475360.720001</v>
      </c>
      <c r="C20" s="28">
        <v>11732617619.24</v>
      </c>
      <c r="D20" s="20">
        <f t="shared" si="0"/>
        <v>80.573000527742352</v>
      </c>
      <c r="E20" s="28">
        <f t="shared" ref="E20:F20" si="20">E14+E15+E16+E17+E18+E19</f>
        <v>14212411602.290001</v>
      </c>
      <c r="F20" s="28">
        <f t="shared" si="20"/>
        <v>11757734742.970001</v>
      </c>
      <c r="G20" s="20">
        <f t="shared" si="1"/>
        <v>82.728639389218898</v>
      </c>
      <c r="H20" s="28">
        <f t="shared" ref="H20:I20" si="21">H14+H15+H16+H17+H18+H19</f>
        <v>13806926385.58</v>
      </c>
      <c r="I20" s="28">
        <f t="shared" si="21"/>
        <v>11549812620.439999</v>
      </c>
      <c r="J20" s="20">
        <f t="shared" si="16"/>
        <v>83.652308253795439</v>
      </c>
      <c r="K20" s="28">
        <f t="shared" ref="K20:L20" si="22">K14+K15+K16+K17+K18+K19</f>
        <v>14410655990.580002</v>
      </c>
      <c r="L20" s="28">
        <f t="shared" si="22"/>
        <v>12648550291.93</v>
      </c>
      <c r="M20" s="20">
        <f t="shared" si="18"/>
        <v>87.772203431947446</v>
      </c>
      <c r="N20" s="28">
        <f t="shared" ref="N20:O20" si="23">N14+N15+N16+N17+N18+N19</f>
        <v>15189407277.557999</v>
      </c>
      <c r="O20" s="28">
        <f t="shared" si="23"/>
        <v>13377523103.549997</v>
      </c>
      <c r="P20" s="20">
        <f t="shared" si="4"/>
        <v>88.071396461368053</v>
      </c>
      <c r="Q20" s="13">
        <f t="shared" si="5"/>
        <v>5.4039960948831975</v>
      </c>
      <c r="R20" s="13">
        <f t="shared" si="5"/>
        <v>5.7632914033246578</v>
      </c>
    </row>
    <row r="21" spans="1:18">
      <c r="A21" t="s">
        <v>37</v>
      </c>
      <c r="B21" s="28">
        <v>11800621548.690001</v>
      </c>
      <c r="C21" s="28">
        <v>9048963656.5100002</v>
      </c>
      <c r="D21" s="20">
        <f t="shared" si="0"/>
        <v>76.682093559000165</v>
      </c>
      <c r="E21" s="28">
        <f t="shared" ref="E21:F21" si="24">E20-E19</f>
        <v>11928458845.91</v>
      </c>
      <c r="F21" s="28">
        <f t="shared" si="24"/>
        <v>9503815262.1200008</v>
      </c>
      <c r="G21" s="20">
        <f t="shared" si="1"/>
        <v>79.673454759653595</v>
      </c>
      <c r="H21" s="28">
        <f t="shared" ref="H21:I21" si="25">H20-H19</f>
        <v>12252793292.35</v>
      </c>
      <c r="I21" s="28">
        <f t="shared" si="25"/>
        <v>10026822976.699999</v>
      </c>
      <c r="J21" s="20">
        <f t="shared" si="16"/>
        <v>81.832956269328562</v>
      </c>
      <c r="K21" s="28">
        <f t="shared" ref="K21:L21" si="26">K20-K19</f>
        <v>12379650507.320002</v>
      </c>
      <c r="L21" s="28">
        <f t="shared" si="26"/>
        <v>10634739603.9</v>
      </c>
      <c r="M21" s="20">
        <f t="shared" si="18"/>
        <v>85.905006749679657</v>
      </c>
      <c r="N21" s="28">
        <f t="shared" ref="N21:O21" si="27">N20-N19</f>
        <v>12710005956.16</v>
      </c>
      <c r="O21" s="28">
        <f t="shared" si="27"/>
        <v>10905993761.129997</v>
      </c>
      <c r="P21" s="20">
        <f t="shared" si="4"/>
        <v>85.806362316017058</v>
      </c>
      <c r="Q21" s="13">
        <f t="shared" si="5"/>
        <v>2.6685361484531427</v>
      </c>
      <c r="R21" s="13">
        <f t="shared" si="5"/>
        <v>2.5506422097116825</v>
      </c>
    </row>
    <row r="22" spans="1:18">
      <c r="B22" s="12" t="s">
        <v>74</v>
      </c>
      <c r="C22" s="12" t="s">
        <v>75</v>
      </c>
      <c r="D22" s="18"/>
      <c r="E22" s="12" t="s">
        <v>74</v>
      </c>
      <c r="F22" s="12" t="s">
        <v>75</v>
      </c>
      <c r="G22" s="18"/>
      <c r="H22" s="12" t="s">
        <v>74</v>
      </c>
      <c r="I22" s="12" t="s">
        <v>75</v>
      </c>
      <c r="J22" s="18"/>
      <c r="K22" s="12" t="s">
        <v>74</v>
      </c>
      <c r="L22" s="12" t="s">
        <v>75</v>
      </c>
      <c r="M22" s="18"/>
      <c r="N22" s="12" t="s">
        <v>74</v>
      </c>
      <c r="O22" s="12" t="s">
        <v>75</v>
      </c>
      <c r="P22" s="18"/>
    </row>
    <row r="23" spans="1:18">
      <c r="A23" s="5" t="s">
        <v>38</v>
      </c>
      <c r="B23" s="27">
        <v>134981296.25999999</v>
      </c>
      <c r="C23" s="27">
        <v>126216904.98999999</v>
      </c>
      <c r="D23" s="20">
        <f>IF(B23&gt;0,C23/B23*100,"-")</f>
        <v>93.506958732180138</v>
      </c>
      <c r="E23" s="27">
        <v>125046915.48999999</v>
      </c>
      <c r="F23" s="27">
        <v>120049343.90000001</v>
      </c>
      <c r="G23" s="20">
        <f>IF(E23&gt;0,F23/E23*100,"-")</f>
        <v>96.003442731540517</v>
      </c>
      <c r="H23" s="27">
        <v>129457904.38</v>
      </c>
      <c r="I23" s="27">
        <v>124435426.31999999</v>
      </c>
      <c r="J23" s="20">
        <f>IF(H23&gt;0,I23/H23*100,"-")</f>
        <v>96.120377443112758</v>
      </c>
      <c r="K23" s="27">
        <v>129722730.39</v>
      </c>
      <c r="L23" s="27">
        <v>124064685.01000001</v>
      </c>
      <c r="M23" s="20">
        <f>IF(K23&gt;0,L23/K23*100,"-")</f>
        <v>95.638354694671023</v>
      </c>
      <c r="N23" s="27">
        <v>123233591.15000001</v>
      </c>
      <c r="O23" s="27">
        <v>118638807.70999999</v>
      </c>
      <c r="P23" s="20">
        <f>IF(N23&gt;0,O23/N23*100,"-")</f>
        <v>96.271484587017156</v>
      </c>
      <c r="Q23" s="13">
        <f t="shared" si="5"/>
        <v>-5.0023147219388449</v>
      </c>
      <c r="R23" s="13">
        <f t="shared" si="5"/>
        <v>-4.3734260878207749</v>
      </c>
    </row>
    <row r="24" spans="1:18">
      <c r="A24" s="5" t="s">
        <v>39</v>
      </c>
      <c r="B24" s="27">
        <v>13560145</v>
      </c>
      <c r="C24" s="27">
        <v>11634500.91</v>
      </c>
      <c r="D24" s="20">
        <f t="shared" ref="D24:D57" si="28">IF(B24&gt;0,C24/B24*100,"-")</f>
        <v>85.799236733825495</v>
      </c>
      <c r="E24" s="27">
        <v>11380425.949999999</v>
      </c>
      <c r="F24" s="27">
        <v>9926922.0800000001</v>
      </c>
      <c r="G24" s="20">
        <f t="shared" ref="G24:G57" si="29">IF(E24&gt;0,F24/E24*100,"-")</f>
        <v>87.228036310890474</v>
      </c>
      <c r="H24" s="27">
        <v>10560174.210000001</v>
      </c>
      <c r="I24" s="27">
        <v>9380231.3300000001</v>
      </c>
      <c r="J24" s="20">
        <f t="shared" ref="J24:J26" si="30">IF(H24&gt;0,I24/H24*100,"-")</f>
        <v>88.826482816139062</v>
      </c>
      <c r="K24" s="27">
        <v>10597688.84</v>
      </c>
      <c r="L24" s="27">
        <v>9395677.6300000008</v>
      </c>
      <c r="M24" s="20">
        <f t="shared" ref="M24:M57" si="31">IF(K24&gt;0,L24/K24*100,"-")</f>
        <v>88.657798618665623</v>
      </c>
      <c r="N24" s="27">
        <v>9694319.3900000006</v>
      </c>
      <c r="O24" s="27">
        <v>8638601.1699999999</v>
      </c>
      <c r="P24" s="20">
        <f t="shared" ref="P24:P57" si="32">IF(N24&gt;0,O24/N24*100,"-")</f>
        <v>89.109929459421281</v>
      </c>
      <c r="Q24" s="13">
        <f t="shared" si="5"/>
        <v>-8.5242118695758933</v>
      </c>
      <c r="R24" s="13">
        <f t="shared" si="5"/>
        <v>-8.057710042995609</v>
      </c>
    </row>
    <row r="25" spans="1:18">
      <c r="A25" s="5" t="s">
        <v>40</v>
      </c>
      <c r="B25" s="27">
        <v>544314647.04999995</v>
      </c>
      <c r="C25" s="27">
        <v>194701308.38</v>
      </c>
      <c r="D25" s="20">
        <f t="shared" si="28"/>
        <v>35.769992491514749</v>
      </c>
      <c r="E25" s="27">
        <v>486587046.05000001</v>
      </c>
      <c r="F25" s="27">
        <v>400337826.36000001</v>
      </c>
      <c r="G25" s="20">
        <f t="shared" si="29"/>
        <v>82.27465766091575</v>
      </c>
      <c r="H25" s="27">
        <v>508461502.38</v>
      </c>
      <c r="I25" s="27">
        <v>426897919.31</v>
      </c>
      <c r="J25" s="20">
        <f t="shared" si="30"/>
        <v>83.958749543826187</v>
      </c>
      <c r="K25" s="27">
        <v>520489998.44</v>
      </c>
      <c r="L25" s="27">
        <v>438615749.44999999</v>
      </c>
      <c r="M25" s="20">
        <f t="shared" si="31"/>
        <v>84.269774782341344</v>
      </c>
      <c r="N25" s="27">
        <v>359829510.16000003</v>
      </c>
      <c r="O25" s="27">
        <v>324343412.29000002</v>
      </c>
      <c r="P25" s="20">
        <f t="shared" si="32"/>
        <v>90.138080155176553</v>
      </c>
      <c r="Q25" s="13">
        <f t="shared" si="5"/>
        <v>-30.867161475057671</v>
      </c>
      <c r="R25" s="13">
        <f t="shared" si="5"/>
        <v>-26.052948920163317</v>
      </c>
    </row>
    <row r="26" spans="1:18">
      <c r="A26" s="5" t="s">
        <v>41</v>
      </c>
      <c r="B26" s="27">
        <v>9647162189.1200008</v>
      </c>
      <c r="C26" s="27">
        <v>8784489243.5900002</v>
      </c>
      <c r="D26" s="20">
        <f t="shared" si="28"/>
        <v>91.057754305168444</v>
      </c>
      <c r="E26" s="27">
        <v>9932359750.6000004</v>
      </c>
      <c r="F26" s="27">
        <v>9245232172.5100002</v>
      </c>
      <c r="G26" s="20">
        <f t="shared" si="29"/>
        <v>93.081930222588923</v>
      </c>
      <c r="H26" s="27">
        <v>10084249187.809999</v>
      </c>
      <c r="I26" s="27">
        <v>9416182216</v>
      </c>
      <c r="J26" s="20">
        <f t="shared" si="30"/>
        <v>93.375144154335572</v>
      </c>
      <c r="K26" s="27">
        <v>10267232037.299999</v>
      </c>
      <c r="L26" s="27">
        <v>9582314063</v>
      </c>
      <c r="M26" s="20">
        <f t="shared" si="31"/>
        <v>93.329088387096448</v>
      </c>
      <c r="N26" s="27">
        <v>11221243914.99</v>
      </c>
      <c r="O26" s="27">
        <v>10674639189.17</v>
      </c>
      <c r="P26" s="20">
        <f t="shared" si="32"/>
        <v>95.128840171722743</v>
      </c>
      <c r="Q26" s="13">
        <f t="shared" si="5"/>
        <v>9.2918117972220244</v>
      </c>
      <c r="R26" s="13">
        <f t="shared" si="5"/>
        <v>11.399387653007253</v>
      </c>
    </row>
    <row r="27" spans="1:18">
      <c r="A27" s="5" t="s">
        <v>350</v>
      </c>
      <c r="B27" s="27">
        <v>0</v>
      </c>
      <c r="C27" s="27">
        <v>0</v>
      </c>
      <c r="D27" s="20"/>
      <c r="E27" s="27">
        <v>0</v>
      </c>
      <c r="F27" s="27">
        <v>0</v>
      </c>
      <c r="G27" s="20"/>
      <c r="H27" s="27">
        <v>0</v>
      </c>
      <c r="I27" s="27">
        <v>0</v>
      </c>
      <c r="J27" s="20"/>
      <c r="K27" s="27">
        <v>0</v>
      </c>
      <c r="L27" s="27">
        <v>0</v>
      </c>
      <c r="M27" s="20"/>
      <c r="N27" s="27">
        <v>0</v>
      </c>
      <c r="O27" s="27">
        <v>0</v>
      </c>
      <c r="P27" s="20"/>
      <c r="Q27" s="13" t="str">
        <f t="shared" si="5"/>
        <v>-</v>
      </c>
      <c r="R27" s="13" t="str">
        <f t="shared" si="5"/>
        <v>-</v>
      </c>
    </row>
    <row r="28" spans="1:18">
      <c r="A28" s="5" t="s">
        <v>351</v>
      </c>
      <c r="B28" s="27">
        <v>0</v>
      </c>
      <c r="C28" s="27">
        <v>0</v>
      </c>
      <c r="D28" s="20"/>
      <c r="E28" s="27">
        <v>0</v>
      </c>
      <c r="F28" s="27">
        <v>0</v>
      </c>
      <c r="G28" s="20"/>
      <c r="H28" s="27">
        <v>0</v>
      </c>
      <c r="I28" s="27">
        <v>0</v>
      </c>
      <c r="J28" s="20"/>
      <c r="K28" s="27">
        <v>0</v>
      </c>
      <c r="L28" s="27">
        <v>0</v>
      </c>
      <c r="M28" s="20"/>
      <c r="N28" s="27">
        <v>0</v>
      </c>
      <c r="O28" s="27">
        <v>0</v>
      </c>
      <c r="P28" s="20"/>
      <c r="Q28" s="13" t="str">
        <f t="shared" si="5"/>
        <v>-</v>
      </c>
      <c r="R28" s="13" t="str">
        <f t="shared" si="5"/>
        <v>-</v>
      </c>
    </row>
    <row r="29" spans="1:18">
      <c r="A29" s="5" t="s">
        <v>42</v>
      </c>
      <c r="B29" s="27">
        <v>58398153.159999996</v>
      </c>
      <c r="C29" s="27">
        <v>57803450.030000001</v>
      </c>
      <c r="D29" s="20">
        <f t="shared" si="28"/>
        <v>98.981640518030389</v>
      </c>
      <c r="E29" s="27">
        <v>56385170.530000001</v>
      </c>
      <c r="F29" s="27">
        <v>55440377.119999997</v>
      </c>
      <c r="G29" s="20">
        <f t="shared" si="29"/>
        <v>98.324393805819341</v>
      </c>
      <c r="H29" s="27">
        <v>57950235.549999997</v>
      </c>
      <c r="I29" s="27">
        <v>57451965.219999999</v>
      </c>
      <c r="J29" s="20">
        <f t="shared" ref="J29:J57" si="33">IF(H29&gt;0,I29/H29*100,"-")</f>
        <v>99.140175488035624</v>
      </c>
      <c r="K29" s="27">
        <v>61097763.810000002</v>
      </c>
      <c r="L29" s="27">
        <v>61041327.299999997</v>
      </c>
      <c r="M29" s="20">
        <f t="shared" ref="M29:M62" si="34">IF(K29&gt;0,L29/K29*100,"-")</f>
        <v>99.90762917252502</v>
      </c>
      <c r="N29" s="27">
        <v>59247467.600000001</v>
      </c>
      <c r="O29" s="27">
        <v>59242273.490000002</v>
      </c>
      <c r="P29" s="20">
        <f t="shared" si="32"/>
        <v>99.991233194918877</v>
      </c>
      <c r="Q29" s="13">
        <f t="shared" si="5"/>
        <v>-3.0284188726677428</v>
      </c>
      <c r="R29" s="13">
        <f t="shared" si="5"/>
        <v>-2.9472717740198817</v>
      </c>
    </row>
    <row r="30" spans="1:18">
      <c r="A30" s="5" t="s">
        <v>43</v>
      </c>
      <c r="B30" s="27">
        <v>0</v>
      </c>
      <c r="C30" s="27">
        <v>0</v>
      </c>
      <c r="D30" s="20" t="str">
        <f t="shared" si="28"/>
        <v>-</v>
      </c>
      <c r="E30" s="27">
        <v>0</v>
      </c>
      <c r="F30" s="27">
        <v>0</v>
      </c>
      <c r="G30" s="20" t="str">
        <f t="shared" si="29"/>
        <v>-</v>
      </c>
      <c r="H30" s="27">
        <v>0</v>
      </c>
      <c r="I30" s="27">
        <v>0</v>
      </c>
      <c r="J30" s="20" t="str">
        <f t="shared" si="33"/>
        <v>-</v>
      </c>
      <c r="K30" s="27">
        <v>0</v>
      </c>
      <c r="L30" s="27">
        <v>0</v>
      </c>
      <c r="M30" s="20" t="str">
        <f t="shared" si="34"/>
        <v>-</v>
      </c>
      <c r="N30" s="27">
        <v>0</v>
      </c>
      <c r="O30" s="27">
        <v>0</v>
      </c>
      <c r="P30" s="20" t="str">
        <f t="shared" si="32"/>
        <v>-</v>
      </c>
      <c r="Q30" s="13" t="str">
        <f t="shared" si="5"/>
        <v>-</v>
      </c>
      <c r="R30" s="13" t="str">
        <f t="shared" si="5"/>
        <v>-</v>
      </c>
    </row>
    <row r="31" spans="1:18">
      <c r="A31" s="5" t="s">
        <v>44</v>
      </c>
      <c r="B31" s="27">
        <v>113939305.59</v>
      </c>
      <c r="C31" s="27">
        <v>43007827.130000003</v>
      </c>
      <c r="D31" s="20">
        <f t="shared" si="28"/>
        <v>37.746260526424194</v>
      </c>
      <c r="E31" s="27">
        <v>84719019.299999997</v>
      </c>
      <c r="F31" s="27">
        <v>47952315.600000001</v>
      </c>
      <c r="G31" s="20">
        <f t="shared" si="29"/>
        <v>56.601594301033188</v>
      </c>
      <c r="H31" s="27">
        <v>90382825.150000006</v>
      </c>
      <c r="I31" s="27">
        <v>2564888.23</v>
      </c>
      <c r="J31" s="20">
        <f t="shared" si="33"/>
        <v>2.8378048879787641</v>
      </c>
      <c r="K31" s="27">
        <v>42109905.43</v>
      </c>
      <c r="L31" s="27">
        <v>4443888.4400000004</v>
      </c>
      <c r="M31" s="20">
        <f t="shared" si="34"/>
        <v>10.553071527047599</v>
      </c>
      <c r="N31" s="27">
        <v>57558452.359999999</v>
      </c>
      <c r="O31" s="27">
        <v>20058477.010000002</v>
      </c>
      <c r="P31" s="20">
        <f t="shared" si="32"/>
        <v>34.848881767258142</v>
      </c>
      <c r="Q31" s="13">
        <f t="shared" si="5"/>
        <v>36.686254153860261</v>
      </c>
      <c r="R31" s="13">
        <f t="shared" si="5"/>
        <v>351.37219983857204</v>
      </c>
    </row>
    <row r="32" spans="1:18">
      <c r="A32" s="5" t="s">
        <v>45</v>
      </c>
      <c r="B32" s="27">
        <v>6198496.5899999999</v>
      </c>
      <c r="C32" s="27">
        <v>5977517.8600000003</v>
      </c>
      <c r="D32" s="20">
        <f t="shared" si="28"/>
        <v>96.434962465632339</v>
      </c>
      <c r="E32" s="27">
        <v>3650716.65</v>
      </c>
      <c r="F32" s="27">
        <v>3459321.7</v>
      </c>
      <c r="G32" s="20">
        <f t="shared" si="29"/>
        <v>94.757332098069028</v>
      </c>
      <c r="H32" s="27">
        <v>2789982</v>
      </c>
      <c r="I32" s="27">
        <v>2426047.71</v>
      </c>
      <c r="J32" s="20">
        <f t="shared" si="33"/>
        <v>86.955676058125107</v>
      </c>
      <c r="K32" s="27">
        <v>3069968.58</v>
      </c>
      <c r="L32" s="27">
        <v>2163292.0699999998</v>
      </c>
      <c r="M32" s="20">
        <f t="shared" si="34"/>
        <v>70.466260928312167</v>
      </c>
      <c r="N32" s="27">
        <v>3926819.01</v>
      </c>
      <c r="O32" s="27">
        <v>3470533.57</v>
      </c>
      <c r="P32" s="20">
        <f t="shared" si="32"/>
        <v>88.380278315908427</v>
      </c>
      <c r="Q32" s="13">
        <f t="shared" si="5"/>
        <v>27.91072311235186</v>
      </c>
      <c r="R32" s="13">
        <f t="shared" si="5"/>
        <v>60.428340589257573</v>
      </c>
    </row>
    <row r="33" spans="1:18">
      <c r="A33" s="5" t="s">
        <v>46</v>
      </c>
      <c r="B33" s="28">
        <v>0</v>
      </c>
      <c r="C33" s="28">
        <v>0</v>
      </c>
      <c r="D33" s="20" t="str">
        <f t="shared" si="28"/>
        <v>-</v>
      </c>
      <c r="E33" s="28">
        <v>0</v>
      </c>
      <c r="F33" s="28">
        <v>0</v>
      </c>
      <c r="G33" s="20" t="str">
        <f t="shared" si="29"/>
        <v>-</v>
      </c>
      <c r="H33" s="28">
        <v>0</v>
      </c>
      <c r="I33" s="28">
        <v>0</v>
      </c>
      <c r="J33" s="20" t="str">
        <f t="shared" si="33"/>
        <v>-</v>
      </c>
      <c r="K33" s="28">
        <v>0</v>
      </c>
      <c r="L33" s="28">
        <v>0</v>
      </c>
      <c r="M33" s="20" t="str">
        <f t="shared" si="34"/>
        <v>-</v>
      </c>
      <c r="N33" s="28">
        <v>0</v>
      </c>
      <c r="O33" s="28">
        <v>0</v>
      </c>
      <c r="P33" s="20" t="str">
        <f t="shared" si="32"/>
        <v>-</v>
      </c>
      <c r="Q33" s="13" t="str">
        <f t="shared" si="5"/>
        <v>-</v>
      </c>
      <c r="R33" s="13" t="str">
        <f t="shared" si="5"/>
        <v>-</v>
      </c>
    </row>
    <row r="34" spans="1:18">
      <c r="A34" s="5" t="s">
        <v>47</v>
      </c>
      <c r="B34" s="27">
        <v>393443888.31999999</v>
      </c>
      <c r="C34" s="27">
        <v>340374070.42000002</v>
      </c>
      <c r="D34" s="20">
        <f t="shared" si="28"/>
        <v>86.511464664857968</v>
      </c>
      <c r="E34" s="27">
        <v>160568199.96000001</v>
      </c>
      <c r="F34" s="27">
        <v>125252906.53</v>
      </c>
      <c r="G34" s="20">
        <f t="shared" si="29"/>
        <v>78.006047624126325</v>
      </c>
      <c r="H34" s="27">
        <v>74730806.540000007</v>
      </c>
      <c r="I34" s="27">
        <v>54875234.450000003</v>
      </c>
      <c r="J34" s="20">
        <f t="shared" si="33"/>
        <v>73.430539546803601</v>
      </c>
      <c r="K34" s="27">
        <v>102447192.3</v>
      </c>
      <c r="L34" s="27">
        <v>48507115.390000001</v>
      </c>
      <c r="M34" s="20">
        <f t="shared" si="34"/>
        <v>47.348408776254971</v>
      </c>
      <c r="N34" s="27">
        <v>66778227.240000002</v>
      </c>
      <c r="O34" s="27">
        <v>34933011.450000003</v>
      </c>
      <c r="P34" s="20">
        <f t="shared" si="32"/>
        <v>52.311977861363786</v>
      </c>
      <c r="Q34" s="13">
        <f t="shared" si="5"/>
        <v>-34.816927881780515</v>
      </c>
      <c r="R34" s="13">
        <f t="shared" si="5"/>
        <v>-27.983737707063014</v>
      </c>
    </row>
    <row r="35" spans="1:18">
      <c r="A35" s="5" t="s">
        <v>48</v>
      </c>
      <c r="B35" s="27">
        <v>401960000.06999999</v>
      </c>
      <c r="C35" s="27">
        <v>151690375.44999999</v>
      </c>
      <c r="D35" s="20">
        <f t="shared" si="28"/>
        <v>37.737679227680268</v>
      </c>
      <c r="E35" s="27">
        <v>410952896.49000001</v>
      </c>
      <c r="F35" s="27">
        <v>213676237.02000001</v>
      </c>
      <c r="G35" s="20">
        <f t="shared" si="29"/>
        <v>51.995311103787181</v>
      </c>
      <c r="H35" s="27">
        <v>638683890.50999999</v>
      </c>
      <c r="I35" s="27">
        <v>434576299.29000002</v>
      </c>
      <c r="J35" s="20">
        <f t="shared" si="33"/>
        <v>68.04247073508985</v>
      </c>
      <c r="K35" s="27">
        <v>664610281.74000001</v>
      </c>
      <c r="L35" s="27">
        <v>427325509.17000002</v>
      </c>
      <c r="M35" s="20">
        <f t="shared" si="34"/>
        <v>64.297155928919651</v>
      </c>
      <c r="N35" s="27">
        <v>405225953.02999997</v>
      </c>
      <c r="O35" s="27">
        <v>194334088.71000001</v>
      </c>
      <c r="P35" s="20">
        <f t="shared" si="32"/>
        <v>47.956969995851409</v>
      </c>
      <c r="Q35" s="13">
        <f t="shared" si="5"/>
        <v>-39.028034298673845</v>
      </c>
      <c r="R35" s="13">
        <f t="shared" si="5"/>
        <v>-54.523171554289448</v>
      </c>
    </row>
    <row r="36" spans="1:18">
      <c r="A36" s="5" t="s">
        <v>49</v>
      </c>
      <c r="B36" s="27">
        <v>0</v>
      </c>
      <c r="C36" s="27">
        <v>0</v>
      </c>
      <c r="D36" s="20" t="str">
        <f t="shared" si="28"/>
        <v>-</v>
      </c>
      <c r="E36" s="27">
        <v>9903442.9299999997</v>
      </c>
      <c r="F36" s="27">
        <v>9819868.4000000004</v>
      </c>
      <c r="G36" s="20">
        <f t="shared" si="29"/>
        <v>99.156106309788171</v>
      </c>
      <c r="H36" s="27">
        <v>0</v>
      </c>
      <c r="I36" s="27">
        <v>0</v>
      </c>
      <c r="J36" s="20" t="str">
        <f t="shared" si="33"/>
        <v>-</v>
      </c>
      <c r="K36" s="27">
        <v>0</v>
      </c>
      <c r="L36" s="27">
        <v>0</v>
      </c>
      <c r="M36" s="20" t="str">
        <f t="shared" si="34"/>
        <v>-</v>
      </c>
      <c r="N36" s="27">
        <v>0</v>
      </c>
      <c r="O36" s="27">
        <v>0</v>
      </c>
      <c r="P36" s="20" t="str">
        <f t="shared" si="32"/>
        <v>-</v>
      </c>
      <c r="Q36" s="13" t="str">
        <f t="shared" si="5"/>
        <v>-</v>
      </c>
      <c r="R36" s="13" t="str">
        <f t="shared" si="5"/>
        <v>-</v>
      </c>
    </row>
    <row r="37" spans="1:18">
      <c r="A37" s="5" t="s">
        <v>50</v>
      </c>
      <c r="B37" s="27">
        <v>0</v>
      </c>
      <c r="C37" s="27">
        <v>0</v>
      </c>
      <c r="D37" s="20" t="str">
        <f t="shared" si="28"/>
        <v>-</v>
      </c>
      <c r="E37" s="27">
        <v>4919585.7699999996</v>
      </c>
      <c r="F37" s="27">
        <v>823909.85</v>
      </c>
      <c r="G37" s="20">
        <f t="shared" si="29"/>
        <v>16.747545190171572</v>
      </c>
      <c r="H37" s="27">
        <v>51345.08</v>
      </c>
      <c r="I37" s="27">
        <v>47271.18</v>
      </c>
      <c r="J37" s="20">
        <f t="shared" si="33"/>
        <v>92.065646796148727</v>
      </c>
      <c r="K37" s="27">
        <v>22150.16</v>
      </c>
      <c r="L37" s="27">
        <v>22150.16</v>
      </c>
      <c r="M37" s="20">
        <f t="shared" si="34"/>
        <v>100</v>
      </c>
      <c r="N37" s="27">
        <v>110118.71</v>
      </c>
      <c r="O37" s="27">
        <v>110118.71</v>
      </c>
      <c r="P37" s="20">
        <f t="shared" si="32"/>
        <v>100</v>
      </c>
      <c r="Q37" s="13">
        <f t="shared" si="5"/>
        <v>397.14634115509784</v>
      </c>
      <c r="R37" s="13">
        <f t="shared" si="5"/>
        <v>397.14634115509784</v>
      </c>
    </row>
    <row r="38" spans="1:18">
      <c r="A38" s="5" t="s">
        <v>51</v>
      </c>
      <c r="B38" s="27">
        <v>0</v>
      </c>
      <c r="C38" s="27">
        <v>0</v>
      </c>
      <c r="D38" s="20" t="str">
        <f t="shared" si="28"/>
        <v>-</v>
      </c>
      <c r="E38" s="27">
        <v>20000</v>
      </c>
      <c r="F38" s="27">
        <v>20000</v>
      </c>
      <c r="G38" s="20">
        <f t="shared" si="29"/>
        <v>100</v>
      </c>
      <c r="H38" s="27">
        <v>4385163.88</v>
      </c>
      <c r="I38" s="27">
        <v>4385163.88</v>
      </c>
      <c r="J38" s="20">
        <f t="shared" si="33"/>
        <v>100</v>
      </c>
      <c r="K38" s="27">
        <v>256585.67</v>
      </c>
      <c r="L38" s="27">
        <v>256585.67</v>
      </c>
      <c r="M38" s="20">
        <f t="shared" si="34"/>
        <v>100</v>
      </c>
      <c r="N38" s="27">
        <v>4000</v>
      </c>
      <c r="O38" s="27">
        <v>4000</v>
      </c>
      <c r="P38" s="20">
        <f t="shared" si="32"/>
        <v>100</v>
      </c>
      <c r="Q38" s="13">
        <f t="shared" si="5"/>
        <v>-98.441066486682601</v>
      </c>
      <c r="R38" s="13">
        <f t="shared" si="5"/>
        <v>-98.441066486682601</v>
      </c>
    </row>
    <row r="39" spans="1:18">
      <c r="A39" s="5" t="s">
        <v>261</v>
      </c>
      <c r="B39" s="27">
        <v>0</v>
      </c>
      <c r="C39" s="27">
        <v>0</v>
      </c>
      <c r="D39" s="20" t="str">
        <f t="shared" si="28"/>
        <v>-</v>
      </c>
      <c r="E39" s="27">
        <v>0</v>
      </c>
      <c r="F39" s="27">
        <v>0</v>
      </c>
      <c r="G39" s="20" t="str">
        <f t="shared" si="29"/>
        <v>-</v>
      </c>
      <c r="H39" s="27">
        <v>1000000</v>
      </c>
      <c r="I39" s="27">
        <v>0</v>
      </c>
      <c r="J39" s="20">
        <f t="shared" si="33"/>
        <v>0</v>
      </c>
      <c r="K39" s="27">
        <v>0</v>
      </c>
      <c r="L39" s="27">
        <v>0</v>
      </c>
      <c r="M39" s="20" t="str">
        <f t="shared" si="34"/>
        <v>-</v>
      </c>
      <c r="N39" s="27">
        <v>604.1</v>
      </c>
      <c r="O39" s="27">
        <v>604.1</v>
      </c>
      <c r="P39" s="20">
        <f t="shared" si="32"/>
        <v>100</v>
      </c>
      <c r="Q39" s="13" t="str">
        <f t="shared" si="5"/>
        <v>-</v>
      </c>
      <c r="R39" s="13" t="str">
        <f t="shared" si="5"/>
        <v>-</v>
      </c>
    </row>
    <row r="40" spans="1:18">
      <c r="A40" s="5" t="s">
        <v>52</v>
      </c>
      <c r="B40" s="27">
        <v>619390.42000000004</v>
      </c>
      <c r="C40" s="27">
        <v>619390.42000000004</v>
      </c>
      <c r="D40" s="20">
        <f t="shared" si="28"/>
        <v>100</v>
      </c>
      <c r="E40" s="27">
        <v>1828480.3</v>
      </c>
      <c r="F40" s="27">
        <v>975689.36</v>
      </c>
      <c r="G40" s="20">
        <f t="shared" si="29"/>
        <v>53.360671154072591</v>
      </c>
      <c r="H40" s="27">
        <v>14425922.99</v>
      </c>
      <c r="I40" s="27">
        <v>537912.24</v>
      </c>
      <c r="J40" s="20">
        <f t="shared" si="33"/>
        <v>3.7287890720952754</v>
      </c>
      <c r="K40" s="27">
        <v>1623609.17</v>
      </c>
      <c r="L40" s="27">
        <v>1623609.17</v>
      </c>
      <c r="M40" s="20">
        <f t="shared" si="34"/>
        <v>100</v>
      </c>
      <c r="N40" s="27">
        <v>1469085.37</v>
      </c>
      <c r="O40" s="27">
        <v>469085.37</v>
      </c>
      <c r="P40" s="20">
        <f t="shared" si="32"/>
        <v>31.930436418409091</v>
      </c>
      <c r="Q40" s="13">
        <f t="shared" si="5"/>
        <v>-9.5173027385648368</v>
      </c>
      <c r="R40" s="13">
        <f t="shared" si="5"/>
        <v>-71.108479881275855</v>
      </c>
    </row>
    <row r="41" spans="1:18">
      <c r="A41" s="5" t="s">
        <v>53</v>
      </c>
      <c r="B41" s="27">
        <v>144815047.52000001</v>
      </c>
      <c r="C41" s="27">
        <v>144815047.52000001</v>
      </c>
      <c r="D41" s="20">
        <f t="shared" si="28"/>
        <v>100</v>
      </c>
      <c r="E41" s="27">
        <v>60891920.329999998</v>
      </c>
      <c r="F41" s="27">
        <v>60891920.329999998</v>
      </c>
      <c r="G41" s="20">
        <f t="shared" si="29"/>
        <v>100</v>
      </c>
      <c r="H41" s="27">
        <v>133399418.12</v>
      </c>
      <c r="I41" s="27">
        <v>133399418.12</v>
      </c>
      <c r="J41" s="20">
        <f t="shared" si="33"/>
        <v>100</v>
      </c>
      <c r="K41" s="27">
        <v>164906727.53</v>
      </c>
      <c r="L41" s="27">
        <v>164906727.53</v>
      </c>
      <c r="M41" s="20">
        <f t="shared" si="34"/>
        <v>100</v>
      </c>
      <c r="N41" s="27">
        <v>103082109.87</v>
      </c>
      <c r="O41" s="27">
        <v>103082109.87</v>
      </c>
      <c r="P41" s="20">
        <f t="shared" si="32"/>
        <v>100</v>
      </c>
      <c r="Q41" s="13">
        <f t="shared" si="5"/>
        <v>-37.490658256348453</v>
      </c>
      <c r="R41" s="13">
        <f t="shared" si="5"/>
        <v>-37.490658256348453</v>
      </c>
    </row>
    <row r="42" spans="1:18">
      <c r="A42" s="5" t="s">
        <v>54</v>
      </c>
      <c r="B42" s="27">
        <v>37353500</v>
      </c>
      <c r="C42" s="27">
        <v>37353500</v>
      </c>
      <c r="D42" s="20">
        <f t="shared" si="28"/>
        <v>100</v>
      </c>
      <c r="E42" s="27">
        <v>37788000</v>
      </c>
      <c r="F42" s="27">
        <v>37788000</v>
      </c>
      <c r="G42" s="20">
        <f t="shared" si="29"/>
        <v>100</v>
      </c>
      <c r="H42" s="27">
        <v>38186000</v>
      </c>
      <c r="I42" s="27">
        <v>38186000</v>
      </c>
      <c r="J42" s="20">
        <f t="shared" si="33"/>
        <v>100</v>
      </c>
      <c r="K42" s="27">
        <v>38647500</v>
      </c>
      <c r="L42" s="27">
        <v>38647500</v>
      </c>
      <c r="M42" s="20">
        <f t="shared" si="34"/>
        <v>100</v>
      </c>
      <c r="N42" s="27">
        <v>39072500</v>
      </c>
      <c r="O42" s="27">
        <v>39072500</v>
      </c>
      <c r="P42" s="20">
        <f t="shared" si="32"/>
        <v>100</v>
      </c>
      <c r="Q42" s="13">
        <f t="shared" si="5"/>
        <v>1.0996830325376834</v>
      </c>
      <c r="R42" s="13">
        <f t="shared" si="5"/>
        <v>1.0996830325376834</v>
      </c>
    </row>
    <row r="43" spans="1:18">
      <c r="A43" s="5" t="s">
        <v>55</v>
      </c>
      <c r="B43" s="27">
        <v>0</v>
      </c>
      <c r="C43" s="27">
        <v>0</v>
      </c>
      <c r="D43" s="20" t="str">
        <f t="shared" si="28"/>
        <v>-</v>
      </c>
      <c r="E43" s="27">
        <v>0</v>
      </c>
      <c r="F43" s="27">
        <v>0</v>
      </c>
      <c r="G43" s="20" t="str">
        <f t="shared" si="29"/>
        <v>-</v>
      </c>
      <c r="H43" s="27">
        <v>0</v>
      </c>
      <c r="I43" s="27">
        <v>0</v>
      </c>
      <c r="J43" s="20" t="str">
        <f t="shared" si="33"/>
        <v>-</v>
      </c>
      <c r="K43" s="27">
        <v>0</v>
      </c>
      <c r="L43" s="27">
        <v>0</v>
      </c>
      <c r="M43" s="20" t="str">
        <f t="shared" si="34"/>
        <v>-</v>
      </c>
      <c r="N43" s="27">
        <v>0</v>
      </c>
      <c r="O43" s="27">
        <v>0</v>
      </c>
      <c r="P43" s="20" t="str">
        <f t="shared" si="32"/>
        <v>-</v>
      </c>
      <c r="Q43" s="13" t="str">
        <f t="shared" si="5"/>
        <v>-</v>
      </c>
      <c r="R43" s="13" t="str">
        <f t="shared" si="5"/>
        <v>-</v>
      </c>
    </row>
    <row r="44" spans="1:18">
      <c r="A44" s="5" t="s">
        <v>56</v>
      </c>
      <c r="B44" s="27">
        <v>69806156.590000004</v>
      </c>
      <c r="C44" s="27">
        <v>69806156.590000004</v>
      </c>
      <c r="D44" s="20">
        <f t="shared" si="28"/>
        <v>100</v>
      </c>
      <c r="E44" s="27">
        <v>68001972.340000004</v>
      </c>
      <c r="F44" s="27">
        <v>68001972.340000004</v>
      </c>
      <c r="G44" s="20">
        <f t="shared" si="29"/>
        <v>100</v>
      </c>
      <c r="H44" s="27">
        <v>69932048.170000002</v>
      </c>
      <c r="I44" s="27">
        <v>69932048.170000002</v>
      </c>
      <c r="J44" s="20">
        <f t="shared" si="33"/>
        <v>100</v>
      </c>
      <c r="K44" s="27">
        <v>68450177.060000002</v>
      </c>
      <c r="L44" s="27">
        <v>68450177.060000002</v>
      </c>
      <c r="M44" s="20">
        <f t="shared" si="34"/>
        <v>100</v>
      </c>
      <c r="N44" s="27">
        <v>60620080.75</v>
      </c>
      <c r="O44" s="27">
        <v>60620080.75</v>
      </c>
      <c r="P44" s="20">
        <f t="shared" si="32"/>
        <v>100</v>
      </c>
      <c r="Q44" s="13">
        <f t="shared" si="5"/>
        <v>-11.439117685753445</v>
      </c>
      <c r="R44" s="13">
        <f t="shared" si="5"/>
        <v>-11.439117685753445</v>
      </c>
    </row>
    <row r="45" spans="1:18">
      <c r="A45" s="5" t="s">
        <v>57</v>
      </c>
      <c r="B45" s="27">
        <v>0</v>
      </c>
      <c r="C45" s="27">
        <v>0</v>
      </c>
      <c r="D45" s="20" t="str">
        <f t="shared" si="28"/>
        <v>-</v>
      </c>
      <c r="E45" s="27">
        <v>0</v>
      </c>
      <c r="F45" s="27">
        <v>0</v>
      </c>
      <c r="G45" s="20" t="str">
        <f t="shared" si="29"/>
        <v>-</v>
      </c>
      <c r="H45" s="27">
        <v>3280275.37</v>
      </c>
      <c r="I45" s="27">
        <v>3280275.37</v>
      </c>
      <c r="J45" s="20">
        <f t="shared" si="33"/>
        <v>100</v>
      </c>
      <c r="K45" s="27">
        <v>3322595.36</v>
      </c>
      <c r="L45" s="27">
        <v>3322595.36</v>
      </c>
      <c r="M45" s="20">
        <f t="shared" si="34"/>
        <v>100</v>
      </c>
      <c r="N45" s="27">
        <v>3365461.31</v>
      </c>
      <c r="O45" s="27">
        <v>3365461.31</v>
      </c>
      <c r="P45" s="20">
        <f t="shared" si="32"/>
        <v>100</v>
      </c>
      <c r="Q45" s="13">
        <f t="shared" si="5"/>
        <v>1.2901345290508175</v>
      </c>
      <c r="R45" s="13">
        <f t="shared" si="5"/>
        <v>1.2901345290508175</v>
      </c>
    </row>
    <row r="46" spans="1:18">
      <c r="A46" s="5" t="s">
        <v>58</v>
      </c>
      <c r="B46" s="27">
        <v>0</v>
      </c>
      <c r="C46" s="27">
        <v>0</v>
      </c>
      <c r="D46" s="20" t="str">
        <f t="shared" si="28"/>
        <v>-</v>
      </c>
      <c r="E46" s="27">
        <v>0</v>
      </c>
      <c r="F46" s="27">
        <v>0</v>
      </c>
      <c r="G46" s="20" t="str">
        <f t="shared" si="29"/>
        <v>-</v>
      </c>
      <c r="H46" s="27">
        <v>0</v>
      </c>
      <c r="I46" s="27">
        <v>0</v>
      </c>
      <c r="J46" s="20" t="str">
        <f t="shared" si="33"/>
        <v>-</v>
      </c>
      <c r="K46" s="27">
        <v>0</v>
      </c>
      <c r="L46" s="27">
        <v>0</v>
      </c>
      <c r="M46" s="20" t="str">
        <f t="shared" si="34"/>
        <v>-</v>
      </c>
      <c r="N46" s="27">
        <v>0</v>
      </c>
      <c r="O46" s="27">
        <v>0</v>
      </c>
      <c r="P46" s="20" t="str">
        <f t="shared" si="32"/>
        <v>-</v>
      </c>
      <c r="Q46" s="13" t="str">
        <f t="shared" si="5"/>
        <v>-</v>
      </c>
      <c r="R46" s="13" t="str">
        <f t="shared" si="5"/>
        <v>-</v>
      </c>
    </row>
    <row r="47" spans="1:18">
      <c r="A47" s="5" t="s">
        <v>59</v>
      </c>
      <c r="B47" s="27">
        <v>0</v>
      </c>
      <c r="C47" s="27">
        <v>0</v>
      </c>
      <c r="D47" s="20" t="str">
        <f t="shared" si="28"/>
        <v>-</v>
      </c>
      <c r="E47" s="27">
        <v>0</v>
      </c>
      <c r="F47" s="27">
        <v>0</v>
      </c>
      <c r="G47" s="20" t="str">
        <f t="shared" si="29"/>
        <v>-</v>
      </c>
      <c r="H47" s="27">
        <v>0</v>
      </c>
      <c r="I47" s="27">
        <v>0</v>
      </c>
      <c r="J47" s="20" t="str">
        <f t="shared" si="33"/>
        <v>-</v>
      </c>
      <c r="K47" s="27">
        <v>0</v>
      </c>
      <c r="L47" s="27">
        <v>0</v>
      </c>
      <c r="M47" s="20" t="str">
        <f t="shared" si="34"/>
        <v>-</v>
      </c>
      <c r="N47" s="27">
        <v>0</v>
      </c>
      <c r="O47" s="27">
        <v>0</v>
      </c>
      <c r="P47" s="20" t="str">
        <f t="shared" si="32"/>
        <v>-</v>
      </c>
      <c r="Q47" s="13" t="str">
        <f t="shared" ref="Q47:R60" si="35">IF(K47&gt;0,N47/K47*100-100,"-")</f>
        <v>-</v>
      </c>
      <c r="R47" s="13" t="str">
        <f t="shared" si="35"/>
        <v>-</v>
      </c>
    </row>
    <row r="48" spans="1:18">
      <c r="A48" s="5" t="s">
        <v>60</v>
      </c>
      <c r="B48" s="27">
        <v>2753736499.0999999</v>
      </c>
      <c r="C48" s="27">
        <v>0</v>
      </c>
      <c r="D48" s="20">
        <f t="shared" si="28"/>
        <v>0</v>
      </c>
      <c r="E48" s="27">
        <v>2277098812.6500001</v>
      </c>
      <c r="F48" s="27">
        <v>0</v>
      </c>
      <c r="G48" s="20">
        <f t="shared" si="29"/>
        <v>0</v>
      </c>
      <c r="H48" s="27">
        <v>1546802846.3099999</v>
      </c>
      <c r="I48" s="27">
        <v>0</v>
      </c>
      <c r="J48" s="20">
        <f t="shared" si="33"/>
        <v>0</v>
      </c>
      <c r="K48" s="27">
        <v>2022227749.8099999</v>
      </c>
      <c r="L48" s="27">
        <v>0</v>
      </c>
      <c r="M48" s="20">
        <f t="shared" si="34"/>
        <v>0</v>
      </c>
      <c r="N48" s="27">
        <v>2471214979.4899998</v>
      </c>
      <c r="O48" s="27">
        <v>0</v>
      </c>
      <c r="P48" s="20">
        <f t="shared" si="32"/>
        <v>0</v>
      </c>
      <c r="Q48" s="13">
        <f t="shared" si="35"/>
        <v>22.202604514856688</v>
      </c>
      <c r="R48" s="13" t="str">
        <f t="shared" si="35"/>
        <v>-</v>
      </c>
    </row>
    <row r="49" spans="1:18">
      <c r="A49" s="5" t="s">
        <v>61</v>
      </c>
      <c r="B49" s="27">
        <v>6403983.5199999996</v>
      </c>
      <c r="C49" s="27">
        <v>0</v>
      </c>
      <c r="D49" s="20">
        <f t="shared" si="28"/>
        <v>0</v>
      </c>
      <c r="E49" s="27">
        <v>6853943.7300000004</v>
      </c>
      <c r="F49" s="27">
        <v>0</v>
      </c>
      <c r="G49" s="20">
        <f t="shared" si="29"/>
        <v>0</v>
      </c>
      <c r="H49" s="27">
        <v>7330246.9199999999</v>
      </c>
      <c r="I49" s="27">
        <v>0</v>
      </c>
      <c r="J49" s="20">
        <f t="shared" si="33"/>
        <v>0</v>
      </c>
      <c r="K49" s="27">
        <v>8777734.0500000007</v>
      </c>
      <c r="L49" s="27">
        <v>0</v>
      </c>
      <c r="M49" s="20">
        <f t="shared" si="34"/>
        <v>0</v>
      </c>
      <c r="N49" s="27">
        <v>8186342.4900000002</v>
      </c>
      <c r="O49" s="27">
        <v>0</v>
      </c>
      <c r="P49" s="20">
        <f t="shared" si="32"/>
        <v>0</v>
      </c>
      <c r="Q49" s="13">
        <f t="shared" si="35"/>
        <v>-6.7374057658992399</v>
      </c>
      <c r="R49" s="13" t="str">
        <f t="shared" si="35"/>
        <v>-</v>
      </c>
    </row>
    <row r="50" spans="1:18">
      <c r="A50" s="5" t="s">
        <v>62</v>
      </c>
      <c r="B50" s="27">
        <v>10518554232.77</v>
      </c>
      <c r="C50" s="27">
        <v>9223830752.8900013</v>
      </c>
      <c r="D50" s="20">
        <f t="shared" si="28"/>
        <v>87.691050963578647</v>
      </c>
      <c r="E50" s="27">
        <f t="shared" ref="E50:F50" si="36">SUM(E23:E32)</f>
        <v>10700129044.57</v>
      </c>
      <c r="F50" s="27">
        <f t="shared" si="36"/>
        <v>9882398279.2700024</v>
      </c>
      <c r="G50" s="20">
        <f t="shared" si="29"/>
        <v>92.357748566453296</v>
      </c>
      <c r="H50" s="27">
        <f t="shared" ref="H50:I50" si="37">SUM(H23:H32)</f>
        <v>10883851811.479998</v>
      </c>
      <c r="I50" s="27">
        <f t="shared" si="37"/>
        <v>10039338694.119997</v>
      </c>
      <c r="J50" s="20">
        <f t="shared" si="33"/>
        <v>92.240677914511565</v>
      </c>
      <c r="K50" s="27">
        <f t="shared" ref="K50:L50" si="38">SUM(K23:K32)</f>
        <v>11034320092.789999</v>
      </c>
      <c r="L50" s="27">
        <f t="shared" si="38"/>
        <v>10222038682.9</v>
      </c>
      <c r="M50" s="20">
        <f t="shared" si="34"/>
        <v>92.638591203994906</v>
      </c>
      <c r="N50" s="27">
        <f t="shared" ref="N50:O50" si="39">SUM(N23:N32)</f>
        <v>11834734074.660002</v>
      </c>
      <c r="O50" s="27">
        <f t="shared" si="39"/>
        <v>11209031294.41</v>
      </c>
      <c r="P50" s="20">
        <f t="shared" si="32"/>
        <v>94.712996706958307</v>
      </c>
      <c r="Q50" s="13">
        <f t="shared" si="35"/>
        <v>7.2538586441135209</v>
      </c>
      <c r="R50" s="13">
        <f t="shared" si="35"/>
        <v>9.655535868408478</v>
      </c>
    </row>
    <row r="51" spans="1:18">
      <c r="A51" s="5" t="s">
        <v>63</v>
      </c>
      <c r="B51" s="27">
        <v>795403888.38999999</v>
      </c>
      <c r="C51" s="27">
        <v>492064445.87</v>
      </c>
      <c r="D51" s="20">
        <f t="shared" si="28"/>
        <v>61.86346999962521</v>
      </c>
      <c r="E51" s="27">
        <f t="shared" ref="E51:F51" si="40">SUM(E33:E37)</f>
        <v>586344125.14999998</v>
      </c>
      <c r="F51" s="27">
        <f t="shared" si="40"/>
        <v>349572921.80000001</v>
      </c>
      <c r="G51" s="20">
        <f t="shared" si="29"/>
        <v>59.619071259658554</v>
      </c>
      <c r="H51" s="27">
        <f t="shared" ref="H51:I51" si="41">SUM(H33:H37)</f>
        <v>713466042.13</v>
      </c>
      <c r="I51" s="27">
        <f t="shared" si="41"/>
        <v>489498804.92000002</v>
      </c>
      <c r="J51" s="20">
        <f t="shared" si="33"/>
        <v>68.608563829980966</v>
      </c>
      <c r="K51" s="27">
        <f t="shared" ref="K51:L51" si="42">SUM(K33:K37)</f>
        <v>767079624.19999993</v>
      </c>
      <c r="L51" s="27">
        <f t="shared" si="42"/>
        <v>475854774.72000003</v>
      </c>
      <c r="M51" s="20">
        <f t="shared" si="34"/>
        <v>62.034599760914901</v>
      </c>
      <c r="N51" s="27">
        <f t="shared" ref="N51:O51" si="43">SUM(N33:N37)</f>
        <v>472114298.97999996</v>
      </c>
      <c r="O51" s="27">
        <f t="shared" si="43"/>
        <v>229377218.87000003</v>
      </c>
      <c r="P51" s="20">
        <f t="shared" si="32"/>
        <v>48.585103091680999</v>
      </c>
      <c r="Q51" s="13">
        <f t="shared" si="35"/>
        <v>-38.453025724366519</v>
      </c>
      <c r="R51" s="13">
        <f t="shared" si="35"/>
        <v>-51.79680208001087</v>
      </c>
    </row>
    <row r="52" spans="1:18">
      <c r="A52" s="5" t="s">
        <v>64</v>
      </c>
      <c r="B52" s="27">
        <v>145434437.94</v>
      </c>
      <c r="C52" s="27">
        <v>145434437.94</v>
      </c>
      <c r="D52" s="20">
        <f t="shared" si="28"/>
        <v>100</v>
      </c>
      <c r="E52" s="27">
        <f t="shared" ref="E52:F52" si="44">SUM(E38:E41)</f>
        <v>62740400.629999995</v>
      </c>
      <c r="F52" s="27">
        <f t="shared" si="44"/>
        <v>61887609.689999998</v>
      </c>
      <c r="G52" s="20">
        <f t="shared" si="29"/>
        <v>98.640762680128262</v>
      </c>
      <c r="H52" s="27">
        <f t="shared" ref="H52:I52" si="45">SUM(H38:H41)</f>
        <v>153210504.99000001</v>
      </c>
      <c r="I52" s="27">
        <f t="shared" si="45"/>
        <v>138322494.24000001</v>
      </c>
      <c r="J52" s="20">
        <f t="shared" si="33"/>
        <v>90.282643640544265</v>
      </c>
      <c r="K52" s="27">
        <f t="shared" ref="K52:L52" si="46">SUM(K38:K41)</f>
        <v>166786922.37</v>
      </c>
      <c r="L52" s="27">
        <f t="shared" si="46"/>
        <v>166786922.37</v>
      </c>
      <c r="M52" s="20">
        <f t="shared" si="34"/>
        <v>100</v>
      </c>
      <c r="N52" s="27">
        <f t="shared" ref="N52:O52" si="47">SUM(N38:N41)</f>
        <v>104555799.34</v>
      </c>
      <c r="O52" s="27">
        <f t="shared" si="47"/>
        <v>103555799.34</v>
      </c>
      <c r="P52" s="20">
        <f t="shared" si="32"/>
        <v>99.043572899530758</v>
      </c>
      <c r="Q52" s="13">
        <f t="shared" si="35"/>
        <v>-37.31175211204301</v>
      </c>
      <c r="R52" s="13">
        <f t="shared" si="35"/>
        <v>-37.911319503652763</v>
      </c>
    </row>
    <row r="53" spans="1:18">
      <c r="A53" s="5" t="s">
        <v>65</v>
      </c>
      <c r="B53" s="27">
        <v>107159656.59</v>
      </c>
      <c r="C53" s="27">
        <v>107159656.59</v>
      </c>
      <c r="D53" s="20">
        <f t="shared" si="28"/>
        <v>100</v>
      </c>
      <c r="E53" s="27">
        <f t="shared" ref="E53:F53" si="48">SUM(E42:E46)</f>
        <v>105789972.34</v>
      </c>
      <c r="F53" s="27">
        <f t="shared" si="48"/>
        <v>105789972.34</v>
      </c>
      <c r="G53" s="20">
        <f t="shared" si="29"/>
        <v>100</v>
      </c>
      <c r="H53" s="27">
        <f t="shared" ref="H53:I53" si="49">SUM(H42:H46)</f>
        <v>111398323.54000001</v>
      </c>
      <c r="I53" s="27">
        <f t="shared" si="49"/>
        <v>111398323.54000001</v>
      </c>
      <c r="J53" s="20">
        <f t="shared" si="33"/>
        <v>100</v>
      </c>
      <c r="K53" s="27">
        <f t="shared" ref="K53:L53" si="50">SUM(K42:K46)</f>
        <v>110420272.42</v>
      </c>
      <c r="L53" s="27">
        <f t="shared" si="50"/>
        <v>110420272.42</v>
      </c>
      <c r="M53" s="20">
        <f t="shared" si="34"/>
        <v>100</v>
      </c>
      <c r="N53" s="27">
        <f t="shared" ref="N53:O53" si="51">SUM(N42:N46)</f>
        <v>103058042.06</v>
      </c>
      <c r="O53" s="27">
        <f t="shared" si="51"/>
        <v>103058042.06</v>
      </c>
      <c r="P53" s="20">
        <f t="shared" si="32"/>
        <v>100</v>
      </c>
      <c r="Q53" s="13">
        <f t="shared" si="35"/>
        <v>-6.6674625941843857</v>
      </c>
      <c r="R53" s="13">
        <f t="shared" si="35"/>
        <v>-6.6674625941843857</v>
      </c>
    </row>
    <row r="54" spans="1:18">
      <c r="A54" s="5" t="s">
        <v>66</v>
      </c>
      <c r="B54" s="27">
        <v>0</v>
      </c>
      <c r="C54" s="27">
        <v>0</v>
      </c>
      <c r="D54" s="20" t="str">
        <f t="shared" si="28"/>
        <v>-</v>
      </c>
      <c r="E54" s="27">
        <f t="shared" ref="E54:F54" si="52">E47</f>
        <v>0</v>
      </c>
      <c r="F54" s="27">
        <f t="shared" si="52"/>
        <v>0</v>
      </c>
      <c r="G54" s="20" t="str">
        <f t="shared" si="29"/>
        <v>-</v>
      </c>
      <c r="H54" s="27">
        <f t="shared" ref="H54:I54" si="53">H47</f>
        <v>0</v>
      </c>
      <c r="I54" s="27">
        <f t="shared" si="53"/>
        <v>0</v>
      </c>
      <c r="J54" s="20" t="str">
        <f t="shared" si="33"/>
        <v>-</v>
      </c>
      <c r="K54" s="27">
        <f t="shared" ref="K54:L54" si="54">K47</f>
        <v>0</v>
      </c>
      <c r="L54" s="27">
        <f t="shared" si="54"/>
        <v>0</v>
      </c>
      <c r="M54" s="20" t="str">
        <f t="shared" si="34"/>
        <v>-</v>
      </c>
      <c r="N54" s="27">
        <f t="shared" ref="N54:O54" si="55">N47</f>
        <v>0</v>
      </c>
      <c r="O54" s="27">
        <f t="shared" si="55"/>
        <v>0</v>
      </c>
      <c r="P54" s="20" t="str">
        <f t="shared" si="32"/>
        <v>-</v>
      </c>
      <c r="Q54" s="13" t="str">
        <f t="shared" si="35"/>
        <v>-</v>
      </c>
      <c r="R54" s="13" t="str">
        <f t="shared" si="35"/>
        <v>-</v>
      </c>
    </row>
    <row r="55" spans="1:18">
      <c r="A55" s="5" t="s">
        <v>67</v>
      </c>
      <c r="B55" s="27">
        <v>2760140482.6199999</v>
      </c>
      <c r="C55" s="29">
        <v>900462338.00999999</v>
      </c>
      <c r="D55" s="20">
        <f t="shared" si="28"/>
        <v>32.623786494927124</v>
      </c>
      <c r="E55" s="27">
        <f>SUM(E48:E49)</f>
        <v>2283952756.3800001</v>
      </c>
      <c r="F55" s="29">
        <v>738786509.76999998</v>
      </c>
      <c r="G55" s="20">
        <f t="shared" si="29"/>
        <v>32.34683851083485</v>
      </c>
      <c r="H55" s="27">
        <f>SUM(H48:H49)</f>
        <v>1554133093.23</v>
      </c>
      <c r="I55" s="29">
        <v>186244536.11000001</v>
      </c>
      <c r="J55" s="20">
        <f t="shared" si="33"/>
        <v>11.983821522191679</v>
      </c>
      <c r="K55" s="27">
        <f>SUM(K48:K49)</f>
        <v>2031005483.8599999</v>
      </c>
      <c r="L55" s="29">
        <v>1178538303.26</v>
      </c>
      <c r="M55" s="20">
        <f t="shared" si="34"/>
        <v>58.02733240385669</v>
      </c>
      <c r="N55" s="27">
        <f>SUM(N48:N49)</f>
        <v>2479401321.9799995</v>
      </c>
      <c r="O55" s="29">
        <v>1301747969.9300001</v>
      </c>
      <c r="P55" s="20">
        <f t="shared" si="32"/>
        <v>52.502511730954893</v>
      </c>
      <c r="Q55" s="13">
        <f t="shared" si="35"/>
        <v>22.07752966121032</v>
      </c>
      <c r="R55" s="13">
        <f t="shared" si="35"/>
        <v>10.454447371730311</v>
      </c>
    </row>
    <row r="56" spans="1:18">
      <c r="A56" s="5" t="s">
        <v>68</v>
      </c>
      <c r="B56" s="19">
        <f t="shared" ref="B56:C56" si="56">SUM(B50:B55)</f>
        <v>14326692698.310001</v>
      </c>
      <c r="C56" s="19">
        <f t="shared" si="56"/>
        <v>10868951631.300003</v>
      </c>
      <c r="D56" s="20">
        <f t="shared" si="28"/>
        <v>75.865043385638614</v>
      </c>
      <c r="E56" s="19">
        <f t="shared" ref="E56:F56" si="57">SUM(E50:E55)</f>
        <v>13738956299.07</v>
      </c>
      <c r="F56" s="19">
        <f t="shared" si="57"/>
        <v>11138435292.870003</v>
      </c>
      <c r="G56" s="20">
        <f t="shared" si="29"/>
        <v>81.071917330605174</v>
      </c>
      <c r="H56" s="24">
        <f t="shared" ref="H56:I56" si="58">SUM(H50:H55)</f>
        <v>13416059775.369997</v>
      </c>
      <c r="I56" s="19">
        <f t="shared" si="58"/>
        <v>10964802852.929998</v>
      </c>
      <c r="J56" s="20">
        <f t="shared" si="33"/>
        <v>81.728935592996081</v>
      </c>
      <c r="K56" s="24">
        <f t="shared" ref="K56:L56" si="59">SUM(K50:K55)</f>
        <v>14109612395.640001</v>
      </c>
      <c r="L56" s="19">
        <f t="shared" si="59"/>
        <v>12153638955.67</v>
      </c>
      <c r="M56" s="20">
        <f t="shared" si="34"/>
        <v>86.137298565519671</v>
      </c>
      <c r="N56" s="24">
        <f t="shared" ref="N56:O56" si="60">SUM(N50:N55)</f>
        <v>14993863537.02</v>
      </c>
      <c r="O56" s="19">
        <f t="shared" si="60"/>
        <v>12946770324.610001</v>
      </c>
      <c r="P56" s="20">
        <f t="shared" si="32"/>
        <v>86.347126560437843</v>
      </c>
      <c r="Q56" s="13">
        <f t="shared" si="35"/>
        <v>6.2670122791838025</v>
      </c>
      <c r="R56" s="13">
        <f t="shared" si="35"/>
        <v>6.5258756807974976</v>
      </c>
    </row>
    <row r="57" spans="1:18">
      <c r="A57" s="14" t="s">
        <v>69</v>
      </c>
      <c r="B57" s="15">
        <f t="shared" ref="B57:C57" si="61">B56-B55</f>
        <v>11566552215.690002</v>
      </c>
      <c r="C57" s="15">
        <f t="shared" si="61"/>
        <v>9968489293.2900028</v>
      </c>
      <c r="D57" s="21">
        <f t="shared" si="28"/>
        <v>86.183757332351547</v>
      </c>
      <c r="E57" s="15">
        <f t="shared" ref="E57:F57" si="62">E56-E55</f>
        <v>11455003542.689999</v>
      </c>
      <c r="F57" s="15">
        <f t="shared" si="62"/>
        <v>10399648783.100002</v>
      </c>
      <c r="G57" s="21">
        <f t="shared" si="29"/>
        <v>90.786953878652696</v>
      </c>
      <c r="H57" s="25">
        <f t="shared" ref="H57:I57" si="63">H56-H55</f>
        <v>11861926682.139997</v>
      </c>
      <c r="I57" s="15">
        <f t="shared" si="63"/>
        <v>10778558316.819998</v>
      </c>
      <c r="J57" s="21">
        <f t="shared" si="33"/>
        <v>90.866843183652605</v>
      </c>
      <c r="K57" s="25">
        <f t="shared" ref="K57:L57" si="64">K56-K55</f>
        <v>12078606911.780001</v>
      </c>
      <c r="L57" s="15">
        <f t="shared" si="64"/>
        <v>10975100652.41</v>
      </c>
      <c r="M57" s="21">
        <f t="shared" si="34"/>
        <v>90.863960824043573</v>
      </c>
      <c r="N57" s="25">
        <f t="shared" ref="N57:O57" si="65">N56-N55</f>
        <v>12514462215.040001</v>
      </c>
      <c r="O57" s="15">
        <f t="shared" si="65"/>
        <v>11645022354.68</v>
      </c>
      <c r="P57" s="21">
        <f t="shared" si="32"/>
        <v>93.052519194032172</v>
      </c>
      <c r="Q57" s="115">
        <f t="shared" si="35"/>
        <v>3.6084898402887831</v>
      </c>
      <c r="R57" s="16">
        <f t="shared" si="35"/>
        <v>6.1040141998414725</v>
      </c>
    </row>
    <row r="58" spans="1:18">
      <c r="A58" s="5" t="s">
        <v>70</v>
      </c>
      <c r="B58" s="19">
        <f>B14-B50</f>
        <v>518064054.87999916</v>
      </c>
      <c r="C58" s="19">
        <f>C14-C50</f>
        <v>-585765148.19000053</v>
      </c>
      <c r="D58" s="22"/>
      <c r="E58" s="19">
        <f>E14-E50</f>
        <v>693400436.71000099</v>
      </c>
      <c r="F58" s="19">
        <f>F14-F50</f>
        <v>-691139497.13000107</v>
      </c>
      <c r="G58" s="22"/>
      <c r="H58" s="19">
        <f>H14-H50</f>
        <v>761757564.37000275</v>
      </c>
      <c r="I58" s="19">
        <f>I14-I50</f>
        <v>-376871417.16999817</v>
      </c>
      <c r="J58" s="22"/>
      <c r="K58" s="19">
        <f>K14-K50</f>
        <v>644456574.96000099</v>
      </c>
      <c r="L58" s="19">
        <f>L14-L50</f>
        <v>-41847752.940000534</v>
      </c>
      <c r="M58" s="22"/>
      <c r="N58" s="19">
        <f>N14-N50</f>
        <v>283986298.07999802</v>
      </c>
      <c r="O58" s="19">
        <f>O14-O50</f>
        <v>-684501343.51000214</v>
      </c>
      <c r="P58" s="22"/>
      <c r="Q58" s="13">
        <f t="shared" si="35"/>
        <v>-55.933990106684227</v>
      </c>
      <c r="R58" s="13" t="str">
        <f t="shared" si="35"/>
        <v>-</v>
      </c>
    </row>
    <row r="59" spans="1:18">
      <c r="A59" s="5" t="s">
        <v>71</v>
      </c>
      <c r="B59" s="19">
        <f>B15-B51</f>
        <v>-239333374.04999995</v>
      </c>
      <c r="C59" s="19">
        <f>C15-C51</f>
        <v>-211987687.28000003</v>
      </c>
      <c r="D59" s="22"/>
      <c r="E59" s="19">
        <f>E15-E51</f>
        <v>-165872254.92999995</v>
      </c>
      <c r="F59" s="19">
        <f>F15-F51</f>
        <v>-106711437.82000002</v>
      </c>
      <c r="G59" s="22"/>
      <c r="H59" s="19">
        <f>H15-H51</f>
        <v>-442622581.80000001</v>
      </c>
      <c r="I59" s="19">
        <f>I15-I51</f>
        <v>-411111430.60000002</v>
      </c>
      <c r="J59" s="22"/>
      <c r="K59" s="19">
        <f>K15-K51</f>
        <v>-446527359.16999996</v>
      </c>
      <c r="L59" s="19">
        <f>L15-L51</f>
        <v>-341436472.82000005</v>
      </c>
      <c r="M59" s="22"/>
      <c r="N59" s="19">
        <f>N15-N51</f>
        <v>-38961613.310000002</v>
      </c>
      <c r="O59" s="19">
        <f>O15-O51</f>
        <v>39286536.469999939</v>
      </c>
      <c r="P59" s="22"/>
      <c r="Q59" s="13" t="str">
        <f t="shared" si="35"/>
        <v>-</v>
      </c>
      <c r="R59" s="13" t="str">
        <f t="shared" si="35"/>
        <v>-</v>
      </c>
    </row>
    <row r="60" spans="1:18">
      <c r="A60" s="5" t="s">
        <v>366</v>
      </c>
      <c r="B60" s="19">
        <f>SUM(B14:B16)-SUM(B50:B52)</f>
        <v>299499882.13999939</v>
      </c>
      <c r="C60" s="19">
        <f>SUM(C14:C16)-SUM(C50:C52)</f>
        <v>-812365980.19000244</v>
      </c>
      <c r="D60" s="22"/>
      <c r="E60" s="19">
        <f>SUM(E14:E16)-SUM(E50:E52)</f>
        <v>545191647.88000107</v>
      </c>
      <c r="F60" s="19">
        <f>SUM(F14:F16)-SUM(F50:F52)</f>
        <v>-790043548.6400013</v>
      </c>
      <c r="G60" s="22"/>
      <c r="H60" s="19">
        <f>SUM(H14:H16)-SUM(H50:H52)</f>
        <v>322392871.36000443</v>
      </c>
      <c r="I60" s="19">
        <f>SUM(I14:I16)-SUM(I50:I52)</f>
        <v>-780337016.57999802</v>
      </c>
      <c r="J60" s="22"/>
      <c r="K60" s="19">
        <f>SUM(K14:K16)-SUM(K50:K52)</f>
        <v>218463867.96000099</v>
      </c>
      <c r="L60" s="19">
        <f>SUM(L14:L16)-SUM(L50:L52)</f>
        <v>-394940776.09000015</v>
      </c>
      <c r="M60" s="22"/>
      <c r="N60" s="19">
        <f>SUM(N14:N16)-SUM(N50:N52)</f>
        <v>256107410.53999901</v>
      </c>
      <c r="O60" s="19">
        <f>SUM(O14:O16)-SUM(O50:O52)</f>
        <v>-635970551.49000359</v>
      </c>
      <c r="P60" s="22"/>
      <c r="Q60" s="13">
        <f t="shared" si="35"/>
        <v>17.231015330594744</v>
      </c>
      <c r="R60" s="13" t="str">
        <f t="shared" si="35"/>
        <v>-</v>
      </c>
    </row>
    <row r="61" spans="1:18">
      <c r="A61" s="5" t="s">
        <v>367</v>
      </c>
      <c r="B61" s="28">
        <f>B21-B57</f>
        <v>234069332.99999809</v>
      </c>
      <c r="C61" s="28">
        <f>C21-C57</f>
        <v>-919525636.78000259</v>
      </c>
      <c r="D61" s="106"/>
      <c r="E61" s="28">
        <f>E21-E57</f>
        <v>473455303.22000122</v>
      </c>
      <c r="F61" s="28">
        <f>F21-F57</f>
        <v>-895833520.98000145</v>
      </c>
      <c r="G61" s="106"/>
      <c r="H61" s="28">
        <f>H21-H57</f>
        <v>390866610.2100029</v>
      </c>
      <c r="I61" s="28">
        <f>I21-I57</f>
        <v>-751735340.11999893</v>
      </c>
      <c r="J61" s="106"/>
      <c r="K61" s="28">
        <f>K21-K57</f>
        <v>301043595.54000092</v>
      </c>
      <c r="L61" s="28">
        <f>L21-L57</f>
        <v>-340361048.51000023</v>
      </c>
      <c r="M61" s="106"/>
      <c r="N61" s="28">
        <f>N21-N57</f>
        <v>195543741.11999893</v>
      </c>
      <c r="O61" s="28">
        <f>O21-O57</f>
        <v>-739028593.55000305</v>
      </c>
      <c r="P61" s="106"/>
    </row>
    <row r="62" spans="1:18">
      <c r="A62" s="5" t="s">
        <v>368</v>
      </c>
      <c r="C62" s="6">
        <f>SUM(C14:C16)/SUM(B14:B16)*100</f>
        <v>76.954217429305515</v>
      </c>
      <c r="D62" s="106"/>
      <c r="F62" s="6">
        <f>SUM(F14:F16)/SUM(E14:E16)*100</f>
        <v>79.901559495837134</v>
      </c>
      <c r="G62" s="106"/>
      <c r="I62" s="6">
        <f>SUM(I14:I16)/SUM(H14:H16)*100</f>
        <v>81.892549353879573</v>
      </c>
      <c r="J62" s="106"/>
      <c r="L62" s="6">
        <f>SUM(L14:L16)/SUM(K14:K16)*100</f>
        <v>85.911543927605649</v>
      </c>
      <c r="M62" s="106"/>
      <c r="O62" s="6">
        <f>SUM(O14:O16)/SUM(N14:N16)*100</f>
        <v>86.094207920980494</v>
      </c>
      <c r="P62" s="106"/>
    </row>
    <row r="63" spans="1:18">
      <c r="A63" s="5" t="s">
        <v>369</v>
      </c>
      <c r="C63" s="6">
        <f>SUM(C50:C52)/SUM(B50:B52)*100</f>
        <v>86.054558178732066</v>
      </c>
      <c r="D63" s="106"/>
      <c r="F63" s="6">
        <f>SUM(F50:F52)/SUM(E50:E52)*100</f>
        <v>90.701075867079211</v>
      </c>
      <c r="G63" s="106"/>
      <c r="I63" s="6">
        <f>SUM(I50:I52)/SUM(H50:H52)*100</f>
        <v>90.780258280666146</v>
      </c>
      <c r="J63" s="106"/>
      <c r="L63" s="6">
        <f>SUM(L50:L52)/SUM(K50:K52)*100</f>
        <v>90.779670365927629</v>
      </c>
      <c r="M63" s="106"/>
      <c r="O63" s="6">
        <f>SUM(O50:O52)/SUM(N50:N52)*100</f>
        <v>92.99483081654212</v>
      </c>
      <c r="P63" s="106"/>
    </row>
  </sheetData>
  <mergeCells count="6">
    <mergeCell ref="Q1:R1"/>
    <mergeCell ref="B1:D1"/>
    <mergeCell ref="E1:G1"/>
    <mergeCell ref="N1:P1"/>
    <mergeCell ref="H1:J1"/>
    <mergeCell ref="K1:M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9"/>
  <sheetViews>
    <sheetView showGridLines="0" tabSelected="1" workbookViewId="0">
      <selection activeCell="I2" sqref="I2"/>
    </sheetView>
  </sheetViews>
  <sheetFormatPr defaultRowHeight="15"/>
  <cols>
    <col min="1" max="2" width="10.28515625" bestFit="1" customWidth="1"/>
    <col min="3" max="3" width="50.7109375" bestFit="1" customWidth="1"/>
    <col min="4" max="4" width="7.42578125" customWidth="1"/>
    <col min="5" max="9" width="7.5703125" customWidth="1"/>
  </cols>
  <sheetData>
    <row r="1" spans="1:9" ht="23.25" customHeight="1">
      <c r="A1" s="74" t="s">
        <v>308</v>
      </c>
      <c r="B1" s="74" t="s">
        <v>309</v>
      </c>
      <c r="C1" s="74" t="s">
        <v>319</v>
      </c>
      <c r="D1" s="42" t="s">
        <v>210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</row>
    <row r="2" spans="1:9" ht="29.25" customHeight="1">
      <c r="A2" s="75" t="s">
        <v>310</v>
      </c>
      <c r="B2" s="75" t="s">
        <v>77</v>
      </c>
      <c r="C2" s="77" t="s">
        <v>318</v>
      </c>
      <c r="D2" s="89" t="s">
        <v>325</v>
      </c>
      <c r="E2" s="82">
        <f>Piano_indicatori!D3</f>
        <v>2.74</v>
      </c>
      <c r="F2" s="82">
        <f>Piano_indicatori!E3</f>
        <v>3.32</v>
      </c>
      <c r="G2" s="82">
        <f>Piano_indicatori!F3</f>
        <v>2.66</v>
      </c>
      <c r="H2" s="82">
        <f>Piano_indicatori!G3</f>
        <v>2.69</v>
      </c>
      <c r="I2" s="82">
        <f>Piano_indicatori!H3</f>
        <v>2.5</v>
      </c>
    </row>
    <row r="3" spans="1:9" ht="29.25" customHeight="1">
      <c r="A3" s="76" t="s">
        <v>311</v>
      </c>
      <c r="B3" s="76" t="s">
        <v>94</v>
      </c>
      <c r="C3" s="78" t="s">
        <v>95</v>
      </c>
      <c r="D3" s="90" t="s">
        <v>326</v>
      </c>
      <c r="E3" s="83">
        <f>Piano_indicatori!D12</f>
        <v>61.9</v>
      </c>
      <c r="F3" s="83">
        <f>Piano_indicatori!E12</f>
        <v>65.53</v>
      </c>
      <c r="G3" s="83">
        <f>Piano_indicatori!F12</f>
        <v>61.94</v>
      </c>
      <c r="H3" s="83">
        <f>Piano_indicatori!G12</f>
        <v>69.040000000000006</v>
      </c>
      <c r="I3" s="83">
        <f>Piano_indicatori!H12</f>
        <v>66.61</v>
      </c>
    </row>
    <row r="4" spans="1:9" ht="29.25" customHeight="1">
      <c r="A4" s="75" t="s">
        <v>312</v>
      </c>
      <c r="B4" s="75" t="s">
        <v>99</v>
      </c>
      <c r="C4" s="79" t="s">
        <v>321</v>
      </c>
      <c r="D4" s="89" t="s">
        <v>327</v>
      </c>
      <c r="E4" s="84">
        <f>Piano_indicatori!D15</f>
        <v>0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  <c r="I4" s="84">
        <f>Piano_indicatori!H15</f>
        <v>0</v>
      </c>
    </row>
    <row r="5" spans="1:9" ht="29.25" customHeight="1">
      <c r="A5" s="76" t="s">
        <v>313</v>
      </c>
      <c r="B5" s="76" t="s">
        <v>164</v>
      </c>
      <c r="C5" s="80" t="s">
        <v>322</v>
      </c>
      <c r="D5" s="91" t="s">
        <v>328</v>
      </c>
      <c r="E5" s="85">
        <f>Piano_indicatori!D51</f>
        <v>1.38</v>
      </c>
      <c r="F5" s="85">
        <f>Piano_indicatori!E51</f>
        <v>1.26</v>
      </c>
      <c r="G5" s="85">
        <f>Piano_indicatori!F51</f>
        <v>1.38</v>
      </c>
      <c r="H5" s="85">
        <f>Piano_indicatori!G51</f>
        <v>1.42</v>
      </c>
      <c r="I5" s="85">
        <f>Piano_indicatori!H51</f>
        <v>1.31</v>
      </c>
    </row>
    <row r="6" spans="1:9" ht="29.25" customHeight="1">
      <c r="A6" s="75" t="s">
        <v>314</v>
      </c>
      <c r="B6" s="75" t="s">
        <v>184</v>
      </c>
      <c r="C6" s="93" t="s">
        <v>185</v>
      </c>
      <c r="D6" s="92" t="s">
        <v>329</v>
      </c>
      <c r="E6" s="86">
        <f>Piano_indicatori!D62</f>
        <v>14.96</v>
      </c>
      <c r="F6" s="86">
        <f>Piano_indicatori!E62</f>
        <v>12.07</v>
      </c>
      <c r="G6" s="86">
        <f>Piano_indicatori!F62</f>
        <v>9.44</v>
      </c>
      <c r="H6" s="86">
        <f>Piano_indicatori!G62</f>
        <v>6.83</v>
      </c>
      <c r="I6" s="86">
        <f>Piano_indicatori!H62</f>
        <v>4.74</v>
      </c>
    </row>
    <row r="7" spans="1:9" ht="29.25" customHeight="1">
      <c r="A7" s="76" t="s">
        <v>315</v>
      </c>
      <c r="B7" s="76" t="s">
        <v>187</v>
      </c>
      <c r="C7" s="80" t="s">
        <v>188</v>
      </c>
      <c r="D7" s="90" t="s">
        <v>330</v>
      </c>
      <c r="E7" s="87">
        <f>Piano_indicatori!D65</f>
        <v>0.01</v>
      </c>
      <c r="F7" s="87">
        <f>Piano_indicatori!E65</f>
        <v>0.1</v>
      </c>
      <c r="G7" s="87">
        <f>Piano_indicatori!F65</f>
        <v>0.1</v>
      </c>
      <c r="H7" s="87">
        <f>Piano_indicatori!G65</f>
        <v>0</v>
      </c>
      <c r="I7" s="87">
        <f>Piano_indicatori!H65</f>
        <v>0</v>
      </c>
    </row>
    <row r="8" spans="1:9" ht="29.25" customHeight="1">
      <c r="A8" s="75" t="s">
        <v>316</v>
      </c>
      <c r="B8" s="75" t="s">
        <v>320</v>
      </c>
      <c r="C8" s="79" t="s">
        <v>323</v>
      </c>
      <c r="D8" s="89" t="s">
        <v>331</v>
      </c>
      <c r="E8" s="84">
        <f>Piano_indicatori!D66+Piano_indicatori!D67</f>
        <v>0</v>
      </c>
      <c r="F8" s="84">
        <f>Piano_indicatori!E66+Piano_indicatori!E67</f>
        <v>0</v>
      </c>
      <c r="G8" s="84">
        <f>Piano_indicatori!F66+Piano_indicatori!F67</f>
        <v>0</v>
      </c>
      <c r="H8" s="84">
        <f>Piano_indicatori!G66+Piano_indicatori!G67</f>
        <v>0</v>
      </c>
      <c r="I8" s="84">
        <f>Piano_indicatori!H66+Piano_indicatori!H67</f>
        <v>0</v>
      </c>
    </row>
    <row r="9" spans="1:9" ht="29.25" customHeight="1">
      <c r="A9" s="76" t="s">
        <v>317</v>
      </c>
      <c r="B9" s="76"/>
      <c r="C9" s="81" t="s">
        <v>324</v>
      </c>
      <c r="D9" s="91" t="s">
        <v>332</v>
      </c>
      <c r="E9" s="88">
        <f>Piano_indicatori!D77</f>
        <v>67.499664332627347</v>
      </c>
      <c r="F9" s="88">
        <f>Piano_indicatori!E77</f>
        <v>72.72967831925672</v>
      </c>
      <c r="G9" s="88">
        <f>Piano_indicatori!F77</f>
        <v>71.563063887064033</v>
      </c>
      <c r="H9" s="88">
        <f>Piano_indicatori!G77</f>
        <v>77.607900814141601</v>
      </c>
      <c r="I9" s="88">
        <f>Piano_indicatori!H77</f>
        <v>78.376081250820562</v>
      </c>
    </row>
  </sheetData>
  <conditionalFormatting sqref="E2:I2">
    <cfRule type="cellIs" dxfId="15" priority="8" operator="greaterThan">
      <formula>48</formula>
    </cfRule>
  </conditionalFormatting>
  <conditionalFormatting sqref="E3:I3">
    <cfRule type="cellIs" dxfId="14" priority="7" operator="lessThan">
      <formula>22</formula>
    </cfRule>
  </conditionalFormatting>
  <conditionalFormatting sqref="E4:I4">
    <cfRule type="cellIs" dxfId="13" priority="6" operator="greaterThan">
      <formula>0</formula>
    </cfRule>
  </conditionalFormatting>
  <conditionalFormatting sqref="E5:I5">
    <cfRule type="cellIs" dxfId="12" priority="5" operator="greaterThan">
      <formula>16</formula>
    </cfRule>
  </conditionalFormatting>
  <conditionalFormatting sqref="E6:I6">
    <cfRule type="cellIs" dxfId="11" priority="4" operator="greaterThan">
      <formula>1.2</formula>
    </cfRule>
  </conditionalFormatting>
  <conditionalFormatting sqref="E7:I7">
    <cfRule type="cellIs" dxfId="10" priority="3" operator="greaterThan">
      <formula>1</formula>
    </cfRule>
  </conditionalFormatting>
  <conditionalFormatting sqref="E8:I8">
    <cfRule type="cellIs" dxfId="9" priority="2" operator="greaterThan">
      <formula>0.6</formula>
    </cfRule>
  </conditionalFormatting>
  <conditionalFormatting sqref="E9:I9">
    <cfRule type="cellIs" dxfId="8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9"/>
  <sheetViews>
    <sheetView workbookViewId="0">
      <selection activeCell="K19" sqref="K19"/>
    </sheetView>
  </sheetViews>
  <sheetFormatPr defaultRowHeight="15"/>
  <cols>
    <col min="2" max="2" width="12.28515625" bestFit="1" customWidth="1"/>
    <col min="5" max="5" width="10.28515625" customWidth="1"/>
  </cols>
  <sheetData>
    <row r="1" spans="1:22" ht="30">
      <c r="A1" s="101" t="s">
        <v>361</v>
      </c>
      <c r="B1" s="101" t="s">
        <v>362</v>
      </c>
      <c r="C1" s="101" t="s">
        <v>232</v>
      </c>
      <c r="D1" s="101" t="s">
        <v>346</v>
      </c>
      <c r="E1" s="105" t="s">
        <v>347</v>
      </c>
      <c r="F1" s="105" t="s">
        <v>348</v>
      </c>
    </row>
    <row r="2" spans="1:22">
      <c r="A2" s="31">
        <v>2021</v>
      </c>
      <c r="B2" s="95">
        <v>4869830</v>
      </c>
      <c r="C2" s="102">
        <f>B2/B3*100-100</f>
        <v>-0.19066912092783639</v>
      </c>
    </row>
    <row r="3" spans="1:22">
      <c r="A3" s="31">
        <v>2020</v>
      </c>
      <c r="B3" s="95">
        <v>4879133</v>
      </c>
      <c r="C3" s="102">
        <f>B3/B4*100-100</f>
        <v>-0.11171869082153307</v>
      </c>
      <c r="D3" s="95">
        <v>-24665</v>
      </c>
      <c r="E3" s="1">
        <v>15362</v>
      </c>
      <c r="F3" s="1">
        <f t="shared" ref="F3:F8" si="0">B2-B3-D3-E3</f>
        <v>0</v>
      </c>
    </row>
    <row r="4" spans="1:22">
      <c r="A4" s="31">
        <v>2019</v>
      </c>
      <c r="B4" s="95">
        <v>4884590</v>
      </c>
      <c r="C4" s="102">
        <f>B4/B5*100-100</f>
        <v>7.4862690270876442E-2</v>
      </c>
      <c r="D4" s="95">
        <v>-15344</v>
      </c>
      <c r="E4" s="1">
        <v>9887</v>
      </c>
      <c r="F4" s="1">
        <f t="shared" si="0"/>
        <v>0</v>
      </c>
      <c r="L4" s="108"/>
      <c r="M4" s="109"/>
      <c r="N4" s="109"/>
      <c r="O4" s="109"/>
      <c r="P4" s="109"/>
      <c r="Q4" s="109"/>
      <c r="R4" s="109"/>
      <c r="S4" s="109"/>
      <c r="T4" s="109"/>
      <c r="U4" s="109"/>
      <c r="V4" s="1"/>
    </row>
    <row r="5" spans="1:22">
      <c r="A5" s="31">
        <v>2018</v>
      </c>
      <c r="B5" s="95">
        <v>4880936</v>
      </c>
      <c r="C5" s="102">
        <f t="shared" ref="C5:C7" si="1">B5/B6*100-100</f>
        <v>-4.9904031496268431E-2</v>
      </c>
      <c r="D5" s="95">
        <v>-13743</v>
      </c>
      <c r="E5" s="95">
        <v>17397</v>
      </c>
      <c r="F5" s="1">
        <f t="shared" si="0"/>
        <v>0</v>
      </c>
      <c r="L5" s="108"/>
      <c r="M5" s="109"/>
      <c r="N5" s="109"/>
      <c r="O5" s="109"/>
      <c r="P5" s="109"/>
      <c r="Q5" s="109"/>
      <c r="R5" s="109"/>
      <c r="S5" s="109"/>
      <c r="T5" s="109"/>
      <c r="U5" s="109"/>
      <c r="V5" s="1"/>
    </row>
    <row r="6" spans="1:22">
      <c r="A6" s="31">
        <v>2017</v>
      </c>
      <c r="B6" s="95">
        <v>4883373</v>
      </c>
      <c r="C6" s="102">
        <f t="shared" si="1"/>
        <v>-0.14875329404200954</v>
      </c>
      <c r="D6" s="95">
        <v>-12849</v>
      </c>
      <c r="E6" s="95">
        <v>10412</v>
      </c>
      <c r="F6" s="1">
        <f t="shared" si="0"/>
        <v>0</v>
      </c>
      <c r="L6" s="108"/>
      <c r="M6" s="109"/>
      <c r="N6" s="109"/>
      <c r="O6" s="109"/>
      <c r="P6" s="109"/>
      <c r="Q6" s="109"/>
      <c r="R6" s="109"/>
      <c r="S6" s="109"/>
      <c r="T6" s="109"/>
      <c r="U6" s="109"/>
      <c r="V6" s="1"/>
    </row>
    <row r="7" spans="1:22">
      <c r="A7" s="31">
        <v>2016</v>
      </c>
      <c r="B7" s="95">
        <v>4890648</v>
      </c>
      <c r="C7" s="102">
        <f t="shared" si="1"/>
        <v>-0.24570164893016511</v>
      </c>
      <c r="D7" s="95">
        <v>-9990</v>
      </c>
      <c r="E7" s="95">
        <v>2715</v>
      </c>
      <c r="F7" s="1">
        <f t="shared" si="0"/>
        <v>0</v>
      </c>
      <c r="L7" s="108"/>
      <c r="M7" s="109"/>
      <c r="N7" s="109"/>
      <c r="O7" s="109"/>
      <c r="P7" s="109"/>
      <c r="Q7" s="109"/>
      <c r="R7" s="109"/>
      <c r="S7" s="109"/>
      <c r="T7" s="109"/>
      <c r="U7" s="109"/>
      <c r="V7" s="1"/>
    </row>
    <row r="8" spans="1:22">
      <c r="A8" s="103">
        <v>2015</v>
      </c>
      <c r="B8" s="104">
        <v>4902694</v>
      </c>
      <c r="C8" s="104"/>
      <c r="D8" s="104">
        <v>-10593</v>
      </c>
      <c r="E8" s="104">
        <v>-1453</v>
      </c>
      <c r="F8" s="1">
        <f t="shared" si="0"/>
        <v>0</v>
      </c>
    </row>
    <row r="9" spans="1:22">
      <c r="A9" t="s">
        <v>363</v>
      </c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showGridLines="0" workbookViewId="0">
      <selection activeCell="H1" sqref="H1:H21"/>
    </sheetView>
  </sheetViews>
  <sheetFormatPr defaultRowHeight="15"/>
  <cols>
    <col min="1" max="1" width="55.7109375" bestFit="1" customWidth="1"/>
    <col min="2" max="6" width="15.28515625" bestFit="1" customWidth="1"/>
    <col min="7" max="7" width="8.42578125" customWidth="1"/>
    <col min="8" max="8" width="6.5703125" bestFit="1" customWidth="1"/>
    <col min="9" max="9" width="15.28515625" bestFit="1" customWidth="1"/>
    <col min="10" max="10" width="7" bestFit="1" customWidth="1"/>
  </cols>
  <sheetData>
    <row r="1" spans="1:10" ht="30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295</v>
      </c>
      <c r="H1" s="42" t="s">
        <v>232</v>
      </c>
      <c r="I1" s="54" t="s">
        <v>370</v>
      </c>
      <c r="J1" s="42" t="s">
        <v>267</v>
      </c>
    </row>
    <row r="2" spans="1:10">
      <c r="A2" s="55" t="s">
        <v>19</v>
      </c>
      <c r="B2" s="56">
        <f>Entrate_Uscite!B3</f>
        <v>9291631937.0799999</v>
      </c>
      <c r="C2" s="56">
        <f>Entrate_Uscite!E3</f>
        <v>9763898305.3299999</v>
      </c>
      <c r="D2" s="56">
        <f>Entrate_Uscite!H3</f>
        <v>9995251504.5100002</v>
      </c>
      <c r="E2" s="56">
        <f>Entrate_Uscite!K3</f>
        <v>10346469895.77</v>
      </c>
      <c r="F2" s="56">
        <f>Entrate_Uscite!N3</f>
        <v>10307586452.17</v>
      </c>
      <c r="G2" s="56">
        <f>F2/F$21*100</f>
        <v>81.098203161536304</v>
      </c>
      <c r="H2" s="57">
        <f>IF(E2&gt;0,F2/E2*100-100,"-")</f>
        <v>-0.37581362524331041</v>
      </c>
      <c r="I2" s="56">
        <f>Entrate_Uscite!O3</f>
        <v>9157358035.4599991</v>
      </c>
      <c r="J2" s="58">
        <f>IF(F2&gt;0,I2/F2*100,"-")</f>
        <v>88.840953000516919</v>
      </c>
    </row>
    <row r="3" spans="1:10">
      <c r="A3" s="55" t="s">
        <v>20</v>
      </c>
      <c r="B3" s="56">
        <f>Entrate_Uscite!B4</f>
        <v>1359422552.4400001</v>
      </c>
      <c r="C3" s="56">
        <f>Entrate_Uscite!E4</f>
        <v>1177271140.1800001</v>
      </c>
      <c r="D3" s="56">
        <f>Entrate_Uscite!H4</f>
        <v>1139372299.1600001</v>
      </c>
      <c r="E3" s="56">
        <f>Entrate_Uscite!K4</f>
        <v>819046061.26999998</v>
      </c>
      <c r="F3" s="56">
        <f>Entrate_Uscite!N4</f>
        <v>1322597284.4300001</v>
      </c>
      <c r="G3" s="56">
        <f t="shared" ref="G3:G21" si="0">F3/F$21*100</f>
        <v>10.405953301611108</v>
      </c>
      <c r="H3" s="57">
        <f t="shared" ref="H3:H21" si="1">IF(E3&gt;0,F3/E3*100-100,"-")</f>
        <v>61.480208131298696</v>
      </c>
      <c r="I3" s="56">
        <f>Entrate_Uscite!O4</f>
        <v>885814730.63999999</v>
      </c>
      <c r="J3" s="58">
        <f t="shared" ref="J3:J21" si="2">IF(F3&gt;0,I3/F3*100,"-")</f>
        <v>66.975393119891351</v>
      </c>
    </row>
    <row r="4" spans="1:10">
      <c r="A4" s="55" t="s">
        <v>21</v>
      </c>
      <c r="B4" s="56">
        <f>Entrate_Uscite!B5</f>
        <v>385563798.13</v>
      </c>
      <c r="C4" s="56">
        <f>Entrate_Uscite!E5</f>
        <v>452360035.76999998</v>
      </c>
      <c r="D4" s="56">
        <f>Entrate_Uscite!H5</f>
        <v>510985572.18000001</v>
      </c>
      <c r="E4" s="56">
        <f>Entrate_Uscite!K5</f>
        <v>513260710.70999998</v>
      </c>
      <c r="F4" s="56">
        <f>Entrate_Uscite!N5</f>
        <v>488536636.13999999</v>
      </c>
      <c r="G4" s="56">
        <f t="shared" si="0"/>
        <v>3.8437168151225531</v>
      </c>
      <c r="H4" s="57">
        <f t="shared" si="1"/>
        <v>-4.8170596451458181</v>
      </c>
      <c r="I4" s="56">
        <f>Entrate_Uscite!O5</f>
        <v>481357184.80000001</v>
      </c>
      <c r="J4" s="58">
        <f t="shared" si="2"/>
        <v>98.530417002760345</v>
      </c>
    </row>
    <row r="5" spans="1:10">
      <c r="A5" s="4" t="s">
        <v>30</v>
      </c>
      <c r="B5" s="43">
        <f>SUM(B2:B4)</f>
        <v>11036618287.65</v>
      </c>
      <c r="C5" s="43">
        <f>SUM(C2:C4)</f>
        <v>11393529481.280001</v>
      </c>
      <c r="D5" s="43">
        <f>SUM(D2:D4)</f>
        <v>11645609375.85</v>
      </c>
      <c r="E5" s="43">
        <f>SUM(E2:E4)</f>
        <v>11678776667.75</v>
      </c>
      <c r="F5" s="43">
        <f>SUM(F2:F4)</f>
        <v>12118720372.74</v>
      </c>
      <c r="G5" s="43">
        <f t="shared" si="0"/>
        <v>95.347873278269958</v>
      </c>
      <c r="H5" s="44">
        <f t="shared" si="1"/>
        <v>3.7670358591997797</v>
      </c>
      <c r="I5" s="43">
        <f>SUM(I2:I4)</f>
        <v>10524529950.899998</v>
      </c>
      <c r="J5" s="45">
        <f>IF(F5&gt;0,I5/F5*100,"-")</f>
        <v>86.845224802562541</v>
      </c>
    </row>
    <row r="6" spans="1:10">
      <c r="A6" s="55" t="s">
        <v>22</v>
      </c>
      <c r="B6" s="56">
        <f>Entrate_Uscite!B6</f>
        <v>0</v>
      </c>
      <c r="C6" s="56">
        <f>Entrate_Uscite!E6</f>
        <v>0</v>
      </c>
      <c r="D6" s="56">
        <f>Entrate_Uscite!H6</f>
        <v>0</v>
      </c>
      <c r="E6" s="56">
        <f>Entrate_Uscite!K6</f>
        <v>0</v>
      </c>
      <c r="F6" s="56">
        <f>Entrate_Uscite!N6</f>
        <v>0</v>
      </c>
      <c r="G6" s="56">
        <f t="shared" si="0"/>
        <v>0</v>
      </c>
      <c r="H6" s="57" t="str">
        <f t="shared" si="1"/>
        <v>-</v>
      </c>
      <c r="I6" s="56">
        <f>Entrate_Uscite!O6</f>
        <v>0</v>
      </c>
      <c r="J6" s="58" t="str">
        <f t="shared" si="2"/>
        <v>-</v>
      </c>
    </row>
    <row r="7" spans="1:10">
      <c r="A7" s="55" t="s">
        <v>23</v>
      </c>
      <c r="B7" s="56">
        <f>Entrate_Uscite!B7</f>
        <v>459472863.72000003</v>
      </c>
      <c r="C7" s="56">
        <f>Entrate_Uscite!E7</f>
        <v>375829237.56999999</v>
      </c>
      <c r="D7" s="56">
        <f>Entrate_Uscite!H7</f>
        <v>229344191.56999999</v>
      </c>
      <c r="E7" s="56">
        <f>Entrate_Uscite!K7</f>
        <v>292137696.19</v>
      </c>
      <c r="F7" s="56">
        <f>Entrate_Uscite!N7</f>
        <v>378397643.14999998</v>
      </c>
      <c r="G7" s="56">
        <f t="shared" si="0"/>
        <v>2.9771633817890284</v>
      </c>
      <c r="H7" s="57">
        <f t="shared" si="1"/>
        <v>29.52715383361496</v>
      </c>
      <c r="I7" s="56">
        <f>Entrate_Uscite!O7</f>
        <v>221401287.53999999</v>
      </c>
      <c r="J7" s="58">
        <f t="shared" si="2"/>
        <v>58.510218429725967</v>
      </c>
    </row>
    <row r="8" spans="1:10">
      <c r="A8" s="55" t="s">
        <v>24</v>
      </c>
      <c r="B8" s="56">
        <f>Entrate_Uscite!B8</f>
        <v>87150481.540000007</v>
      </c>
      <c r="C8" s="56">
        <f>Entrate_Uscite!E8</f>
        <v>30258289.050000001</v>
      </c>
      <c r="D8" s="56">
        <f>Entrate_Uscite!H8</f>
        <v>9634032.9700000007</v>
      </c>
      <c r="E8" s="56">
        <f>Entrate_Uscite!K8</f>
        <v>6753410.2999999998</v>
      </c>
      <c r="F8" s="56">
        <f>Entrate_Uscite!N8</f>
        <v>26960693.59</v>
      </c>
      <c r="G8" s="56">
        <f t="shared" si="0"/>
        <v>0.21212180138226686</v>
      </c>
      <c r="H8" s="57">
        <f t="shared" si="1"/>
        <v>299.21598706952545</v>
      </c>
      <c r="I8" s="56">
        <f>Entrate_Uscite!O8</f>
        <v>24598433.710000001</v>
      </c>
      <c r="J8" s="58">
        <f t="shared" si="2"/>
        <v>91.23813387027927</v>
      </c>
    </row>
    <row r="9" spans="1:10">
      <c r="A9" s="55" t="s">
        <v>25</v>
      </c>
      <c r="B9" s="56">
        <f>Entrate_Uscite!B9</f>
        <v>453001.13</v>
      </c>
      <c r="C9" s="56">
        <f>Entrate_Uscite!E9</f>
        <v>7127244.0499999998</v>
      </c>
      <c r="D9" s="56">
        <f>Entrate_Uscite!H9</f>
        <v>2212901.38</v>
      </c>
      <c r="E9" s="56">
        <f>Entrate_Uscite!K9</f>
        <v>13790004.210000001</v>
      </c>
      <c r="F9" s="56">
        <f>Entrate_Uscite!N9</f>
        <v>7628004.9699999997</v>
      </c>
      <c r="G9" s="56">
        <f t="shared" si="0"/>
        <v>6.0015746619717592E-2</v>
      </c>
      <c r="H9" s="57">
        <f t="shared" si="1"/>
        <v>-44.684534871508944</v>
      </c>
      <c r="I9" s="56">
        <f>Entrate_Uscite!O9</f>
        <v>7601712.9699999997</v>
      </c>
      <c r="J9" s="58">
        <f t="shared" si="2"/>
        <v>99.655322720640555</v>
      </c>
    </row>
    <row r="10" spans="1:10">
      <c r="A10" s="55" t="s">
        <v>26</v>
      </c>
      <c r="B10" s="56">
        <f>Entrate_Uscite!B10</f>
        <v>8994167.9499999993</v>
      </c>
      <c r="C10" s="56">
        <f>Entrate_Uscite!E10</f>
        <v>7257099.5499999998</v>
      </c>
      <c r="D10" s="56">
        <f>Entrate_Uscite!H10</f>
        <v>29652334.41</v>
      </c>
      <c r="E10" s="56">
        <f>Entrate_Uscite!K10</f>
        <v>7871154.3300000001</v>
      </c>
      <c r="F10" s="56">
        <f>Entrate_Uscite!N10</f>
        <v>20166343.960000001</v>
      </c>
      <c r="G10" s="56">
        <f t="shared" si="0"/>
        <v>0.15866510235761322</v>
      </c>
      <c r="H10" s="57">
        <f t="shared" si="1"/>
        <v>156.20567345679268</v>
      </c>
      <c r="I10" s="56">
        <f>Entrate_Uscite!O10</f>
        <v>15062321.119999999</v>
      </c>
      <c r="J10" s="58">
        <f t="shared" si="2"/>
        <v>74.69039083076315</v>
      </c>
    </row>
    <row r="11" spans="1:10">
      <c r="A11" s="4" t="s">
        <v>31</v>
      </c>
      <c r="B11" s="46">
        <f>SUM(B6:B10)</f>
        <v>556070514.34000003</v>
      </c>
      <c r="C11" s="46">
        <f>SUM(C6:C10)</f>
        <v>420471870.22000003</v>
      </c>
      <c r="D11" s="46">
        <f>SUM(D6:D10)</f>
        <v>270843460.32999998</v>
      </c>
      <c r="E11" s="46">
        <f>SUM(E6:E10)</f>
        <v>320552265.02999997</v>
      </c>
      <c r="F11" s="46">
        <f>SUM(F6:F10)</f>
        <v>433152685.66999996</v>
      </c>
      <c r="G11" s="46">
        <f t="shared" si="0"/>
        <v>3.407966032148626</v>
      </c>
      <c r="H11" s="44">
        <f t="shared" si="1"/>
        <v>35.127008267891</v>
      </c>
      <c r="I11" s="46">
        <f>SUM(I6:I10)</f>
        <v>268663755.33999997</v>
      </c>
      <c r="J11" s="45">
        <f>IF(F11&gt;0,I11/F11*100,"-")</f>
        <v>62.025185166387985</v>
      </c>
    </row>
    <row r="12" spans="1:10">
      <c r="A12" s="55" t="s">
        <v>27</v>
      </c>
      <c r="B12" s="56">
        <f>Entrate_Uscite!B11</f>
        <v>0</v>
      </c>
      <c r="C12" s="56">
        <f>Entrate_Uscite!E11</f>
        <v>286281.49</v>
      </c>
      <c r="D12" s="56">
        <f>Entrate_Uscite!H11</f>
        <v>4358920</v>
      </c>
      <c r="E12" s="56">
        <f>Entrate_Uscite!K11</f>
        <v>0</v>
      </c>
      <c r="F12" s="56">
        <f>Entrate_Uscite!N11</f>
        <v>0</v>
      </c>
      <c r="G12" s="56">
        <f t="shared" si="0"/>
        <v>0</v>
      </c>
      <c r="H12" s="57" t="str">
        <f t="shared" si="1"/>
        <v>-</v>
      </c>
      <c r="I12" s="56">
        <f>Entrate_Uscite!O11</f>
        <v>0</v>
      </c>
      <c r="J12" s="58" t="str">
        <f t="shared" si="2"/>
        <v>-</v>
      </c>
    </row>
    <row r="13" spans="1:10">
      <c r="A13" s="55" t="s">
        <v>28</v>
      </c>
      <c r="B13" s="56">
        <f>Entrate_Uscite!B12</f>
        <v>21388591.73</v>
      </c>
      <c r="C13" s="56">
        <f>Entrate_Uscite!E12</f>
        <v>19225664.91</v>
      </c>
      <c r="D13" s="56">
        <f>Entrate_Uscite!H12</f>
        <v>18710055.66</v>
      </c>
      <c r="E13" s="56">
        <f>Entrate_Uscite!K12</f>
        <v>22414847.010000002</v>
      </c>
      <c r="F13" s="56">
        <f>Entrate_Uscite!N12</f>
        <v>12556415.24</v>
      </c>
      <c r="G13" s="56">
        <f t="shared" si="0"/>
        <v>9.8791576363616407E-2</v>
      </c>
      <c r="H13" s="57">
        <f t="shared" si="1"/>
        <v>-43.981704472940777</v>
      </c>
      <c r="I13" s="56">
        <f>Entrate_Uscite!O12</f>
        <v>9815394.5299999993</v>
      </c>
      <c r="J13" s="58">
        <f t="shared" si="2"/>
        <v>78.170356287134055</v>
      </c>
    </row>
    <row r="14" spans="1:10">
      <c r="A14" s="55" t="s">
        <v>29</v>
      </c>
      <c r="B14" s="56">
        <f>Entrate_Uscite!B13</f>
        <v>144815047.52000001</v>
      </c>
      <c r="C14" s="56">
        <f>Entrate_Uscite!E13</f>
        <v>60891920.329999998</v>
      </c>
      <c r="D14" s="56">
        <f>Entrate_Uscite!H13</f>
        <v>133399418.12</v>
      </c>
      <c r="E14" s="56">
        <f>Entrate_Uscite!K13</f>
        <v>164906727.53</v>
      </c>
      <c r="F14" s="56">
        <f>Entrate_Uscite!N13</f>
        <v>103082109.87</v>
      </c>
      <c r="G14" s="56">
        <f t="shared" si="0"/>
        <v>0.81103116887243065</v>
      </c>
      <c r="H14" s="57">
        <f t="shared" si="1"/>
        <v>-37.490658256348453</v>
      </c>
      <c r="I14" s="56">
        <f>Entrate_Uscite!O13</f>
        <v>102984660.36</v>
      </c>
      <c r="J14" s="58">
        <f t="shared" si="2"/>
        <v>99.905464187604522</v>
      </c>
    </row>
    <row r="15" spans="1:10">
      <c r="A15" s="4" t="s">
        <v>32</v>
      </c>
      <c r="B15" s="43">
        <f>SUM(B12:B14)</f>
        <v>166203639.25</v>
      </c>
      <c r="C15" s="43">
        <f>SUM(C12:C14)</f>
        <v>80403866.729999989</v>
      </c>
      <c r="D15" s="43">
        <f>SUM(D12:D14)</f>
        <v>156468393.78</v>
      </c>
      <c r="E15" s="43">
        <f>SUM(E12:E14)</f>
        <v>187321574.53999999</v>
      </c>
      <c r="F15" s="43">
        <f>SUM(F12:F14)</f>
        <v>115638525.11</v>
      </c>
      <c r="G15" s="43">
        <f t="shared" si="0"/>
        <v>0.90982274523604711</v>
      </c>
      <c r="H15" s="44">
        <f t="shared" si="1"/>
        <v>-38.267375023955417</v>
      </c>
      <c r="I15" s="43">
        <f>SUM(I12:I14)</f>
        <v>112800054.89</v>
      </c>
      <c r="J15" s="45">
        <f t="shared" si="2"/>
        <v>97.545393961657737</v>
      </c>
    </row>
    <row r="16" spans="1:10">
      <c r="A16" s="47" t="s">
        <v>343</v>
      </c>
      <c r="B16" s="48">
        <f>B5+B11+B15</f>
        <v>11758892441.24</v>
      </c>
      <c r="C16" s="48">
        <f t="shared" ref="C16:F16" si="3">C5+C11+C15</f>
        <v>11894405218.23</v>
      </c>
      <c r="D16" s="48">
        <f t="shared" si="3"/>
        <v>12072921229.960001</v>
      </c>
      <c r="E16" s="48">
        <f t="shared" ref="E16" si="4">E5+E11+E15</f>
        <v>12186650507.320002</v>
      </c>
      <c r="F16" s="48">
        <f t="shared" si="3"/>
        <v>12667511583.52</v>
      </c>
      <c r="G16" s="48">
        <f t="shared" si="0"/>
        <v>99.665662055654636</v>
      </c>
      <c r="H16" s="49">
        <f t="shared" si="1"/>
        <v>3.9458018092105362</v>
      </c>
      <c r="I16" s="48">
        <f t="shared" ref="I16" si="5">I5+I11+I15</f>
        <v>10905993761.129997</v>
      </c>
      <c r="J16" s="50">
        <f t="shared" si="2"/>
        <v>86.094207920980494</v>
      </c>
    </row>
    <row r="17" spans="1:10">
      <c r="A17" s="4" t="s">
        <v>33</v>
      </c>
      <c r="B17" s="43">
        <f>Entrate_Uscite!B17</f>
        <v>41729107.450000003</v>
      </c>
      <c r="C17" s="43">
        <f>Entrate_Uscite!E17</f>
        <v>34053627.68</v>
      </c>
      <c r="D17" s="43">
        <f>Entrate_Uscite!H17</f>
        <v>179872062.38999999</v>
      </c>
      <c r="E17" s="43">
        <f>Entrate_Uscite!K17</f>
        <v>193000000</v>
      </c>
      <c r="F17" s="43">
        <f>Entrate_Uscite!N17</f>
        <v>42494372.640000001</v>
      </c>
      <c r="G17" s="43">
        <f t="shared" si="0"/>
        <v>0.33433794434537445</v>
      </c>
      <c r="H17" s="44">
        <f t="shared" si="1"/>
        <v>-77.982190341968916</v>
      </c>
      <c r="I17" s="43">
        <f>Entrate_Uscite!O17</f>
        <v>0</v>
      </c>
      <c r="J17" s="45">
        <f t="shared" si="2"/>
        <v>0</v>
      </c>
    </row>
    <row r="18" spans="1:10">
      <c r="A18" s="4" t="s">
        <v>34</v>
      </c>
      <c r="B18" s="43">
        <f>Entrate_Uscite!B18</f>
        <v>0</v>
      </c>
      <c r="C18" s="43">
        <f>Entrate_Uscite!E18</f>
        <v>0</v>
      </c>
      <c r="D18" s="43">
        <f>Entrate_Uscite!H18</f>
        <v>0</v>
      </c>
      <c r="E18" s="43">
        <f>Entrate_Uscite!K18</f>
        <v>0</v>
      </c>
      <c r="F18" s="43">
        <f>Entrate_Uscite!N18</f>
        <v>0</v>
      </c>
      <c r="G18" s="43">
        <f t="shared" si="0"/>
        <v>0</v>
      </c>
      <c r="H18" s="44" t="str">
        <f t="shared" si="1"/>
        <v>-</v>
      </c>
      <c r="I18" s="43">
        <f>Entrate_Uscite!O18</f>
        <v>0</v>
      </c>
      <c r="J18" s="45" t="str">
        <f t="shared" si="2"/>
        <v>-</v>
      </c>
    </row>
    <row r="19" spans="1:10">
      <c r="A19" s="4" t="s">
        <v>35</v>
      </c>
      <c r="B19" s="43">
        <f>Entrate_Uscite!B19</f>
        <v>2760853812.0300002</v>
      </c>
      <c r="C19" s="43">
        <f>Entrate_Uscite!E19</f>
        <v>2283952756.3800001</v>
      </c>
      <c r="D19" s="43">
        <f>Entrate_Uscite!H19</f>
        <v>1554133093.23</v>
      </c>
      <c r="E19" s="43">
        <f>Entrate_Uscite!K19</f>
        <v>2031005483.26</v>
      </c>
      <c r="F19" s="43">
        <f>Entrate_Uscite!N19</f>
        <v>2479401321.3979998</v>
      </c>
      <c r="G19" s="43"/>
      <c r="H19" s="44">
        <f t="shared" si="1"/>
        <v>22.077529668618737</v>
      </c>
      <c r="I19" s="43">
        <f>Entrate_Uscite!O19</f>
        <v>2471529342.4200001</v>
      </c>
      <c r="J19" s="45">
        <f t="shared" si="2"/>
        <v>99.682504848647852</v>
      </c>
    </row>
    <row r="20" spans="1:10">
      <c r="A20" s="47" t="s">
        <v>36</v>
      </c>
      <c r="B20" s="48">
        <f>B5+B11+B15+B17+B18+B19</f>
        <v>14561475360.720001</v>
      </c>
      <c r="C20" s="48">
        <f>C5+C11+C15+C17+C18+C19</f>
        <v>14212411602.290001</v>
      </c>
      <c r="D20" s="48">
        <f>D5+D11+D15+D17+D18+D19</f>
        <v>13806926385.58</v>
      </c>
      <c r="E20" s="48">
        <f>E5+E11+E15+E17+E18+E19</f>
        <v>14410655990.580002</v>
      </c>
      <c r="F20" s="48">
        <f>F5+F11+F15+F17+F18+F19</f>
        <v>15189407277.557999</v>
      </c>
      <c r="G20" s="48"/>
      <c r="H20" s="49">
        <f t="shared" si="1"/>
        <v>5.4039960948831975</v>
      </c>
      <c r="I20" s="48">
        <f>I5+I11+I15+I17+I18+I19</f>
        <v>13377523103.549997</v>
      </c>
      <c r="J20" s="50">
        <f t="shared" si="2"/>
        <v>88.071396461368053</v>
      </c>
    </row>
    <row r="21" spans="1:10">
      <c r="A21" s="38" t="s">
        <v>37</v>
      </c>
      <c r="B21" s="51">
        <f>B20-B19</f>
        <v>11800621548.690001</v>
      </c>
      <c r="C21" s="51">
        <f>C20-C19</f>
        <v>11928458845.91</v>
      </c>
      <c r="D21" s="51">
        <f>D20-D19</f>
        <v>12252793292.35</v>
      </c>
      <c r="E21" s="51">
        <f>E20-E19</f>
        <v>12379650507.320002</v>
      </c>
      <c r="F21" s="51">
        <f>F20-F19</f>
        <v>12710005956.16</v>
      </c>
      <c r="G21" s="51">
        <f t="shared" si="0"/>
        <v>100</v>
      </c>
      <c r="H21" s="52">
        <f t="shared" si="1"/>
        <v>2.6685361484531427</v>
      </c>
      <c r="I21" s="51">
        <f>I20-I19</f>
        <v>10905993761.129997</v>
      </c>
      <c r="J21" s="53">
        <f t="shared" si="2"/>
        <v>85.806362316017058</v>
      </c>
    </row>
    <row r="22" spans="1:10">
      <c r="I22" s="6"/>
    </row>
    <row r="23" spans="1:10">
      <c r="I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3"/>
  <sheetViews>
    <sheetView showGridLines="0" workbookViewId="0">
      <selection activeCell="H1" sqref="H1:H31"/>
    </sheetView>
  </sheetViews>
  <sheetFormatPr defaultRowHeight="15"/>
  <cols>
    <col min="1" max="1" width="50.7109375" bestFit="1" customWidth="1"/>
    <col min="2" max="6" width="15.28515625" bestFit="1" customWidth="1"/>
    <col min="7" max="7" width="8.5703125" customWidth="1"/>
    <col min="8" max="8" width="8.140625" customWidth="1"/>
    <col min="9" max="9" width="15.28515625" bestFit="1" customWidth="1"/>
    <col min="10" max="10" width="7" bestFit="1" customWidth="1"/>
  </cols>
  <sheetData>
    <row r="1" spans="1:10" ht="30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295</v>
      </c>
      <c r="H1" s="42" t="s">
        <v>232</v>
      </c>
      <c r="I1" s="54" t="s">
        <v>371</v>
      </c>
      <c r="J1" s="42" t="s">
        <v>334</v>
      </c>
    </row>
    <row r="2" spans="1:10">
      <c r="A2" s="59" t="s">
        <v>268</v>
      </c>
      <c r="B2" s="56">
        <f>Entrate_Uscite!B23</f>
        <v>134981296.25999999</v>
      </c>
      <c r="C2" s="56">
        <f>Entrate_Uscite!E23</f>
        <v>125046915.48999999</v>
      </c>
      <c r="D2" s="56">
        <f>Entrate_Uscite!H23</f>
        <v>129457904.38</v>
      </c>
      <c r="E2" s="56">
        <f>Entrate_Uscite!K23</f>
        <v>129722730.39</v>
      </c>
      <c r="F2" s="56">
        <f>Entrate_Uscite!N23</f>
        <v>123233591.15000001</v>
      </c>
      <c r="G2" s="56">
        <f>F2/F$31*100</f>
        <v>0.98472941971007499</v>
      </c>
      <c r="H2" s="57">
        <f>IF(E2&gt;0,F2/E2*100-100,"-")</f>
        <v>-5.0023147219388449</v>
      </c>
      <c r="I2" s="56">
        <f>Entrate_Uscite!O23</f>
        <v>118638807.70999999</v>
      </c>
      <c r="J2" s="58">
        <f>IF(F2&gt;0,I2/F2*100,"-")</f>
        <v>96.271484587017156</v>
      </c>
    </row>
    <row r="3" spans="1:10">
      <c r="A3" s="59" t="s">
        <v>269</v>
      </c>
      <c r="B3" s="56">
        <f>Entrate_Uscite!B24</f>
        <v>13560145</v>
      </c>
      <c r="C3" s="56">
        <f>Entrate_Uscite!E24</f>
        <v>11380425.949999999</v>
      </c>
      <c r="D3" s="56">
        <f>Entrate_Uscite!H24</f>
        <v>10560174.210000001</v>
      </c>
      <c r="E3" s="56">
        <f>Entrate_Uscite!K24</f>
        <v>10597688.84</v>
      </c>
      <c r="F3" s="56">
        <f>Entrate_Uscite!N24</f>
        <v>9694319.3900000006</v>
      </c>
      <c r="G3" s="56">
        <f t="shared" ref="G3:G31" si="0">F3/F$31*100</f>
        <v>7.7464929961986492E-2</v>
      </c>
      <c r="H3" s="57">
        <f t="shared" ref="H3:H31" si="1">IF(E3&gt;0,F3/E3*100-100,"-")</f>
        <v>-8.5242118695758933</v>
      </c>
      <c r="I3" s="56">
        <f>Entrate_Uscite!O24</f>
        <v>8638601.1699999999</v>
      </c>
      <c r="J3" s="58">
        <f>IF(F3&gt;0,I3/F3*100,"-")</f>
        <v>89.109929459421281</v>
      </c>
    </row>
    <row r="4" spans="1:10">
      <c r="A4" s="59" t="s">
        <v>270</v>
      </c>
      <c r="B4" s="56">
        <f>Entrate_Uscite!B25</f>
        <v>544314647.04999995</v>
      </c>
      <c r="C4" s="56">
        <f>Entrate_Uscite!E25</f>
        <v>486587046.05000001</v>
      </c>
      <c r="D4" s="56">
        <f>Entrate_Uscite!H25</f>
        <v>508461502.38</v>
      </c>
      <c r="E4" s="56">
        <f>Entrate_Uscite!K25</f>
        <v>520489998.44</v>
      </c>
      <c r="F4" s="56">
        <f>Entrate_Uscite!N25</f>
        <v>359829510.16000003</v>
      </c>
      <c r="G4" s="56">
        <f t="shared" si="0"/>
        <v>2.8753094138360455</v>
      </c>
      <c r="H4" s="57">
        <f t="shared" si="1"/>
        <v>-30.867161475057671</v>
      </c>
      <c r="I4" s="56">
        <f>Entrate_Uscite!O25</f>
        <v>324343412.29000002</v>
      </c>
      <c r="J4" s="58">
        <f t="shared" ref="J4:J9" si="2">IF(F4&gt;0,I4/F4*100,"-")</f>
        <v>90.138080155176553</v>
      </c>
    </row>
    <row r="5" spans="1:10">
      <c r="A5" s="59" t="s">
        <v>271</v>
      </c>
      <c r="B5" s="56">
        <f>Entrate_Uscite!B26</f>
        <v>9647162189.1200008</v>
      </c>
      <c r="C5" s="56">
        <f>Entrate_Uscite!E26</f>
        <v>9932359750.6000004</v>
      </c>
      <c r="D5" s="56">
        <f>Entrate_Uscite!H26</f>
        <v>10084249187.809999</v>
      </c>
      <c r="E5" s="56">
        <f>Entrate_Uscite!K26</f>
        <v>10267232037.299999</v>
      </c>
      <c r="F5" s="56">
        <f>Entrate_Uscite!N26</f>
        <v>11221243914.99</v>
      </c>
      <c r="G5" s="56">
        <f t="shared" si="0"/>
        <v>89.666209559562233</v>
      </c>
      <c r="H5" s="57">
        <f t="shared" si="1"/>
        <v>9.2918117972220244</v>
      </c>
      <c r="I5" s="56">
        <f>Entrate_Uscite!O26</f>
        <v>10674639189.17</v>
      </c>
      <c r="J5" s="58">
        <f t="shared" si="2"/>
        <v>95.128840171722743</v>
      </c>
    </row>
    <row r="6" spans="1:10">
      <c r="A6" s="59" t="s">
        <v>272</v>
      </c>
      <c r="B6" s="56">
        <f>Entrate_Uscite!B29</f>
        <v>58398153.159999996</v>
      </c>
      <c r="C6" s="56">
        <f>Entrate_Uscite!E29</f>
        <v>56385170.530000001</v>
      </c>
      <c r="D6" s="56">
        <f>Entrate_Uscite!H29</f>
        <v>57950235.549999997</v>
      </c>
      <c r="E6" s="56">
        <f>Entrate_Uscite!K29</f>
        <v>61097763.810000002</v>
      </c>
      <c r="F6" s="56">
        <f>Entrate_Uscite!N29</f>
        <v>59247467.600000001</v>
      </c>
      <c r="G6" s="56">
        <f t="shared" si="0"/>
        <v>0.47343199077940262</v>
      </c>
      <c r="H6" s="57">
        <f t="shared" si="1"/>
        <v>-3.0284188726677428</v>
      </c>
      <c r="I6" s="56">
        <f>Entrate_Uscite!O29</f>
        <v>59242273.490000002</v>
      </c>
      <c r="J6" s="58">
        <f t="shared" si="2"/>
        <v>99.991233194918877</v>
      </c>
    </row>
    <row r="7" spans="1:10">
      <c r="A7" s="59" t="s">
        <v>273</v>
      </c>
      <c r="B7" s="56">
        <f>Entrate_Uscite!B30</f>
        <v>0</v>
      </c>
      <c r="C7" s="56">
        <f>Entrate_Uscite!E30</f>
        <v>0</v>
      </c>
      <c r="D7" s="56">
        <f>Entrate_Uscite!H30</f>
        <v>0</v>
      </c>
      <c r="E7" s="56">
        <f>Entrate_Uscite!K30</f>
        <v>0</v>
      </c>
      <c r="F7" s="56">
        <f>Entrate_Uscite!N30</f>
        <v>0</v>
      </c>
      <c r="G7" s="56">
        <f t="shared" si="0"/>
        <v>0</v>
      </c>
      <c r="H7" s="57" t="str">
        <f t="shared" si="1"/>
        <v>-</v>
      </c>
      <c r="I7" s="56">
        <f>Entrate_Uscite!O30</f>
        <v>0</v>
      </c>
      <c r="J7" s="58" t="str">
        <f t="shared" si="2"/>
        <v>-</v>
      </c>
    </row>
    <row r="8" spans="1:10">
      <c r="A8" s="59" t="s">
        <v>274</v>
      </c>
      <c r="B8" s="56">
        <f>Entrate_Uscite!B31</f>
        <v>113939305.59</v>
      </c>
      <c r="C8" s="56">
        <f>Entrate_Uscite!E31</f>
        <v>84719019.299999997</v>
      </c>
      <c r="D8" s="56">
        <f>Entrate_Uscite!H31</f>
        <v>90382825.150000006</v>
      </c>
      <c r="E8" s="56">
        <f>Entrate_Uscite!K31</f>
        <v>42109905.43</v>
      </c>
      <c r="F8" s="56">
        <f>Entrate_Uscite!N31</f>
        <v>57558452.359999999</v>
      </c>
      <c r="G8" s="56">
        <f t="shared" si="0"/>
        <v>0.45993548401005757</v>
      </c>
      <c r="H8" s="57">
        <f t="shared" si="1"/>
        <v>36.686254153860261</v>
      </c>
      <c r="I8" s="56">
        <f>Entrate_Uscite!O31</f>
        <v>20058477.010000002</v>
      </c>
      <c r="J8" s="58">
        <f t="shared" si="2"/>
        <v>34.848881767258142</v>
      </c>
    </row>
    <row r="9" spans="1:10">
      <c r="A9" s="59" t="s">
        <v>275</v>
      </c>
      <c r="B9" s="56">
        <f>Entrate_Uscite!B32</f>
        <v>6198496.5899999999</v>
      </c>
      <c r="C9" s="56">
        <f>Entrate_Uscite!E32</f>
        <v>3650716.65</v>
      </c>
      <c r="D9" s="56">
        <f>Entrate_Uscite!H32</f>
        <v>2789982</v>
      </c>
      <c r="E9" s="56">
        <f>Entrate_Uscite!K32</f>
        <v>3069968.58</v>
      </c>
      <c r="F9" s="56">
        <f>Entrate_Uscite!N32</f>
        <v>3926819.01</v>
      </c>
      <c r="G9" s="56">
        <f t="shared" si="0"/>
        <v>3.137824816219998E-2</v>
      </c>
      <c r="H9" s="57">
        <f t="shared" si="1"/>
        <v>27.91072311235186</v>
      </c>
      <c r="I9" s="56">
        <f>Entrate_Uscite!O32</f>
        <v>3470533.57</v>
      </c>
      <c r="J9" s="58">
        <f t="shared" si="2"/>
        <v>88.380278315908427</v>
      </c>
    </row>
    <row r="10" spans="1:10">
      <c r="A10" s="4" t="s">
        <v>280</v>
      </c>
      <c r="B10" s="43">
        <f>SUM(B2:B9)</f>
        <v>10518554232.77</v>
      </c>
      <c r="C10" s="43">
        <f>SUM(C2:C9)</f>
        <v>10700129044.57</v>
      </c>
      <c r="D10" s="43">
        <f>SUM(D2:D9)</f>
        <v>10883851811.479998</v>
      </c>
      <c r="E10" s="43">
        <f>SUM(E2:E9)</f>
        <v>11034320092.789999</v>
      </c>
      <c r="F10" s="43">
        <f>SUM(F2:F9)</f>
        <v>11834734074.660002</v>
      </c>
      <c r="G10" s="43">
        <f t="shared" si="0"/>
        <v>94.568459046021999</v>
      </c>
      <c r="H10" s="44">
        <f t="shared" si="1"/>
        <v>7.2538586441135209</v>
      </c>
      <c r="I10" s="43">
        <f>SUM(I2:I9)</f>
        <v>11209031294.41</v>
      </c>
      <c r="J10" s="45">
        <f t="shared" ref="J10:J17" si="3">IF(F10&gt;0,I10/F10*100,"-")</f>
        <v>94.712996706958307</v>
      </c>
    </row>
    <row r="11" spans="1:10">
      <c r="A11" s="59" t="s">
        <v>276</v>
      </c>
      <c r="B11" s="56">
        <f>Entrate_Uscite!B34</f>
        <v>393443888.31999999</v>
      </c>
      <c r="C11" s="56">
        <f>Entrate_Uscite!E34</f>
        <v>160568199.96000001</v>
      </c>
      <c r="D11" s="56">
        <f>Entrate_Uscite!H34</f>
        <v>74730806.540000007</v>
      </c>
      <c r="E11" s="56">
        <f>Entrate_Uscite!K34</f>
        <v>102447192.3</v>
      </c>
      <c r="F11" s="56">
        <f>Entrate_Uscite!N34</f>
        <v>66778227.240000002</v>
      </c>
      <c r="G11" s="56">
        <f t="shared" si="0"/>
        <v>0.53360844511356853</v>
      </c>
      <c r="H11" s="57">
        <f t="shared" si="1"/>
        <v>-34.816927881780515</v>
      </c>
      <c r="I11" s="56">
        <f>Entrate_Uscite!O34</f>
        <v>34933011.450000003</v>
      </c>
      <c r="J11" s="58">
        <f t="shared" si="3"/>
        <v>52.311977861363786</v>
      </c>
    </row>
    <row r="12" spans="1:10">
      <c r="A12" s="59" t="s">
        <v>277</v>
      </c>
      <c r="B12" s="56">
        <f>Entrate_Uscite!B35</f>
        <v>401960000.06999999</v>
      </c>
      <c r="C12" s="56">
        <f>Entrate_Uscite!E35</f>
        <v>410952896.49000001</v>
      </c>
      <c r="D12" s="56">
        <f>Entrate_Uscite!H35</f>
        <v>638683890.50999999</v>
      </c>
      <c r="E12" s="56">
        <f>Entrate_Uscite!K35</f>
        <v>664610281.74000001</v>
      </c>
      <c r="F12" s="56">
        <f>Entrate_Uscite!N35</f>
        <v>405225953.02999997</v>
      </c>
      <c r="G12" s="56">
        <f t="shared" si="0"/>
        <v>3.2380612611782511</v>
      </c>
      <c r="H12" s="57">
        <f t="shared" si="1"/>
        <v>-39.028034298673845</v>
      </c>
      <c r="I12" s="56">
        <f>Entrate_Uscite!O35</f>
        <v>194334088.71000001</v>
      </c>
      <c r="J12" s="58">
        <f t="shared" si="3"/>
        <v>47.956969995851409</v>
      </c>
    </row>
    <row r="13" spans="1:10">
      <c r="A13" s="59" t="s">
        <v>278</v>
      </c>
      <c r="B13" s="56">
        <f>Entrate_Uscite!B36</f>
        <v>0</v>
      </c>
      <c r="C13" s="56">
        <f>Entrate_Uscite!E36</f>
        <v>9903442.9299999997</v>
      </c>
      <c r="D13" s="56">
        <f>Entrate_Uscite!H36</f>
        <v>0</v>
      </c>
      <c r="E13" s="56">
        <f>Entrate_Uscite!K36</f>
        <v>0</v>
      </c>
      <c r="F13" s="56">
        <f>Entrate_Uscite!N36</f>
        <v>0</v>
      </c>
      <c r="G13" s="56">
        <f t="shared" si="0"/>
        <v>0</v>
      </c>
      <c r="H13" s="57" t="str">
        <f t="shared" si="1"/>
        <v>-</v>
      </c>
      <c r="I13" s="56">
        <f>Entrate_Uscite!O36</f>
        <v>0</v>
      </c>
      <c r="J13" s="58" t="str">
        <f t="shared" si="3"/>
        <v>-</v>
      </c>
    </row>
    <row r="14" spans="1:10">
      <c r="A14" s="59" t="s">
        <v>279</v>
      </c>
      <c r="B14" s="56">
        <f>Entrate_Uscite!B37</f>
        <v>0</v>
      </c>
      <c r="C14" s="56">
        <f>Entrate_Uscite!E37</f>
        <v>4919585.7699999996</v>
      </c>
      <c r="D14" s="56">
        <f>Entrate_Uscite!H37</f>
        <v>51345.08</v>
      </c>
      <c r="E14" s="56">
        <f>Entrate_Uscite!K37</f>
        <v>22150.16</v>
      </c>
      <c r="F14" s="56">
        <f>Entrate_Uscite!N37</f>
        <v>110118.71</v>
      </c>
      <c r="G14" s="56">
        <f t="shared" si="0"/>
        <v>8.799316191762382E-4</v>
      </c>
      <c r="H14" s="107">
        <f t="shared" si="1"/>
        <v>397.14634115509784</v>
      </c>
      <c r="I14" s="56">
        <f>Entrate_Uscite!O37</f>
        <v>110118.71</v>
      </c>
      <c r="J14" s="58">
        <f t="shared" si="3"/>
        <v>100</v>
      </c>
    </row>
    <row r="15" spans="1:10">
      <c r="A15" s="4" t="s">
        <v>281</v>
      </c>
      <c r="B15" s="46">
        <f>SUM(B11:B14)</f>
        <v>795403888.38999999</v>
      </c>
      <c r="C15" s="46">
        <f>SUM(C11:C14)</f>
        <v>586344125.14999998</v>
      </c>
      <c r="D15" s="46">
        <f>SUM(D11:D14)</f>
        <v>713466042.13</v>
      </c>
      <c r="E15" s="46">
        <f>SUM(E11:E14)</f>
        <v>767079624.19999993</v>
      </c>
      <c r="F15" s="46">
        <f>SUM(F11:F14)</f>
        <v>472114298.97999996</v>
      </c>
      <c r="G15" s="46">
        <f t="shared" si="0"/>
        <v>3.7725496379109962</v>
      </c>
      <c r="H15" s="44">
        <f t="shared" si="1"/>
        <v>-38.453025724366519</v>
      </c>
      <c r="I15" s="46">
        <f>SUM(I11:I14)</f>
        <v>229377218.87000003</v>
      </c>
      <c r="J15" s="45">
        <f t="shared" si="3"/>
        <v>48.585103091680999</v>
      </c>
    </row>
    <row r="16" spans="1:10">
      <c r="A16" s="59" t="s">
        <v>282</v>
      </c>
      <c r="B16" s="56">
        <f>Entrate_Uscite!B38</f>
        <v>0</v>
      </c>
      <c r="C16" s="56">
        <f>Entrate_Uscite!E38</f>
        <v>20000</v>
      </c>
      <c r="D16" s="56">
        <f>Entrate_Uscite!H38</f>
        <v>4385163.88</v>
      </c>
      <c r="E16" s="56">
        <f>Entrate_Uscite!K38</f>
        <v>256585.67</v>
      </c>
      <c r="F16" s="56">
        <f>Entrate_Uscite!N38</f>
        <v>4000</v>
      </c>
      <c r="G16" s="56">
        <f t="shared" si="0"/>
        <v>3.1963019515075617E-5</v>
      </c>
      <c r="H16" s="57">
        <f t="shared" si="1"/>
        <v>-98.441066486682601</v>
      </c>
      <c r="I16" s="56">
        <f>Entrate_Uscite!O38</f>
        <v>4000</v>
      </c>
      <c r="J16" s="58">
        <f t="shared" si="3"/>
        <v>100</v>
      </c>
    </row>
    <row r="17" spans="1:10">
      <c r="A17" s="59" t="s">
        <v>283</v>
      </c>
      <c r="B17" s="56">
        <f>Entrate_Uscite!B39</f>
        <v>0</v>
      </c>
      <c r="C17" s="56">
        <f>Entrate_Uscite!E39</f>
        <v>0</v>
      </c>
      <c r="D17" s="56">
        <f>Entrate_Uscite!H39</f>
        <v>1000000</v>
      </c>
      <c r="E17" s="56">
        <f>Entrate_Uscite!K39</f>
        <v>0</v>
      </c>
      <c r="F17" s="56">
        <f>Entrate_Uscite!N39</f>
        <v>604.1</v>
      </c>
      <c r="G17" s="56">
        <f t="shared" si="0"/>
        <v>4.8272150222642952E-6</v>
      </c>
      <c r="H17" s="57" t="str">
        <f t="shared" si="1"/>
        <v>-</v>
      </c>
      <c r="I17" s="56">
        <f>Entrate_Uscite!O39</f>
        <v>604.1</v>
      </c>
      <c r="J17" s="58">
        <f t="shared" si="3"/>
        <v>100</v>
      </c>
    </row>
    <row r="18" spans="1:10">
      <c r="A18" s="59" t="s">
        <v>284</v>
      </c>
      <c r="B18" s="56">
        <f>Entrate_Uscite!B40</f>
        <v>619390.42000000004</v>
      </c>
      <c r="C18" s="56">
        <f>Entrate_Uscite!E40</f>
        <v>1828480.3</v>
      </c>
      <c r="D18" s="56">
        <f>Entrate_Uscite!H40</f>
        <v>14425922.99</v>
      </c>
      <c r="E18" s="56">
        <f>Entrate_Uscite!K40</f>
        <v>1623609.17</v>
      </c>
      <c r="F18" s="56">
        <f>Entrate_Uscite!N40</f>
        <v>1469085.37</v>
      </c>
      <c r="G18" s="56">
        <f t="shared" si="0"/>
        <v>1.1739101087655522E-2</v>
      </c>
      <c r="H18" s="57">
        <f t="shared" si="1"/>
        <v>-9.5173027385648368</v>
      </c>
      <c r="I18" s="56">
        <f>Entrate_Uscite!O40</f>
        <v>469085.37</v>
      </c>
      <c r="J18" s="58">
        <f t="shared" ref="J18:J26" si="4">IF(F18&gt;0,I18/F18*100,"-")</f>
        <v>31.930436418409091</v>
      </c>
    </row>
    <row r="19" spans="1:10">
      <c r="A19" s="59" t="s">
        <v>285</v>
      </c>
      <c r="B19" s="56">
        <f>Entrate_Uscite!B41</f>
        <v>144815047.52000001</v>
      </c>
      <c r="C19" s="56">
        <f>Entrate_Uscite!E41</f>
        <v>60891920.329999998</v>
      </c>
      <c r="D19" s="56">
        <f>Entrate_Uscite!H41</f>
        <v>133399418.12</v>
      </c>
      <c r="E19" s="56">
        <f>Entrate_Uscite!K41</f>
        <v>164906727.53</v>
      </c>
      <c r="F19" s="56">
        <f>Entrate_Uscite!N41</f>
        <v>103082109.87</v>
      </c>
      <c r="G19" s="56">
        <f t="shared" si="0"/>
        <v>0.82370387235749487</v>
      </c>
      <c r="H19" s="57">
        <f t="shared" si="1"/>
        <v>-37.490658256348453</v>
      </c>
      <c r="I19" s="56">
        <f>Entrate_Uscite!O41</f>
        <v>103082109.87</v>
      </c>
      <c r="J19" s="58">
        <f t="shared" si="4"/>
        <v>100</v>
      </c>
    </row>
    <row r="20" spans="1:10">
      <c r="A20" s="4" t="s">
        <v>286</v>
      </c>
      <c r="B20" s="43">
        <f>SUM(B16:B19)</f>
        <v>145434437.94</v>
      </c>
      <c r="C20" s="43">
        <f>SUM(C16:C19)</f>
        <v>62740400.629999995</v>
      </c>
      <c r="D20" s="43">
        <f>SUM(D16:D19)</f>
        <v>153210504.99000001</v>
      </c>
      <c r="E20" s="43">
        <f>SUM(E16:E19)</f>
        <v>166786922.37</v>
      </c>
      <c r="F20" s="43">
        <f>SUM(F16:F19)</f>
        <v>104555799.34</v>
      </c>
      <c r="G20" s="43">
        <f t="shared" si="0"/>
        <v>0.83547976367968757</v>
      </c>
      <c r="H20" s="44">
        <f t="shared" si="1"/>
        <v>-37.31175211204301</v>
      </c>
      <c r="I20" s="43">
        <f>SUM(I16:I19)</f>
        <v>103555799.34</v>
      </c>
      <c r="J20" s="40">
        <f t="shared" si="4"/>
        <v>99.043572899530758</v>
      </c>
    </row>
    <row r="21" spans="1:10">
      <c r="A21" s="47" t="s">
        <v>344</v>
      </c>
      <c r="B21" s="48">
        <f>B10+B15+B20</f>
        <v>11459392559.1</v>
      </c>
      <c r="C21" s="48">
        <f>C10+C15+C20</f>
        <v>11349213570.349998</v>
      </c>
      <c r="D21" s="48">
        <f>D10+D15+D20</f>
        <v>11750528358.599997</v>
      </c>
      <c r="E21" s="48">
        <f>E10+E15+E20</f>
        <v>11968186639.360001</v>
      </c>
      <c r="F21" s="48">
        <f>F10+F15+F20</f>
        <v>12411404172.980001</v>
      </c>
      <c r="G21" s="48">
        <f>F21/F$31*100</f>
        <v>99.176488447612684</v>
      </c>
      <c r="H21" s="49">
        <f t="shared" si="1"/>
        <v>3.7032973079011384</v>
      </c>
      <c r="I21" s="48">
        <f>I10+I15+I20</f>
        <v>11541964312.620001</v>
      </c>
      <c r="J21" s="50">
        <f>IF(F21&gt;0,I21/F21*100,"-")</f>
        <v>92.99483081654212</v>
      </c>
    </row>
    <row r="22" spans="1:10">
      <c r="A22" s="59" t="s">
        <v>287</v>
      </c>
      <c r="B22" s="60">
        <f>Entrate_Uscite!B42</f>
        <v>37353500</v>
      </c>
      <c r="C22" s="60">
        <f>Entrate_Uscite!E42</f>
        <v>37788000</v>
      </c>
      <c r="D22" s="60">
        <f>Entrate_Uscite!H42</f>
        <v>38186000</v>
      </c>
      <c r="E22" s="60">
        <f>Entrate_Uscite!K42</f>
        <v>38647500</v>
      </c>
      <c r="F22" s="60">
        <f>Entrate_Uscite!N42</f>
        <v>39072500</v>
      </c>
      <c r="G22" s="60">
        <f t="shared" si="0"/>
        <v>0.31221877000069803</v>
      </c>
      <c r="H22" s="61">
        <f t="shared" si="1"/>
        <v>1.0996830325376834</v>
      </c>
      <c r="I22" s="60">
        <f>Entrate_Uscite!O42</f>
        <v>39072500</v>
      </c>
      <c r="J22" s="58">
        <f t="shared" si="4"/>
        <v>100</v>
      </c>
    </row>
    <row r="23" spans="1:10">
      <c r="A23" s="59" t="s">
        <v>288</v>
      </c>
      <c r="B23" s="60">
        <f>Entrate_Uscite!B43</f>
        <v>0</v>
      </c>
      <c r="C23" s="60">
        <f>Entrate_Uscite!E43</f>
        <v>0</v>
      </c>
      <c r="D23" s="60">
        <f>Entrate_Uscite!H43</f>
        <v>0</v>
      </c>
      <c r="E23" s="60">
        <f>Entrate_Uscite!K43</f>
        <v>0</v>
      </c>
      <c r="F23" s="60">
        <f>Entrate_Uscite!N43</f>
        <v>0</v>
      </c>
      <c r="G23" s="60">
        <f t="shared" si="0"/>
        <v>0</v>
      </c>
      <c r="H23" s="61" t="str">
        <f t="shared" si="1"/>
        <v>-</v>
      </c>
      <c r="I23" s="60">
        <f>Entrate_Uscite!O43</f>
        <v>0</v>
      </c>
      <c r="J23" s="58" t="str">
        <f t="shared" si="4"/>
        <v>-</v>
      </c>
    </row>
    <row r="24" spans="1:10">
      <c r="A24" s="59" t="s">
        <v>289</v>
      </c>
      <c r="B24" s="60">
        <f>Entrate_Uscite!B44</f>
        <v>69806156.590000004</v>
      </c>
      <c r="C24" s="60">
        <f>Entrate_Uscite!E44</f>
        <v>68001972.340000004</v>
      </c>
      <c r="D24" s="60">
        <f>Entrate_Uscite!H44</f>
        <v>69932048.170000002</v>
      </c>
      <c r="E24" s="60">
        <f>Entrate_Uscite!K44</f>
        <v>68450177.060000002</v>
      </c>
      <c r="F24" s="60">
        <f>Entrate_Uscite!N44</f>
        <v>60620080.75</v>
      </c>
      <c r="G24" s="60">
        <f t="shared" si="0"/>
        <v>0.4844002060044274</v>
      </c>
      <c r="H24" s="61">
        <f t="shared" si="1"/>
        <v>-11.439117685753445</v>
      </c>
      <c r="I24" s="60">
        <f>Entrate_Uscite!O44</f>
        <v>60620080.75</v>
      </c>
      <c r="J24" s="58">
        <f t="shared" si="4"/>
        <v>100</v>
      </c>
    </row>
    <row r="25" spans="1:10">
      <c r="A25" s="59" t="s">
        <v>290</v>
      </c>
      <c r="B25" s="60">
        <f>Entrate_Uscite!B45</f>
        <v>0</v>
      </c>
      <c r="C25" s="60">
        <f>Entrate_Uscite!E45</f>
        <v>0</v>
      </c>
      <c r="D25" s="60">
        <f>Entrate_Uscite!H45</f>
        <v>3280275.37</v>
      </c>
      <c r="E25" s="60">
        <f>Entrate_Uscite!K45</f>
        <v>3322595.36</v>
      </c>
      <c r="F25" s="60">
        <f>Entrate_Uscite!N45</f>
        <v>3365461.31</v>
      </c>
      <c r="G25" s="60">
        <f t="shared" si="0"/>
        <v>2.6892576382190492E-2</v>
      </c>
      <c r="H25" s="61">
        <f t="shared" si="1"/>
        <v>1.2901345290508175</v>
      </c>
      <c r="I25" s="60">
        <f>Entrate_Uscite!O45</f>
        <v>3365461.31</v>
      </c>
      <c r="J25" s="58">
        <f t="shared" si="4"/>
        <v>100</v>
      </c>
    </row>
    <row r="26" spans="1:10">
      <c r="A26" s="59" t="s">
        <v>291</v>
      </c>
      <c r="B26" s="60">
        <f>Entrate_Uscite!B46</f>
        <v>0</v>
      </c>
      <c r="C26" s="60">
        <f>Entrate_Uscite!E46</f>
        <v>0</v>
      </c>
      <c r="D26" s="60">
        <f>Entrate_Uscite!H46</f>
        <v>0</v>
      </c>
      <c r="E26" s="60">
        <f>Entrate_Uscite!K46</f>
        <v>0</v>
      </c>
      <c r="F26" s="60">
        <f>Entrate_Uscite!N46</f>
        <v>0</v>
      </c>
      <c r="G26" s="60">
        <f t="shared" si="0"/>
        <v>0</v>
      </c>
      <c r="H26" s="61" t="str">
        <f t="shared" si="1"/>
        <v>-</v>
      </c>
      <c r="I26" s="60">
        <f>Entrate_Uscite!O46</f>
        <v>0</v>
      </c>
      <c r="J26" s="58" t="str">
        <f t="shared" si="4"/>
        <v>-</v>
      </c>
    </row>
    <row r="27" spans="1:10">
      <c r="A27" s="4" t="s">
        <v>292</v>
      </c>
      <c r="B27" s="43">
        <f>SUM(B22:B26)</f>
        <v>107159656.59</v>
      </c>
      <c r="C27" s="43">
        <f>SUM(C22:C26)</f>
        <v>105789972.34</v>
      </c>
      <c r="D27" s="43">
        <f>SUM(D22:D26)</f>
        <v>111398323.54000001</v>
      </c>
      <c r="E27" s="43">
        <f>SUM(E22:E26)</f>
        <v>110420272.42</v>
      </c>
      <c r="F27" s="43">
        <f>SUM(F22:F26)</f>
        <v>103058042.06</v>
      </c>
      <c r="G27" s="43">
        <f t="shared" si="0"/>
        <v>0.82351155238731599</v>
      </c>
      <c r="H27" s="44">
        <f t="shared" si="1"/>
        <v>-6.6674625941843857</v>
      </c>
      <c r="I27" s="43">
        <f>SUM(I22:I26)</f>
        <v>103058042.06</v>
      </c>
      <c r="J27" s="45">
        <f>IF(F27&gt;0,I27/F27*100,"-")</f>
        <v>100</v>
      </c>
    </row>
    <row r="28" spans="1:10">
      <c r="A28" s="4" t="s">
        <v>293</v>
      </c>
      <c r="B28" s="43">
        <f>Entrate_Uscite!B54</f>
        <v>0</v>
      </c>
      <c r="C28" s="43">
        <f>Entrate_Uscite!E54</f>
        <v>0</v>
      </c>
      <c r="D28" s="43">
        <f>Entrate_Uscite!H54</f>
        <v>0</v>
      </c>
      <c r="E28" s="43">
        <f>Entrate_Uscite!K54</f>
        <v>0</v>
      </c>
      <c r="F28" s="43">
        <f>Entrate_Uscite!N54</f>
        <v>0</v>
      </c>
      <c r="G28" s="43">
        <f t="shared" si="0"/>
        <v>0</v>
      </c>
      <c r="H28" s="44" t="str">
        <f t="shared" si="1"/>
        <v>-</v>
      </c>
      <c r="I28" s="43">
        <f>Entrate_Uscite!O54</f>
        <v>0</v>
      </c>
      <c r="J28" s="45" t="str">
        <f>IF(F28&gt;0,I28/F28*100,"-")</f>
        <v>-</v>
      </c>
    </row>
    <row r="29" spans="1:10">
      <c r="A29" s="4" t="s">
        <v>294</v>
      </c>
      <c r="B29" s="43">
        <f>Entrate_Uscite!B55</f>
        <v>2760140482.6199999</v>
      </c>
      <c r="C29" s="43">
        <f>Entrate_Uscite!E55</f>
        <v>2283952756.3800001</v>
      </c>
      <c r="D29" s="43">
        <f>Entrate_Uscite!H55</f>
        <v>1554133093.23</v>
      </c>
      <c r="E29" s="43">
        <f>Entrate_Uscite!K55</f>
        <v>2031005483.8599999</v>
      </c>
      <c r="F29" s="43">
        <f>Entrate_Uscite!N55</f>
        <v>2479401321.9799995</v>
      </c>
      <c r="G29" s="43"/>
      <c r="H29" s="44">
        <f t="shared" si="1"/>
        <v>22.07752966121032</v>
      </c>
      <c r="I29" s="43">
        <f>Entrate_Uscite!O55</f>
        <v>1301747969.9300001</v>
      </c>
      <c r="J29" s="45">
        <f>IF(F29&gt;0,I29/F29*100,"-")</f>
        <v>52.502511730954893</v>
      </c>
    </row>
    <row r="30" spans="1:10">
      <c r="A30" s="47" t="s">
        <v>68</v>
      </c>
      <c r="B30" s="48">
        <f>B10+B15+B20+B27+B28+B29</f>
        <v>14326692698.310001</v>
      </c>
      <c r="C30" s="48">
        <f>C10+C15+C20+C27+C28+C29</f>
        <v>13738956299.07</v>
      </c>
      <c r="D30" s="48">
        <f>D10+D15+D20+D27+D28+D29</f>
        <v>13416059775.369997</v>
      </c>
      <c r="E30" s="48">
        <f>E10+E15+E20+E27+E28+E29</f>
        <v>14109612395.640001</v>
      </c>
      <c r="F30" s="48">
        <f>F10+F15+F20+F27+F28+F29</f>
        <v>14993863537.02</v>
      </c>
      <c r="G30" s="48"/>
      <c r="H30" s="49">
        <f t="shared" si="1"/>
        <v>6.2670122791838025</v>
      </c>
      <c r="I30" s="48">
        <f>I10+I15+I20+I27+I28+I29</f>
        <v>12946770324.610001</v>
      </c>
      <c r="J30" s="50">
        <f>IF(F30&gt;0,I30/F30*100,"-")</f>
        <v>86.347126560437843</v>
      </c>
    </row>
    <row r="31" spans="1:10">
      <c r="A31" s="38" t="s">
        <v>69</v>
      </c>
      <c r="B31" s="51">
        <f>B30-B29</f>
        <v>11566552215.690002</v>
      </c>
      <c r="C31" s="51">
        <f>C30-C29</f>
        <v>11455003542.689999</v>
      </c>
      <c r="D31" s="51">
        <f>D30-D29</f>
        <v>11861926682.139997</v>
      </c>
      <c r="E31" s="51">
        <f>E30-E29</f>
        <v>12078606911.780001</v>
      </c>
      <c r="F31" s="51">
        <f>F30-F29</f>
        <v>12514462215.040001</v>
      </c>
      <c r="G31" s="51">
        <f t="shared" si="0"/>
        <v>100</v>
      </c>
      <c r="H31" s="52">
        <f t="shared" si="1"/>
        <v>3.6084898402887831</v>
      </c>
      <c r="I31" s="51">
        <f>I30-I29</f>
        <v>11645022354.68</v>
      </c>
      <c r="J31" s="53">
        <f>IF(F31&gt;0,I31/F31*100,"-")</f>
        <v>93.052519194032172</v>
      </c>
    </row>
    <row r="32" spans="1:10">
      <c r="I32" s="6"/>
    </row>
    <row r="33" spans="9:9">
      <c r="I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"/>
  <sheetViews>
    <sheetView showGridLines="0" workbookViewId="0">
      <selection activeCell="H7" sqref="H7"/>
    </sheetView>
  </sheetViews>
  <sheetFormatPr defaultRowHeight="15"/>
  <cols>
    <col min="1" max="1" width="50.7109375" bestFit="1" customWidth="1"/>
    <col min="2" max="7" width="12.5703125" bestFit="1" customWidth="1"/>
    <col min="8" max="8" width="12.28515625" bestFit="1" customWidth="1"/>
  </cols>
  <sheetData>
    <row r="1" spans="1:8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264</v>
      </c>
      <c r="H1" s="42" t="s">
        <v>335</v>
      </c>
    </row>
    <row r="2" spans="1:8">
      <c r="A2" s="62" t="s">
        <v>296</v>
      </c>
      <c r="B2" s="64">
        <f>Entrate_Uscite!B58</f>
        <v>518064054.87999916</v>
      </c>
      <c r="C2" s="64">
        <f>Entrate_Uscite!E58</f>
        <v>693400436.71000099</v>
      </c>
      <c r="D2" s="64">
        <f>Entrate_Uscite!H58</f>
        <v>761757564.37000275</v>
      </c>
      <c r="E2" s="64">
        <f>Entrate_Uscite!K58</f>
        <v>644456574.96000099</v>
      </c>
      <c r="F2" s="64">
        <f>Entrate_Uscite!N58</f>
        <v>283986298.07999802</v>
      </c>
      <c r="G2" s="64">
        <f>F2-E2</f>
        <v>-360470276.88000298</v>
      </c>
      <c r="H2" s="64">
        <f>Entrate_Uscite!O58</f>
        <v>-684501343.51000214</v>
      </c>
    </row>
    <row r="3" spans="1:8">
      <c r="A3" s="62" t="s">
        <v>71</v>
      </c>
      <c r="B3" s="64">
        <f>Entrate_Uscite!B59</f>
        <v>-239333374.04999995</v>
      </c>
      <c r="C3" s="64">
        <f>Entrate_Uscite!E59</f>
        <v>-165872254.92999995</v>
      </c>
      <c r="D3" s="64">
        <f>Entrate_Uscite!H59</f>
        <v>-442622581.80000001</v>
      </c>
      <c r="E3" s="64">
        <f>Entrate_Uscite!K59</f>
        <v>-446527359.16999996</v>
      </c>
      <c r="F3" s="64">
        <f>Entrate_Uscite!N59</f>
        <v>-38961613.310000002</v>
      </c>
      <c r="G3" s="64">
        <f t="shared" ref="G3:G6" si="0">F3-E3</f>
        <v>407565745.85999995</v>
      </c>
      <c r="H3" s="64">
        <f>Entrate_Uscite!O59</f>
        <v>39286536.469999939</v>
      </c>
    </row>
    <row r="4" spans="1:8">
      <c r="A4" s="62" t="s">
        <v>299</v>
      </c>
      <c r="B4" s="65">
        <f>Entrate_Uscite!B16-Entrate_Uscite!B52</f>
        <v>20769201.310000002</v>
      </c>
      <c r="C4" s="65">
        <f>Entrate_Uscite!E16-Entrate_Uscite!E52</f>
        <v>17663466.099999994</v>
      </c>
      <c r="D4" s="65">
        <f>Entrate_Uscite!H16-Entrate_Uscite!H52</f>
        <v>3257888.7899999917</v>
      </c>
      <c r="E4" s="65">
        <f>Entrate_Uscite!K16-Entrate_Uscite!K52</f>
        <v>20534652.169999987</v>
      </c>
      <c r="F4" s="65">
        <f>Entrate_Uscite!N16-Entrate_Uscite!N52</f>
        <v>11082725.769999996</v>
      </c>
      <c r="G4" s="64">
        <f t="shared" si="0"/>
        <v>-9451926.3999999911</v>
      </c>
      <c r="H4" s="65">
        <f>Entrate_Uscite!O16-Entrate_Uscite!O52</f>
        <v>9244255.549999997</v>
      </c>
    </row>
    <row r="5" spans="1:8">
      <c r="A5" s="47" t="s">
        <v>297</v>
      </c>
      <c r="B5" s="66">
        <f>Entrate_Uscite!B60</f>
        <v>299499882.13999939</v>
      </c>
      <c r="C5" s="66">
        <f>Entrate_Uscite!E60</f>
        <v>545191647.88000107</v>
      </c>
      <c r="D5" s="66">
        <f>Entrate_Uscite!H60</f>
        <v>322392871.36000443</v>
      </c>
      <c r="E5" s="66">
        <f>Entrate_Uscite!K60</f>
        <v>218463867.96000099</v>
      </c>
      <c r="F5" s="66">
        <f>Entrate_Uscite!N60</f>
        <v>256107410.53999901</v>
      </c>
      <c r="G5" s="66">
        <f t="shared" si="0"/>
        <v>37643542.579998016</v>
      </c>
      <c r="H5" s="66">
        <f>Entrate_Uscite!O60</f>
        <v>-635970551.49000359</v>
      </c>
    </row>
    <row r="6" spans="1:8">
      <c r="A6" s="38" t="s">
        <v>298</v>
      </c>
      <c r="B6" s="67">
        <f>Entrate_Uscite!B61</f>
        <v>234069332.99999809</v>
      </c>
      <c r="C6" s="67">
        <f>Entrate_Uscite!E61</f>
        <v>473455303.22000122</v>
      </c>
      <c r="D6" s="67">
        <f>Entrate_Uscite!H61</f>
        <v>390866610.2100029</v>
      </c>
      <c r="E6" s="67">
        <f>Entrate_Uscite!K61</f>
        <v>301043595.54000092</v>
      </c>
      <c r="F6" s="67">
        <f>Entrate_Uscite!N61</f>
        <v>195543741.11999893</v>
      </c>
      <c r="G6" s="67">
        <f t="shared" si="0"/>
        <v>-105499854.42000198</v>
      </c>
      <c r="H6" s="67">
        <f>Entrate_Uscite!O61</f>
        <v>-739028593.55000305</v>
      </c>
    </row>
    <row r="7" spans="1:8">
      <c r="G7" s="6"/>
    </row>
    <row r="8" spans="1:8">
      <c r="G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2"/>
  <sheetViews>
    <sheetView showGridLines="0" workbookViewId="0">
      <selection activeCell="G20" sqref="G20:G21"/>
    </sheetView>
  </sheetViews>
  <sheetFormatPr defaultRowHeight="15"/>
  <cols>
    <col min="1" max="1" width="36.42578125" bestFit="1" customWidth="1"/>
    <col min="2" max="7" width="13.5703125" bestFit="1" customWidth="1"/>
    <col min="8" max="8" width="12" bestFit="1" customWidth="1"/>
    <col min="9" max="9" width="13.5703125" bestFit="1" customWidth="1"/>
    <col min="10" max="10" width="10" bestFit="1" customWidth="1"/>
  </cols>
  <sheetData>
    <row r="1" spans="1:9">
      <c r="A1" s="41"/>
      <c r="B1" s="96">
        <v>2015</v>
      </c>
      <c r="C1" s="96">
        <v>2016</v>
      </c>
      <c r="D1" s="96">
        <v>2017</v>
      </c>
      <c r="E1" s="69">
        <v>2018</v>
      </c>
      <c r="F1" s="96">
        <v>2019</v>
      </c>
      <c r="G1" s="96">
        <v>2020</v>
      </c>
    </row>
    <row r="2" spans="1:9">
      <c r="A2" t="s">
        <v>5</v>
      </c>
      <c r="B2" s="1">
        <v>1470076264.99</v>
      </c>
      <c r="C2" s="1">
        <v>1103193053.97</v>
      </c>
      <c r="D2" s="1">
        <v>894516194.15999997</v>
      </c>
      <c r="E2" s="1">
        <v>1178373672.4000001</v>
      </c>
      <c r="F2" s="1">
        <v>1349737153.51</v>
      </c>
      <c r="G2" s="1">
        <v>1304330914.29</v>
      </c>
    </row>
    <row r="3" spans="1:9">
      <c r="A3" t="s">
        <v>6</v>
      </c>
      <c r="B3" s="1">
        <v>5934295804.2600002</v>
      </c>
      <c r="C3" s="1">
        <v>6607396294.4899998</v>
      </c>
      <c r="D3" s="1">
        <v>5669422865.1599998</v>
      </c>
      <c r="E3" s="1">
        <v>5489885012.7600002</v>
      </c>
      <c r="F3" s="1">
        <v>4427240947.6499996</v>
      </c>
      <c r="G3" s="1">
        <v>4230879123.25</v>
      </c>
    </row>
    <row r="4" spans="1:9">
      <c r="A4" t="s">
        <v>7</v>
      </c>
      <c r="B4" s="1">
        <v>7220916254.2299995</v>
      </c>
      <c r="C4" s="1">
        <v>7364658412.0200005</v>
      </c>
      <c r="D4" s="1">
        <v>5711293653.3500004</v>
      </c>
      <c r="E4" s="1">
        <v>5542102769.0900002</v>
      </c>
      <c r="F4" s="1">
        <v>4429747838.71</v>
      </c>
      <c r="G4" s="1">
        <v>4000555121.77</v>
      </c>
    </row>
    <row r="5" spans="1:9">
      <c r="A5" t="s">
        <v>8</v>
      </c>
      <c r="B5" s="1">
        <v>129531166.98</v>
      </c>
      <c r="C5" s="1">
        <v>110338506.11</v>
      </c>
      <c r="D5" s="1">
        <v>110794883.87</v>
      </c>
      <c r="E5" s="1">
        <v>120261230.44</v>
      </c>
      <c r="F5" s="1">
        <v>112623279.78</v>
      </c>
      <c r="G5" s="1">
        <v>99971255.959999993</v>
      </c>
    </row>
    <row r="6" spans="1:9">
      <c r="A6" t="s">
        <v>355</v>
      </c>
      <c r="B6" s="1">
        <v>370439991.48000002</v>
      </c>
      <c r="C6" s="1">
        <v>251440744.28</v>
      </c>
      <c r="D6" s="1">
        <v>385934471.25999999</v>
      </c>
      <c r="E6" s="1">
        <v>397245148.05000001</v>
      </c>
      <c r="F6" s="1">
        <v>342281042.81</v>
      </c>
      <c r="G6" s="1">
        <v>451137926.66000003</v>
      </c>
    </row>
    <row r="7" spans="1:9">
      <c r="A7" s="4" t="s">
        <v>0</v>
      </c>
      <c r="B7" s="3">
        <f t="shared" ref="B7:D7" si="0">B2+B3-B4-B5-B6</f>
        <v>-316515343.43999958</v>
      </c>
      <c r="C7" s="3">
        <f t="shared" si="0"/>
        <v>-15848313.950000435</v>
      </c>
      <c r="D7" s="3">
        <f t="shared" si="0"/>
        <v>355916050.83999932</v>
      </c>
      <c r="E7" s="3">
        <f>E2+E3-E4-E5-E6</f>
        <v>608649537.57999969</v>
      </c>
      <c r="F7" s="3">
        <f>F2+F3-F4-F5-F6</f>
        <v>892325939.8599999</v>
      </c>
      <c r="G7" s="3">
        <f>G2+G3-G4-G5-G6</f>
        <v>983545733.14999986</v>
      </c>
    </row>
    <row r="8" spans="1:9">
      <c r="A8" t="s">
        <v>9</v>
      </c>
      <c r="B8" s="1">
        <v>87325824.859999999</v>
      </c>
      <c r="C8" s="1">
        <v>255924578.87</v>
      </c>
      <c r="D8" s="1">
        <v>441001607.82999998</v>
      </c>
      <c r="E8" s="1">
        <v>522161970.29000002</v>
      </c>
      <c r="F8" s="1">
        <v>594030815.08000004</v>
      </c>
      <c r="G8" s="1">
        <v>582458447.11000001</v>
      </c>
    </row>
    <row r="9" spans="1:9">
      <c r="A9" t="s">
        <v>349</v>
      </c>
      <c r="B9" s="1">
        <v>62518700.780000001</v>
      </c>
      <c r="C9" s="1">
        <v>52014056.200000003</v>
      </c>
      <c r="D9" s="1">
        <f>40615973.66+41826002.86</f>
        <v>82441976.519999996</v>
      </c>
      <c r="E9" s="1">
        <f>26017867.79+20640472.44</f>
        <v>46658340.230000004</v>
      </c>
      <c r="F9" s="1">
        <v>29786147.170000002</v>
      </c>
      <c r="G9" s="1">
        <v>28970521.48</v>
      </c>
    </row>
    <row r="10" spans="1:9">
      <c r="A10" t="s">
        <v>10</v>
      </c>
      <c r="B10" s="1">
        <v>1571298729.6500001</v>
      </c>
      <c r="C10" s="1">
        <v>1532844891.8399999</v>
      </c>
      <c r="D10" s="1">
        <v>1493566894.6400001</v>
      </c>
      <c r="E10" s="1">
        <v>1453444604.9200001</v>
      </c>
      <c r="F10" s="1">
        <v>1412457346.9100001</v>
      </c>
      <c r="G10" s="1">
        <v>1370583886.6300001</v>
      </c>
    </row>
    <row r="11" spans="1:9">
      <c r="A11" t="s">
        <v>11</v>
      </c>
      <c r="B11" s="1">
        <v>0</v>
      </c>
      <c r="C11" s="1">
        <v>0</v>
      </c>
      <c r="D11" s="1">
        <v>0</v>
      </c>
      <c r="E11" s="1">
        <v>26000</v>
      </c>
      <c r="F11" s="1">
        <v>44676.06</v>
      </c>
      <c r="G11" s="1">
        <v>117469.11</v>
      </c>
    </row>
    <row r="12" spans="1:9">
      <c r="A12" t="s">
        <v>12</v>
      </c>
      <c r="B12" s="1">
        <v>6414757.3600000003</v>
      </c>
      <c r="C12" s="1">
        <v>9414757.3599999994</v>
      </c>
      <c r="D12" s="1">
        <v>9414757.3599999994</v>
      </c>
      <c r="E12" s="1">
        <v>9414757.3599999994</v>
      </c>
      <c r="F12" s="1">
        <v>8284873.9500000002</v>
      </c>
      <c r="G12" s="1">
        <v>10558285.859999999</v>
      </c>
    </row>
    <row r="13" spans="1:9">
      <c r="A13" t="s">
        <v>13</v>
      </c>
      <c r="B13" s="1">
        <v>262105000</v>
      </c>
      <c r="C13" s="1">
        <v>113325888.98</v>
      </c>
      <c r="D13" s="1">
        <v>80705000</v>
      </c>
      <c r="E13" s="1">
        <v>95369423.519999981</v>
      </c>
      <c r="F13" s="1">
        <v>94044137.530000001</v>
      </c>
      <c r="G13" s="1">
        <v>89965474.510000005</v>
      </c>
    </row>
    <row r="14" spans="1:9">
      <c r="A14" s="4" t="s">
        <v>1</v>
      </c>
      <c r="B14" s="3">
        <f t="shared" ref="B14:D14" si="1">SUM(B8:B13)</f>
        <v>1989663012.6499999</v>
      </c>
      <c r="C14" s="3">
        <f t="shared" si="1"/>
        <v>1963524173.2499998</v>
      </c>
      <c r="D14" s="3">
        <f t="shared" si="1"/>
        <v>2107130236.3499999</v>
      </c>
      <c r="E14" s="3">
        <f>SUM(E8:E13)</f>
        <v>2127075096.3199999</v>
      </c>
      <c r="F14" s="3">
        <f>SUM(F8:F13)</f>
        <v>2138647996.7</v>
      </c>
      <c r="G14" s="3">
        <f>SUM(G8:G13)</f>
        <v>2082654084.7</v>
      </c>
      <c r="H14" s="99"/>
      <c r="I14" s="99"/>
    </row>
    <row r="15" spans="1:9">
      <c r="A15" t="s">
        <v>15</v>
      </c>
      <c r="B15" s="1">
        <v>92877959.379999995</v>
      </c>
      <c r="C15" s="1">
        <v>77376619.799999997</v>
      </c>
      <c r="D15" s="1">
        <v>75657776.829999998</v>
      </c>
      <c r="E15" s="1">
        <v>50798065.340000004</v>
      </c>
      <c r="F15" s="1">
        <v>83059119.129999995</v>
      </c>
      <c r="G15" s="1">
        <v>28364933.609999999</v>
      </c>
    </row>
    <row r="16" spans="1:9">
      <c r="A16" t="s">
        <v>14</v>
      </c>
      <c r="B16" s="1">
        <v>757815598.72000003</v>
      </c>
      <c r="C16" s="1">
        <v>703577502.47000003</v>
      </c>
      <c r="D16" s="1">
        <v>624589393.60000002</v>
      </c>
      <c r="E16" s="1">
        <v>540553782.57000005</v>
      </c>
      <c r="F16" s="1">
        <v>540040020.82000005</v>
      </c>
      <c r="G16" s="1">
        <v>416778415.72000003</v>
      </c>
    </row>
    <row r="17" spans="1:7">
      <c r="A17" t="s">
        <v>16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10093.36</v>
      </c>
    </row>
    <row r="18" spans="1:7">
      <c r="A18" t="s">
        <v>17</v>
      </c>
      <c r="B18" s="1">
        <v>27396356.329999998</v>
      </c>
      <c r="C18" s="1">
        <v>107935713.53</v>
      </c>
      <c r="D18" s="1">
        <v>101328910.33</v>
      </c>
      <c r="E18" s="1">
        <v>100639688.04000001</v>
      </c>
      <c r="F18" s="1">
        <v>75090687.269999996</v>
      </c>
      <c r="G18" s="1">
        <v>133135089.56</v>
      </c>
    </row>
    <row r="19" spans="1:7">
      <c r="A19" t="s">
        <v>18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</row>
    <row r="20" spans="1:7">
      <c r="A20" s="4" t="s">
        <v>2</v>
      </c>
      <c r="B20" s="3">
        <f t="shared" ref="B20:D20" si="2">SUM(B15:B19)</f>
        <v>878089914.43000007</v>
      </c>
      <c r="C20" s="3">
        <f t="shared" si="2"/>
        <v>888889835.79999995</v>
      </c>
      <c r="D20" s="3">
        <f t="shared" si="2"/>
        <v>801576080.76000011</v>
      </c>
      <c r="E20" s="3">
        <f>SUM(E15:E19)</f>
        <v>691991535.95000005</v>
      </c>
      <c r="F20" s="3">
        <f>SUM(F15:F19)</f>
        <v>698189827.22000003</v>
      </c>
      <c r="G20" s="3">
        <f>SUM(G15:G19)</f>
        <v>578288532.25</v>
      </c>
    </row>
    <row r="21" spans="1:7">
      <c r="A21" s="4" t="s">
        <v>3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</row>
    <row r="22" spans="1:7">
      <c r="A22" s="70" t="s">
        <v>4</v>
      </c>
      <c r="B22" s="37">
        <f t="shared" ref="B22:C22" si="3">B7-B14-B20-B21</f>
        <v>-3184268270.5199995</v>
      </c>
      <c r="C22" s="37">
        <f t="shared" si="3"/>
        <v>-2868262323</v>
      </c>
      <c r="D22" s="37">
        <f>D7-D14-D20-D21</f>
        <v>-2552790266.2700009</v>
      </c>
      <c r="E22" s="37">
        <f>E7-E14-E20-E21</f>
        <v>-2210417094.6900005</v>
      </c>
      <c r="F22" s="37">
        <f>F7-F14-F20-F21</f>
        <v>-1944511884.0600002</v>
      </c>
      <c r="G22" s="37">
        <f>G7-G14-G20-G21</f>
        <v>-1677396883.8000002</v>
      </c>
    </row>
    <row r="23" spans="1:7">
      <c r="B23" s="1"/>
      <c r="C23" s="1">
        <v>-165531003.41999999</v>
      </c>
      <c r="D23" s="1">
        <v>-30090300</v>
      </c>
      <c r="E23" s="1">
        <v>-170876287.84</v>
      </c>
      <c r="F23" s="1">
        <v>-129098807.13</v>
      </c>
      <c r="G23" s="1">
        <v>-50910988.850000001</v>
      </c>
    </row>
    <row r="24" spans="1:7">
      <c r="A24" t="s">
        <v>365</v>
      </c>
      <c r="B24" s="6">
        <f t="shared" ref="B24:E24" si="4">B8/B3*100</f>
        <v>1.471544859582365</v>
      </c>
      <c r="C24" s="6">
        <f t="shared" si="4"/>
        <v>3.8733045130563624</v>
      </c>
      <c r="D24" s="6">
        <f t="shared" si="4"/>
        <v>7.778597898210478</v>
      </c>
      <c r="E24" s="6">
        <f t="shared" si="4"/>
        <v>9.5113462135609801</v>
      </c>
      <c r="F24" s="6">
        <f t="shared" ref="F24:G24" si="5">F8/F3*100</f>
        <v>13.417630124588417</v>
      </c>
      <c r="G24" s="6">
        <f t="shared" si="5"/>
        <v>13.766842070935311</v>
      </c>
    </row>
    <row r="25" spans="1:7">
      <c r="A25" t="s">
        <v>356</v>
      </c>
    </row>
    <row r="52" spans="1:7">
      <c r="A52" t="s">
        <v>13</v>
      </c>
      <c r="B52" s="1">
        <f t="shared" ref="B52:E52" si="6">SUM(B11:B13)</f>
        <v>268519757.36000001</v>
      </c>
      <c r="C52" s="1">
        <f t="shared" si="6"/>
        <v>122740646.34</v>
      </c>
      <c r="D52" s="1">
        <f t="shared" si="6"/>
        <v>90119757.359999999</v>
      </c>
      <c r="E52" s="1">
        <f t="shared" si="6"/>
        <v>104810180.87999998</v>
      </c>
      <c r="F52" s="1">
        <f t="shared" ref="F52:G52" si="7">SUM(F11:F13)</f>
        <v>102373687.54000001</v>
      </c>
      <c r="G52" s="1">
        <f t="shared" si="7"/>
        <v>100641229.48</v>
      </c>
    </row>
  </sheetData>
  <conditionalFormatting sqref="C22:G22">
    <cfRule type="cellIs" dxfId="49" priority="15" operator="greaterThan">
      <formula>0</formula>
    </cfRule>
  </conditionalFormatting>
  <conditionalFormatting sqref="C22:G22">
    <cfRule type="cellIs" dxfId="48" priority="12" operator="greaterThan">
      <formula>0</formula>
    </cfRule>
    <cfRule type="cellIs" dxfId="47" priority="13" operator="lessThan">
      <formula>0</formula>
    </cfRule>
  </conditionalFormatting>
  <conditionalFormatting sqref="B22">
    <cfRule type="cellIs" dxfId="46" priority="6" operator="greaterThan">
      <formula>0</formula>
    </cfRule>
  </conditionalFormatting>
  <conditionalFormatting sqref="B22">
    <cfRule type="cellIs" dxfId="45" priority="4" operator="greaterThan">
      <formula>0</formula>
    </cfRule>
    <cfRule type="cellIs" dxfId="44" priority="5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pane xSplit="2" ySplit="1" topLeftCell="C26" activePane="bottomRight" state="frozen"/>
      <selection pane="topRight" activeCell="C1" sqref="C1"/>
      <selection pane="bottomLeft" activeCell="A2" sqref="A2"/>
      <selection pane="bottomRight" activeCell="G28" sqref="G28"/>
    </sheetView>
  </sheetViews>
  <sheetFormatPr defaultRowHeight="15"/>
  <cols>
    <col min="1" max="1" width="65.28515625" bestFit="1" customWidth="1"/>
    <col min="2" max="2" width="3.42578125" bestFit="1" customWidth="1"/>
    <col min="3" max="4" width="15.42578125" bestFit="1" customWidth="1"/>
    <col min="5" max="7" width="15.5703125" customWidth="1"/>
    <col min="8" max="8" width="12.28515625" bestFit="1" customWidth="1"/>
  </cols>
  <sheetData>
    <row r="1" spans="1:8">
      <c r="C1" s="98">
        <v>2016</v>
      </c>
      <c r="D1" s="12">
        <v>2017</v>
      </c>
      <c r="E1" s="12">
        <v>2018</v>
      </c>
      <c r="F1" s="12">
        <v>2019</v>
      </c>
      <c r="G1" s="12">
        <v>2020</v>
      </c>
      <c r="H1" s="12" t="s">
        <v>264</v>
      </c>
    </row>
    <row r="2" spans="1:8">
      <c r="A2" t="s">
        <v>234</v>
      </c>
      <c r="B2" s="26" t="s">
        <v>258</v>
      </c>
      <c r="C2" s="1">
        <v>9291631937.0799999</v>
      </c>
      <c r="D2" s="1">
        <v>9763898305.3299999</v>
      </c>
      <c r="E2" s="1">
        <v>9999024027.9500008</v>
      </c>
      <c r="F2" s="1">
        <v>10325873074.58</v>
      </c>
      <c r="G2" s="1">
        <v>10311428139.84</v>
      </c>
      <c r="H2" s="1">
        <f>G2-F2</f>
        <v>-14444934.739999771</v>
      </c>
    </row>
    <row r="3" spans="1:8">
      <c r="A3" t="s">
        <v>235</v>
      </c>
      <c r="B3" s="26" t="s">
        <v>258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f>G3-F3</f>
        <v>0</v>
      </c>
    </row>
    <row r="4" spans="1:8">
      <c r="A4" t="s">
        <v>236</v>
      </c>
      <c r="B4" s="26" t="s">
        <v>258</v>
      </c>
      <c r="C4" s="1">
        <v>1818895416.1600001</v>
      </c>
      <c r="D4" s="1">
        <v>1553100377.75</v>
      </c>
      <c r="E4" s="1">
        <v>1290735654.6600001</v>
      </c>
      <c r="F4" s="1">
        <v>987945415.15999997</v>
      </c>
      <c r="G4" s="1">
        <v>1580109470.95</v>
      </c>
      <c r="H4" s="1">
        <f>G4-F4</f>
        <v>592164055.79000008</v>
      </c>
    </row>
    <row r="5" spans="1:8">
      <c r="A5" t="s">
        <v>237</v>
      </c>
      <c r="B5" s="26" t="s">
        <v>258</v>
      </c>
      <c r="C5" s="1">
        <v>342725478.44</v>
      </c>
      <c r="D5" s="1">
        <v>404363245.79000002</v>
      </c>
      <c r="E5" s="1">
        <v>435704741.07999998</v>
      </c>
      <c r="F5" s="1">
        <v>426827237.93000001</v>
      </c>
      <c r="G5" s="1">
        <v>445794621.17000002</v>
      </c>
      <c r="H5" s="1">
        <f>G5-F5</f>
        <v>18967383.24000001</v>
      </c>
    </row>
    <row r="6" spans="1:8">
      <c r="A6" t="s">
        <v>238</v>
      </c>
      <c r="B6" s="26" t="s">
        <v>258</v>
      </c>
      <c r="C6" s="1"/>
      <c r="D6" s="1"/>
      <c r="E6" s="1"/>
      <c r="F6" s="1"/>
      <c r="G6" s="1"/>
      <c r="H6" s="1">
        <f>G6-F6</f>
        <v>0</v>
      </c>
    </row>
    <row r="7" spans="1:8">
      <c r="A7" t="s">
        <v>239</v>
      </c>
      <c r="B7" s="26" t="s">
        <v>258</v>
      </c>
      <c r="C7" s="1"/>
      <c r="D7" s="1"/>
      <c r="E7" s="1"/>
      <c r="F7" s="1"/>
      <c r="G7" s="1"/>
      <c r="H7" s="1">
        <f>G7-F7</f>
        <v>0</v>
      </c>
    </row>
    <row r="8" spans="1:8">
      <c r="A8" t="s">
        <v>240</v>
      </c>
      <c r="B8" s="26" t="s">
        <v>258</v>
      </c>
      <c r="C8" s="1"/>
      <c r="D8" s="1"/>
      <c r="E8" s="1"/>
      <c r="F8" s="1"/>
      <c r="G8" s="1"/>
      <c r="H8" s="1">
        <f>G8-F8</f>
        <v>0</v>
      </c>
    </row>
    <row r="9" spans="1:8">
      <c r="A9" s="32" t="s">
        <v>241</v>
      </c>
      <c r="B9" s="33" t="s">
        <v>258</v>
      </c>
      <c r="C9" s="34">
        <v>216522866.50999999</v>
      </c>
      <c r="D9" s="34">
        <v>86503495.859999999</v>
      </c>
      <c r="E9" s="34">
        <v>56910117.740000002</v>
      </c>
      <c r="F9" s="34">
        <v>39529589.969999999</v>
      </c>
      <c r="G9" s="34">
        <v>44341370.469999999</v>
      </c>
      <c r="H9" s="1">
        <f>G9-F9</f>
        <v>4811780.5</v>
      </c>
    </row>
    <row r="10" spans="1:8">
      <c r="A10" s="35" t="s">
        <v>262</v>
      </c>
      <c r="B10" s="36" t="s">
        <v>258</v>
      </c>
      <c r="C10" s="94">
        <f t="shared" ref="C10" si="0">SUM(C2:C9)</f>
        <v>11669775698.190001</v>
      </c>
      <c r="D10" s="94">
        <f t="shared" ref="D10:E10" si="1">SUM(D2:D9)</f>
        <v>11807865424.730001</v>
      </c>
      <c r="E10" s="94">
        <f t="shared" si="1"/>
        <v>11782374541.43</v>
      </c>
      <c r="F10" s="94">
        <f t="shared" ref="F10:G10" si="2">SUM(F2:F9)</f>
        <v>11780175317.639999</v>
      </c>
      <c r="G10" s="94">
        <f t="shared" si="2"/>
        <v>12381673602.43</v>
      </c>
      <c r="H10" s="11">
        <f>G10-F10</f>
        <v>601498284.79000092</v>
      </c>
    </row>
    <row r="11" spans="1:8">
      <c r="A11" t="s">
        <v>242</v>
      </c>
      <c r="B11" s="26" t="s">
        <v>259</v>
      </c>
      <c r="C11" s="1">
        <v>1081149.68</v>
      </c>
      <c r="D11" s="1">
        <v>1216712.93</v>
      </c>
      <c r="E11" s="1">
        <v>872375.67</v>
      </c>
      <c r="F11" s="1">
        <v>990680.35</v>
      </c>
      <c r="G11" s="1">
        <v>1175383.18</v>
      </c>
      <c r="H11" s="1">
        <f>G11-F11</f>
        <v>184702.82999999996</v>
      </c>
    </row>
    <row r="12" spans="1:8">
      <c r="A12" t="s">
        <v>243</v>
      </c>
      <c r="B12" s="26" t="s">
        <v>259</v>
      </c>
      <c r="C12" s="1">
        <v>509029124.25</v>
      </c>
      <c r="D12" s="1">
        <v>480573968.99000001</v>
      </c>
      <c r="E12" s="1">
        <v>505977658.62</v>
      </c>
      <c r="F12" s="1">
        <v>517835665.29000002</v>
      </c>
      <c r="G12" s="1">
        <v>356377057.55000001</v>
      </c>
      <c r="H12" s="1">
        <f>G12-F12</f>
        <v>-161458607.74000001</v>
      </c>
    </row>
    <row r="13" spans="1:8">
      <c r="A13" t="s">
        <v>244</v>
      </c>
      <c r="B13" s="26" t="s">
        <v>259</v>
      </c>
      <c r="C13" s="1">
        <v>5086548.8600000003</v>
      </c>
      <c r="D13" s="1">
        <v>4418558.7699999996</v>
      </c>
      <c r="E13" s="1">
        <v>4336343.58</v>
      </c>
      <c r="F13" s="1">
        <v>3825283.04</v>
      </c>
      <c r="G13" s="1">
        <v>4008582.88</v>
      </c>
      <c r="H13" s="1">
        <f>G13-F13</f>
        <v>183299.83999999985</v>
      </c>
    </row>
    <row r="14" spans="1:8">
      <c r="A14" t="s">
        <v>245</v>
      </c>
      <c r="B14" s="26" t="s">
        <v>259</v>
      </c>
      <c r="C14" s="1">
        <v>10097211101.1</v>
      </c>
      <c r="D14" s="1">
        <v>10346177237.93</v>
      </c>
      <c r="E14" s="1">
        <v>10565946020.110001</v>
      </c>
      <c r="F14" s="1">
        <v>10735050698.530001</v>
      </c>
      <c r="G14" s="1">
        <v>11625496171.6</v>
      </c>
      <c r="H14" s="1">
        <f>G14-F14</f>
        <v>890445473.06999969</v>
      </c>
    </row>
    <row r="15" spans="1:8">
      <c r="A15" t="s">
        <v>246</v>
      </c>
      <c r="B15" s="26" t="s">
        <v>259</v>
      </c>
      <c r="C15" s="1">
        <v>122626340.09</v>
      </c>
      <c r="D15" s="1">
        <v>125963122.14</v>
      </c>
      <c r="E15" s="1">
        <v>128003518.19</v>
      </c>
      <c r="F15" s="1">
        <v>130421265.11</v>
      </c>
      <c r="G15" s="1">
        <v>122759106.64</v>
      </c>
      <c r="H15" s="1">
        <f>G15-F15</f>
        <v>-7662158.4699999988</v>
      </c>
    </row>
    <row r="16" spans="1:8">
      <c r="A16" t="s">
        <v>247</v>
      </c>
      <c r="B16" s="26" t="s">
        <v>259</v>
      </c>
      <c r="C16" s="1">
        <v>11596065.310000001</v>
      </c>
      <c r="D16" s="1">
        <v>201983173.81</v>
      </c>
      <c r="E16" s="1">
        <v>145305556.78999999</v>
      </c>
      <c r="F16" s="1">
        <v>105544290.36</v>
      </c>
      <c r="G16" s="1">
        <v>33773899.170000002</v>
      </c>
      <c r="H16" s="1">
        <f>G16-F16</f>
        <v>-71770391.189999998</v>
      </c>
    </row>
    <row r="17" spans="1:8">
      <c r="A17" t="s">
        <v>248</v>
      </c>
      <c r="B17" s="26" t="s">
        <v>259</v>
      </c>
      <c r="C17" s="1">
        <v>0</v>
      </c>
      <c r="D17" s="1">
        <v>0</v>
      </c>
      <c r="E17" s="1">
        <v>-112574.13</v>
      </c>
      <c r="F17" s="1">
        <v>24328.67</v>
      </c>
      <c r="G17" s="1">
        <v>-23870.46</v>
      </c>
      <c r="H17" s="1">
        <f>G17-F17</f>
        <v>-48199.13</v>
      </c>
    </row>
    <row r="18" spans="1:8">
      <c r="A18" t="s">
        <v>249</v>
      </c>
      <c r="B18" s="26" t="s">
        <v>259</v>
      </c>
      <c r="C18" s="1">
        <v>3000010</v>
      </c>
      <c r="D18" s="1">
        <v>0</v>
      </c>
      <c r="E18" s="1">
        <v>38969780.119999997</v>
      </c>
      <c r="F18" s="1">
        <v>4552752.75</v>
      </c>
      <c r="G18" s="1">
        <v>18460973.440000001</v>
      </c>
      <c r="H18" s="1">
        <f>G18-F18</f>
        <v>13908220.690000001</v>
      </c>
    </row>
    <row r="19" spans="1:8">
      <c r="A19" t="s">
        <v>13</v>
      </c>
      <c r="B19" s="26" t="s">
        <v>259</v>
      </c>
      <c r="C19" s="1">
        <v>185598754.00999999</v>
      </c>
      <c r="D19" s="1">
        <v>0</v>
      </c>
      <c r="E19" s="1">
        <v>10700033.17</v>
      </c>
      <c r="F19" s="1">
        <v>5292.68</v>
      </c>
      <c r="G19" s="1">
        <v>0</v>
      </c>
      <c r="H19" s="1">
        <f>G19-F19</f>
        <v>-5292.68</v>
      </c>
    </row>
    <row r="20" spans="1:8">
      <c r="A20" s="32" t="s">
        <v>250</v>
      </c>
      <c r="B20" s="33" t="s">
        <v>259</v>
      </c>
      <c r="C20" s="34">
        <v>107248006.26000001</v>
      </c>
      <c r="D20" s="34">
        <v>88079494.829999998</v>
      </c>
      <c r="E20" s="34">
        <v>92834945.579999998</v>
      </c>
      <c r="F20" s="34">
        <v>44040230.090000004</v>
      </c>
      <c r="G20" s="34">
        <v>51811892.990000002</v>
      </c>
      <c r="H20" s="1">
        <f>G20-F20</f>
        <v>7771662.8999999985</v>
      </c>
    </row>
    <row r="21" spans="1:8">
      <c r="A21" s="35" t="s">
        <v>263</v>
      </c>
      <c r="B21" s="36" t="s">
        <v>259</v>
      </c>
      <c r="C21" s="94">
        <f>SUM(C11:C20)</f>
        <v>11042477099.560001</v>
      </c>
      <c r="D21" s="94">
        <f t="shared" ref="D21:E21" si="3">SUM(D11:D20)</f>
        <v>11248412269.4</v>
      </c>
      <c r="E21" s="94">
        <f t="shared" si="3"/>
        <v>11492833657.700005</v>
      </c>
      <c r="F21" s="94">
        <f t="shared" ref="F21:G21" si="4">SUM(F11:F20)</f>
        <v>11542290486.870003</v>
      </c>
      <c r="G21" s="94">
        <f t="shared" si="4"/>
        <v>12213839196.990002</v>
      </c>
      <c r="H21" s="11">
        <f>G21-F21</f>
        <v>671548710.11999893</v>
      </c>
    </row>
    <row r="22" spans="1:8">
      <c r="A22" t="s">
        <v>251</v>
      </c>
      <c r="B22" s="26" t="s">
        <v>258</v>
      </c>
      <c r="C22" s="1">
        <v>1853923.6</v>
      </c>
      <c r="D22" s="1">
        <v>1437320.36</v>
      </c>
      <c r="E22" s="1">
        <v>1114419.8899999999</v>
      </c>
      <c r="F22" s="1">
        <v>1110800.06</v>
      </c>
      <c r="G22" s="1">
        <v>744997.39</v>
      </c>
      <c r="H22" s="1">
        <f>G22-F22</f>
        <v>-365802.67000000004</v>
      </c>
    </row>
    <row r="23" spans="1:8">
      <c r="A23" t="s">
        <v>252</v>
      </c>
      <c r="B23" s="26" t="s">
        <v>259</v>
      </c>
      <c r="C23" s="1">
        <v>58398153.159999996</v>
      </c>
      <c r="D23" s="1">
        <v>57170900.420000002</v>
      </c>
      <c r="E23" s="1">
        <v>57883500.200000003</v>
      </c>
      <c r="F23" s="1">
        <v>60601046.789999999</v>
      </c>
      <c r="G23" s="1">
        <v>58754151.560000002</v>
      </c>
      <c r="H23" s="1">
        <f>G23-F23</f>
        <v>-1846895.2299999967</v>
      </c>
    </row>
    <row r="24" spans="1:8">
      <c r="A24" t="s">
        <v>253</v>
      </c>
      <c r="B24" s="26" t="s">
        <v>258</v>
      </c>
      <c r="C24" s="1">
        <v>6231118.8799999999</v>
      </c>
      <c r="D24" s="1">
        <v>18463251.399999999</v>
      </c>
      <c r="E24" s="1">
        <v>-68659535.930000007</v>
      </c>
      <c r="F24" s="1">
        <v>94321104.430000007</v>
      </c>
      <c r="G24" s="1">
        <v>41237561.619999997</v>
      </c>
      <c r="H24" s="1">
        <f>G24-F24</f>
        <v>-53083542.81000001</v>
      </c>
    </row>
    <row r="25" spans="1:8">
      <c r="A25" t="s">
        <v>254</v>
      </c>
      <c r="B25" s="26" t="s">
        <v>258</v>
      </c>
      <c r="C25" s="1">
        <v>134712158.94999999</v>
      </c>
      <c r="D25" s="1">
        <v>124914431.28</v>
      </c>
      <c r="E25" s="1">
        <v>270170541.05000001</v>
      </c>
      <c r="F25" s="1">
        <v>132954854.47</v>
      </c>
      <c r="G25" s="1">
        <v>104216776.27</v>
      </c>
      <c r="H25" s="1">
        <f>G25-F25</f>
        <v>-28738078.200000003</v>
      </c>
    </row>
    <row r="26" spans="1:8">
      <c r="A26" t="s">
        <v>255</v>
      </c>
      <c r="B26" s="26" t="s">
        <v>259</v>
      </c>
      <c r="C26" s="1">
        <v>168593309.03999999</v>
      </c>
      <c r="D26" s="1">
        <v>45429802.460000001</v>
      </c>
      <c r="E26" s="1">
        <v>179942978.43000001</v>
      </c>
      <c r="F26" s="1">
        <v>139965055.72999999</v>
      </c>
      <c r="G26" s="1">
        <v>31902970.420000002</v>
      </c>
      <c r="H26" s="1">
        <f>G26-F26</f>
        <v>-108062085.30999999</v>
      </c>
    </row>
    <row r="27" spans="1:8">
      <c r="A27" t="s">
        <v>256</v>
      </c>
      <c r="B27" s="26" t="s">
        <v>259</v>
      </c>
      <c r="C27" s="1">
        <v>9714770.1699999999</v>
      </c>
      <c r="D27" s="1">
        <v>9583306.4100000001</v>
      </c>
      <c r="E27" s="1">
        <v>8897575.4000000004</v>
      </c>
      <c r="F27" s="1">
        <v>8962394.1300000008</v>
      </c>
      <c r="G27" s="1">
        <v>8310083.7999999998</v>
      </c>
      <c r="H27" s="1">
        <f>G27-F27</f>
        <v>-652310.33000000101</v>
      </c>
    </row>
    <row r="28" spans="1:8">
      <c r="A28" s="10" t="s">
        <v>257</v>
      </c>
      <c r="B28" s="36" t="s">
        <v>260</v>
      </c>
      <c r="C28" s="37">
        <f>C10-C21+C22-C23+C24+C25-C26-C27</f>
        <v>533389567.68999916</v>
      </c>
      <c r="D28" s="37">
        <f t="shared" ref="D28:E28" si="5">D10-D21+D22-D23+D24+D25-D26-D27</f>
        <v>592084149.08000183</v>
      </c>
      <c r="E28" s="37">
        <f t="shared" si="5"/>
        <v>245442254.70999572</v>
      </c>
      <c r="F28" s="37">
        <f t="shared" ref="F28:G28" si="6">F10-F21+F22-F23+F24+F25-F26-F27</f>
        <v>256743093.07999673</v>
      </c>
      <c r="G28" s="37">
        <f t="shared" si="6"/>
        <v>215066534.93999857</v>
      </c>
      <c r="H28" s="37">
        <f>G28-F28</f>
        <v>-41676558.139998168</v>
      </c>
    </row>
  </sheetData>
  <conditionalFormatting sqref="C28:H28">
    <cfRule type="cellIs" dxfId="41" priority="14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5"/>
  <sheetViews>
    <sheetView showGridLines="0" workbookViewId="0">
      <selection activeCell="G1" sqref="G1:G1048576"/>
    </sheetView>
  </sheetViews>
  <sheetFormatPr defaultRowHeight="15"/>
  <cols>
    <col min="1" max="1" width="50.7109375" bestFit="1" customWidth="1"/>
    <col min="2" max="6" width="14.28515625" bestFit="1" customWidth="1"/>
    <col min="7" max="7" width="12.28515625" bestFit="1" customWidth="1"/>
  </cols>
  <sheetData>
    <row r="1" spans="1:7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264</v>
      </c>
    </row>
    <row r="2" spans="1:7">
      <c r="A2" s="71" t="s">
        <v>341</v>
      </c>
      <c r="B2" s="64">
        <f>Conto_economico!C10</f>
        <v>11669775698.190001</v>
      </c>
      <c r="C2" s="64">
        <f>Conto_economico!D10</f>
        <v>11807865424.730001</v>
      </c>
      <c r="D2" s="64">
        <f>Conto_economico!E10</f>
        <v>11782374541.43</v>
      </c>
      <c r="E2" s="64">
        <f>Conto_economico!F10</f>
        <v>11780175317.639999</v>
      </c>
      <c r="F2" s="64">
        <f>Conto_economico!G10</f>
        <v>12381673602.43</v>
      </c>
      <c r="G2" s="64">
        <f>F2-E2</f>
        <v>601498284.79000092</v>
      </c>
    </row>
    <row r="3" spans="1:7">
      <c r="A3" s="71" t="s">
        <v>336</v>
      </c>
      <c r="B3" s="64">
        <f>Conto_economico!C2</f>
        <v>9291631937.0799999</v>
      </c>
      <c r="C3" s="64">
        <f>Conto_economico!D2</f>
        <v>9763898305.3299999</v>
      </c>
      <c r="D3" s="64">
        <f>Conto_economico!E2</f>
        <v>9999024027.9500008</v>
      </c>
      <c r="E3" s="64">
        <f>Conto_economico!F2</f>
        <v>10325873074.58</v>
      </c>
      <c r="F3" s="64">
        <f>Conto_economico!G2</f>
        <v>10311428139.84</v>
      </c>
      <c r="G3" s="64">
        <f>F3-E3</f>
        <v>-14444934.739999771</v>
      </c>
    </row>
    <row r="4" spans="1:7">
      <c r="A4" s="71" t="s">
        <v>337</v>
      </c>
      <c r="B4" s="64">
        <f>Conto_economico!C4</f>
        <v>1818895416.1600001</v>
      </c>
      <c r="C4" s="64">
        <f>Conto_economico!D4</f>
        <v>1553100377.75</v>
      </c>
      <c r="D4" s="64">
        <f>Conto_economico!E4</f>
        <v>1290735654.6600001</v>
      </c>
      <c r="E4" s="64">
        <f>Conto_economico!F4</f>
        <v>987945415.15999997</v>
      </c>
      <c r="F4" s="64">
        <f>Conto_economico!G4</f>
        <v>1580109470.95</v>
      </c>
      <c r="G4" s="64">
        <f>F4-E4</f>
        <v>592164055.79000008</v>
      </c>
    </row>
    <row r="5" spans="1:7">
      <c r="A5" s="71" t="s">
        <v>342</v>
      </c>
      <c r="B5" s="65">
        <f>Conto_economico!C21</f>
        <v>11042477099.560001</v>
      </c>
      <c r="C5" s="65">
        <f>Conto_economico!D21</f>
        <v>11248412269.4</v>
      </c>
      <c r="D5" s="65">
        <f>Conto_economico!E21</f>
        <v>11492833657.700005</v>
      </c>
      <c r="E5" s="65">
        <f>Conto_economico!F21</f>
        <v>11542290486.870003</v>
      </c>
      <c r="F5" s="65">
        <f>Conto_economico!G21</f>
        <v>12213839196.990002</v>
      </c>
      <c r="G5" s="64">
        <f>F5-E5</f>
        <v>671548710.11999893</v>
      </c>
    </row>
    <row r="6" spans="1:7">
      <c r="A6" s="71" t="s">
        <v>338</v>
      </c>
      <c r="B6" s="64">
        <f>Conto_economico!C12</f>
        <v>509029124.25</v>
      </c>
      <c r="C6" s="64">
        <f>Conto_economico!D12</f>
        <v>480573968.99000001</v>
      </c>
      <c r="D6" s="64">
        <f>Conto_economico!E12</f>
        <v>505977658.62</v>
      </c>
      <c r="E6" s="64">
        <f>Conto_economico!F12</f>
        <v>517835665.29000002</v>
      </c>
      <c r="F6" s="64">
        <f>Conto_economico!G12</f>
        <v>356377057.55000001</v>
      </c>
      <c r="G6" s="64">
        <f>F6-E6</f>
        <v>-161458607.74000001</v>
      </c>
    </row>
    <row r="7" spans="1:7">
      <c r="A7" s="71" t="s">
        <v>339</v>
      </c>
      <c r="B7" s="64">
        <f>Conto_economico!C15</f>
        <v>122626340.09</v>
      </c>
      <c r="C7" s="64">
        <f>Conto_economico!D15</f>
        <v>125963122.14</v>
      </c>
      <c r="D7" s="64">
        <f>Conto_economico!E15</f>
        <v>128003518.19</v>
      </c>
      <c r="E7" s="64">
        <f>Conto_economico!F15</f>
        <v>130421265.11</v>
      </c>
      <c r="F7" s="64">
        <f>Conto_economico!G15</f>
        <v>122759106.64</v>
      </c>
      <c r="G7" s="64">
        <f>F7-E7</f>
        <v>-7662158.4699999988</v>
      </c>
    </row>
    <row r="8" spans="1:7">
      <c r="A8" s="71" t="s">
        <v>340</v>
      </c>
      <c r="B8" s="64">
        <f>Conto_economico!C16</f>
        <v>11596065.310000001</v>
      </c>
      <c r="C8" s="64">
        <f>Conto_economico!D16</f>
        <v>201983173.81</v>
      </c>
      <c r="D8" s="64">
        <f>Conto_economico!E16</f>
        <v>145305556.78999999</v>
      </c>
      <c r="E8" s="64">
        <f>Conto_economico!F16</f>
        <v>105544290.36</v>
      </c>
      <c r="F8" s="64">
        <f>Conto_economico!G16</f>
        <v>33773899.170000002</v>
      </c>
      <c r="G8" s="64">
        <f>F8-E8</f>
        <v>-71770391.189999998</v>
      </c>
    </row>
    <row r="9" spans="1:7">
      <c r="A9" s="47" t="s">
        <v>304</v>
      </c>
      <c r="B9" s="66">
        <f t="shared" ref="B9:D9" si="0">B2-B5</f>
        <v>627298598.62999916</v>
      </c>
      <c r="C9" s="66">
        <f t="shared" si="0"/>
        <v>559453155.33000183</v>
      </c>
      <c r="D9" s="66">
        <f t="shared" si="0"/>
        <v>289540883.72999573</v>
      </c>
      <c r="E9" s="66">
        <f t="shared" ref="E9:F9" si="1">E2-E5</f>
        <v>237884830.76999664</v>
      </c>
      <c r="F9" s="66">
        <f t="shared" si="1"/>
        <v>167834405.43999863</v>
      </c>
      <c r="G9" s="66">
        <f>F9-E9</f>
        <v>-70050425.329998016</v>
      </c>
    </row>
    <row r="10" spans="1:7">
      <c r="A10" s="71" t="s">
        <v>305</v>
      </c>
      <c r="B10" s="64">
        <f>Conto_economico!C22-Conto_economico!C23</f>
        <v>-56544229.559999995</v>
      </c>
      <c r="C10" s="64">
        <f>Conto_economico!D22-Conto_economico!D23</f>
        <v>-55733580.060000002</v>
      </c>
      <c r="D10" s="64">
        <f>Conto_economico!E22-Conto_economico!E23</f>
        <v>-56769080.310000002</v>
      </c>
      <c r="E10" s="64">
        <f>Conto_economico!F22-Conto_economico!F23</f>
        <v>-59490246.729999997</v>
      </c>
      <c r="F10" s="64">
        <f>Conto_economico!G22-Conto_economico!G23</f>
        <v>-58009154.170000002</v>
      </c>
      <c r="G10" s="64">
        <f>F10-E10</f>
        <v>1481092.5599999949</v>
      </c>
    </row>
    <row r="11" spans="1:7">
      <c r="A11" s="71" t="s">
        <v>306</v>
      </c>
      <c r="B11" s="65">
        <f>Conto_economico!C25-Conto_economico!C26</f>
        <v>-33881150.090000004</v>
      </c>
      <c r="C11" s="65">
        <f>Conto_economico!D25-Conto_economico!D26</f>
        <v>79484628.819999993</v>
      </c>
      <c r="D11" s="65">
        <f>Conto_economico!E25-Conto_economico!E26</f>
        <v>90227562.620000005</v>
      </c>
      <c r="E11" s="65">
        <f>Conto_economico!F25-Conto_economico!F26</f>
        <v>-7010201.2599999905</v>
      </c>
      <c r="F11" s="65">
        <f>Conto_economico!G25-Conto_economico!G26</f>
        <v>72313805.849999994</v>
      </c>
      <c r="G11" s="64">
        <f>F11-E11</f>
        <v>79324007.109999985</v>
      </c>
    </row>
    <row r="12" spans="1:7">
      <c r="A12" s="71" t="s">
        <v>253</v>
      </c>
      <c r="B12" s="65">
        <f>Conto_economico!C24</f>
        <v>6231118.8799999999</v>
      </c>
      <c r="C12" s="65">
        <f>Conto_economico!D24</f>
        <v>18463251.399999999</v>
      </c>
      <c r="D12" s="65">
        <f>Conto_economico!E24</f>
        <v>-68659535.930000007</v>
      </c>
      <c r="E12" s="65">
        <f>Conto_economico!F24</f>
        <v>94321104.430000007</v>
      </c>
      <c r="F12" s="65">
        <f>Conto_economico!G24</f>
        <v>41237561.619999997</v>
      </c>
      <c r="G12" s="64">
        <f>F12-E12</f>
        <v>-53083542.81000001</v>
      </c>
    </row>
    <row r="13" spans="1:7">
      <c r="A13" s="47" t="s">
        <v>307</v>
      </c>
      <c r="B13" s="66">
        <f t="shared" ref="B13:D13" si="2">SUM(B9:B12)</f>
        <v>543104337.85999918</v>
      </c>
      <c r="C13" s="66">
        <f t="shared" si="2"/>
        <v>601667455.4900018</v>
      </c>
      <c r="D13" s="66">
        <f t="shared" si="2"/>
        <v>254339830.10999572</v>
      </c>
      <c r="E13" s="66">
        <f t="shared" ref="E13:F13" si="3">SUM(E9:E12)</f>
        <v>265705487.20999667</v>
      </c>
      <c r="F13" s="66">
        <f t="shared" si="3"/>
        <v>223376618.73999864</v>
      </c>
      <c r="G13" s="66">
        <f>F13-E13</f>
        <v>-42328868.469998032</v>
      </c>
    </row>
    <row r="14" spans="1:7">
      <c r="A14" s="71" t="s">
        <v>256</v>
      </c>
      <c r="B14" s="64">
        <f>Conto_economico!C27</f>
        <v>9714770.1699999999</v>
      </c>
      <c r="C14" s="64">
        <f>Conto_economico!D27</f>
        <v>9583306.4100000001</v>
      </c>
      <c r="D14" s="64">
        <f>Conto_economico!E27</f>
        <v>8897575.4000000004</v>
      </c>
      <c r="E14" s="64">
        <f>Conto_economico!F27</f>
        <v>8962394.1300000008</v>
      </c>
      <c r="F14" s="64">
        <f>Conto_economico!G27</f>
        <v>8310083.7999999998</v>
      </c>
      <c r="G14" s="64">
        <f>F14-E14</f>
        <v>-652310.33000000101</v>
      </c>
    </row>
    <row r="15" spans="1:7">
      <c r="A15" s="70" t="s">
        <v>257</v>
      </c>
      <c r="B15" s="67">
        <f t="shared" ref="B15:D15" si="4">B13-B14</f>
        <v>533389567.68999916</v>
      </c>
      <c r="C15" s="67">
        <f t="shared" si="4"/>
        <v>592084149.08000183</v>
      </c>
      <c r="D15" s="67">
        <f t="shared" si="4"/>
        <v>245442254.70999572</v>
      </c>
      <c r="E15" s="67">
        <f t="shared" ref="E15:F15" si="5">E13-E14</f>
        <v>256743093.07999668</v>
      </c>
      <c r="F15" s="67">
        <f t="shared" si="5"/>
        <v>215066534.93999863</v>
      </c>
      <c r="G15" s="67">
        <f>F15-E15</f>
        <v>-41676558.139998049</v>
      </c>
    </row>
  </sheetData>
  <conditionalFormatting sqref="B15:G15">
    <cfRule type="cellIs" dxfId="36" priority="13" operator="greaterThan">
      <formula>0</formula>
    </cfRule>
  </conditionalFormatting>
  <conditionalFormatting sqref="B9:G9 B13:G13">
    <cfRule type="cellIs" dxfId="35" priority="1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9"/>
  <sheetViews>
    <sheetView showGridLines="0" topLeftCell="A13" workbookViewId="0">
      <selection activeCell="G20" sqref="G20"/>
    </sheetView>
  </sheetViews>
  <sheetFormatPr defaultRowHeight="15"/>
  <cols>
    <col min="1" max="1" width="51.7109375" style="32" bestFit="1" customWidth="1"/>
    <col min="2" max="7" width="13.85546875" bestFit="1" customWidth="1"/>
    <col min="8" max="9" width="12.7109375" bestFit="1" customWidth="1"/>
  </cols>
  <sheetData>
    <row r="1" spans="1:7">
      <c r="A1" s="73"/>
      <c r="B1" s="96">
        <v>2015</v>
      </c>
      <c r="C1" s="96">
        <v>2016</v>
      </c>
      <c r="D1" s="69">
        <v>2017</v>
      </c>
      <c r="E1" s="69">
        <v>2018</v>
      </c>
      <c r="F1" s="69">
        <v>2019</v>
      </c>
      <c r="G1" s="69">
        <v>2020</v>
      </c>
    </row>
    <row r="2" spans="1:7">
      <c r="A2" s="32" t="s">
        <v>211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</row>
    <row r="3" spans="1:7">
      <c r="A3" s="32" t="s">
        <v>212</v>
      </c>
      <c r="B3" s="1">
        <v>11422651</v>
      </c>
      <c r="C3" s="1">
        <v>30351877.66</v>
      </c>
      <c r="D3" s="1">
        <v>95763433.090000004</v>
      </c>
      <c r="E3" s="1">
        <v>131254028.28</v>
      </c>
      <c r="F3" s="1">
        <v>167200799.31</v>
      </c>
      <c r="G3" s="1">
        <v>198810281.34999999</v>
      </c>
    </row>
    <row r="4" spans="1:7">
      <c r="A4" s="32" t="s">
        <v>213</v>
      </c>
      <c r="B4" s="1">
        <v>831647767.59000003</v>
      </c>
      <c r="C4" s="1">
        <v>1174677263.5599999</v>
      </c>
      <c r="D4" s="1">
        <v>1477464641.5599999</v>
      </c>
      <c r="E4" s="1">
        <v>1866066540.5899999</v>
      </c>
      <c r="F4" s="1">
        <v>2155502567.5500002</v>
      </c>
      <c r="G4" s="1">
        <v>2358441480.6300001</v>
      </c>
    </row>
    <row r="5" spans="1:7">
      <c r="A5" s="32" t="s">
        <v>227</v>
      </c>
      <c r="B5" s="1">
        <f>217818293.48+43317139+50746708.19</f>
        <v>311882140.66999996</v>
      </c>
      <c r="C5" s="1">
        <v>311882140.67000002</v>
      </c>
      <c r="D5" s="1">
        <v>1959856500.03</v>
      </c>
      <c r="E5" s="1">
        <v>1895193832.8199999</v>
      </c>
      <c r="F5" s="1">
        <v>2008342315.78</v>
      </c>
      <c r="G5" s="1">
        <v>1997700825.29</v>
      </c>
    </row>
    <row r="6" spans="1:7">
      <c r="A6" s="32" t="s">
        <v>228</v>
      </c>
      <c r="B6" s="1">
        <f>641379391.88+1772560.09</f>
        <v>643151951.97000003</v>
      </c>
      <c r="C6" s="1">
        <v>570613815.34000003</v>
      </c>
      <c r="D6" s="1">
        <v>678570522.32000005</v>
      </c>
      <c r="E6" s="1">
        <v>644112223.97000003</v>
      </c>
      <c r="F6" s="1">
        <v>592363831.75999999</v>
      </c>
      <c r="G6" s="1">
        <v>500250766.24000001</v>
      </c>
    </row>
    <row r="7" spans="1:7">
      <c r="A7" s="32" t="s">
        <v>229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</row>
    <row r="8" spans="1:7">
      <c r="A8" s="32" t="s">
        <v>230</v>
      </c>
      <c r="B8" s="1">
        <v>0</v>
      </c>
      <c r="C8" s="1">
        <v>0</v>
      </c>
      <c r="D8" s="1">
        <v>0</v>
      </c>
      <c r="E8" s="1">
        <v>112574.13</v>
      </c>
      <c r="F8" s="1">
        <v>88245.46</v>
      </c>
      <c r="G8" s="1">
        <v>112115.92</v>
      </c>
    </row>
    <row r="9" spans="1:7">
      <c r="A9" s="32" t="s">
        <v>214</v>
      </c>
      <c r="B9" s="1">
        <v>5750089296.2700005</v>
      </c>
      <c r="C9" s="1">
        <v>6231545547.3999996</v>
      </c>
      <c r="D9" s="1">
        <v>5182687081.6400003</v>
      </c>
      <c r="E9" s="1">
        <v>4945075608.3400002</v>
      </c>
      <c r="F9" s="1">
        <v>3791029110.23</v>
      </c>
      <c r="G9" s="1">
        <v>3641890011.98</v>
      </c>
    </row>
    <row r="10" spans="1:7">
      <c r="A10" s="100" t="s">
        <v>358</v>
      </c>
      <c r="B10" s="1">
        <v>4275604159.9000001</v>
      </c>
      <c r="C10" s="1">
        <v>4337782587.8900003</v>
      </c>
      <c r="D10" s="1">
        <v>3243383848.5700002</v>
      </c>
      <c r="E10" s="1">
        <v>3007594983.5700002</v>
      </c>
      <c r="F10" s="1">
        <v>1815179757.95</v>
      </c>
      <c r="G10" s="1">
        <v>1751578387.8099999</v>
      </c>
    </row>
    <row r="11" spans="1:7">
      <c r="A11" s="100" t="s">
        <v>364</v>
      </c>
      <c r="B11" s="1"/>
      <c r="C11" s="1">
        <v>1427058113.3599999</v>
      </c>
      <c r="D11" s="1">
        <v>1624095026.3299999</v>
      </c>
      <c r="E11" s="1">
        <v>1334642251.4400001</v>
      </c>
      <c r="F11" s="1">
        <v>1348095117.8099999</v>
      </c>
      <c r="G11" s="1">
        <v>1330974813.4100001</v>
      </c>
    </row>
    <row r="12" spans="1:7">
      <c r="A12" s="32" t="s">
        <v>231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</row>
    <row r="13" spans="1:7">
      <c r="A13" s="32" t="s">
        <v>215</v>
      </c>
      <c r="B13" s="1">
        <v>1547928428.0899999</v>
      </c>
      <c r="C13" s="1">
        <v>1129977202.5799999</v>
      </c>
      <c r="D13" s="1">
        <v>914504470.48000002</v>
      </c>
      <c r="E13" s="1">
        <v>1186966420.01</v>
      </c>
      <c r="F13" s="1">
        <v>1383525792.53</v>
      </c>
      <c r="G13" s="1">
        <v>1308100893.0799999</v>
      </c>
    </row>
    <row r="14" spans="1:7">
      <c r="A14" s="32" t="s">
        <v>216</v>
      </c>
      <c r="B14" s="1">
        <v>0</v>
      </c>
      <c r="C14" s="1">
        <v>1135185.96</v>
      </c>
      <c r="D14" s="1">
        <v>1303626.8700000001</v>
      </c>
      <c r="E14" s="1">
        <v>818632.28</v>
      </c>
      <c r="F14" s="1">
        <v>790931.85</v>
      </c>
      <c r="G14" s="1">
        <v>760855.48</v>
      </c>
    </row>
    <row r="15" spans="1:7">
      <c r="A15" s="10" t="s">
        <v>217</v>
      </c>
      <c r="B15" s="11">
        <f t="shared" ref="B15:D15" si="0">SUM(B2:B9)+SUM(B12:B14)</f>
        <v>9096122235.5900002</v>
      </c>
      <c r="C15" s="11">
        <f t="shared" si="0"/>
        <v>9450183033.1699982</v>
      </c>
      <c r="D15" s="11">
        <f t="shared" si="0"/>
        <v>10310150275.99</v>
      </c>
      <c r="E15" s="11">
        <f>SUM(E2:E9)+SUM(E12:E14)</f>
        <v>10669599860.420002</v>
      </c>
      <c r="F15" s="11">
        <f>SUM(F2:F9)+SUM(F12:F14)</f>
        <v>10098843594.469999</v>
      </c>
      <c r="G15" s="11">
        <f>SUM(G2:G9)+SUM(G12:G14)</f>
        <v>10006067229.969999</v>
      </c>
    </row>
    <row r="16" spans="1:7">
      <c r="A16" s="32" t="s">
        <v>218</v>
      </c>
      <c r="B16" s="1">
        <v>-1438232261.0599999</v>
      </c>
      <c r="C16" s="1">
        <v>-1457709476.72</v>
      </c>
      <c r="D16" s="1">
        <v>421067548.60000002</v>
      </c>
      <c r="E16" s="1">
        <v>421367477.20999998</v>
      </c>
      <c r="F16" s="1">
        <v>421722914.32999998</v>
      </c>
      <c r="G16" s="1">
        <v>249112515.43000001</v>
      </c>
    </row>
    <row r="17" spans="1:9">
      <c r="A17" s="32" t="s">
        <v>219</v>
      </c>
      <c r="B17" s="1">
        <v>202230164.43000001</v>
      </c>
      <c r="C17" s="1">
        <v>202230164.43000001</v>
      </c>
      <c r="D17" s="1">
        <v>859902210.00999999</v>
      </c>
      <c r="E17" s="1">
        <v>1588718827.5999999</v>
      </c>
      <c r="F17" s="1">
        <v>1887735827.4400001</v>
      </c>
      <c r="G17" s="1">
        <v>1825626707.3399999</v>
      </c>
    </row>
    <row r="18" spans="1:9">
      <c r="A18" s="32" t="s">
        <v>220</v>
      </c>
      <c r="B18" s="1">
        <v>0</v>
      </c>
      <c r="C18" s="1">
        <v>533389567.69</v>
      </c>
      <c r="D18" s="1">
        <v>592084149.08000004</v>
      </c>
      <c r="E18" s="1">
        <v>245442254.71000001</v>
      </c>
      <c r="F18" s="1">
        <v>256743093.08000001</v>
      </c>
      <c r="G18" s="1">
        <v>215066534.94</v>
      </c>
    </row>
    <row r="19" spans="1:9">
      <c r="A19" s="32" t="s">
        <v>221</v>
      </c>
      <c r="B19" s="1">
        <v>268519757.36000001</v>
      </c>
      <c r="C19" s="1">
        <v>122740656.34</v>
      </c>
      <c r="D19" s="1">
        <v>90119757.359999999</v>
      </c>
      <c r="E19" s="1">
        <f>104784180.88+295049.01</f>
        <v>105079229.89</v>
      </c>
      <c r="F19" s="1">
        <f>102329011.48+299441.93</f>
        <v>102628453.41000001</v>
      </c>
      <c r="G19" s="1">
        <f>100523760.37+201519.86</f>
        <v>100725280.23</v>
      </c>
    </row>
    <row r="20" spans="1:9">
      <c r="A20" s="32" t="s">
        <v>208</v>
      </c>
      <c r="B20" s="1">
        <v>6255333642.5799999</v>
      </c>
      <c r="C20" s="1">
        <v>6944136881.4399996</v>
      </c>
      <c r="D20" s="1">
        <v>5932918734.3299999</v>
      </c>
      <c r="E20" s="1">
        <v>5879650407.0799999</v>
      </c>
      <c r="F20" s="1">
        <v>4756101409.2600002</v>
      </c>
      <c r="G20" s="1">
        <v>4567746887.2600002</v>
      </c>
    </row>
    <row r="21" spans="1:9">
      <c r="A21" s="32" t="s">
        <v>222</v>
      </c>
      <c r="B21" s="1">
        <v>296377337.82999998</v>
      </c>
      <c r="C21" s="1">
        <v>487231111.20999998</v>
      </c>
      <c r="D21" s="1">
        <v>210965854.94999999</v>
      </c>
      <c r="E21" s="1">
        <v>267772535.69</v>
      </c>
      <c r="F21" s="1">
        <v>330443363.88999999</v>
      </c>
      <c r="G21" s="1">
        <v>313085817</v>
      </c>
    </row>
    <row r="22" spans="1:9">
      <c r="A22" s="32" t="s">
        <v>223</v>
      </c>
      <c r="B22" s="1">
        <v>2911533879.4099998</v>
      </c>
      <c r="C22" s="1">
        <v>2032453557.1900001</v>
      </c>
      <c r="D22" s="1">
        <v>1683226409.6199999</v>
      </c>
      <c r="E22" s="1">
        <v>1593221696.5899999</v>
      </c>
      <c r="F22" s="1">
        <v>1650055855.22</v>
      </c>
      <c r="G22" s="1">
        <v>1374898970.3900001</v>
      </c>
    </row>
    <row r="23" spans="1:9">
      <c r="A23" s="100" t="s">
        <v>359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</row>
    <row r="24" spans="1:9">
      <c r="A24" s="100" t="s">
        <v>360</v>
      </c>
      <c r="B24" s="1">
        <v>2568574414.73</v>
      </c>
      <c r="C24" s="1">
        <v>1783766933.1400001</v>
      </c>
      <c r="D24" s="1">
        <v>1446275447.3399999</v>
      </c>
      <c r="E24" s="1">
        <v>1296162068.3499999</v>
      </c>
      <c r="F24" s="1">
        <v>1324302014.04</v>
      </c>
      <c r="G24" s="1">
        <v>951195767.63999999</v>
      </c>
    </row>
    <row r="25" spans="1:9">
      <c r="A25" s="32" t="s">
        <v>224</v>
      </c>
      <c r="B25" s="1">
        <v>592449067.21000004</v>
      </c>
      <c r="C25" s="1">
        <f>579121416.89+453001.13</f>
        <v>579574418.01999998</v>
      </c>
      <c r="D25" s="1">
        <f>512102274.3+513001.13</f>
        <v>512615275.43000001</v>
      </c>
      <c r="E25" s="1">
        <v>469937800.18000001</v>
      </c>
      <c r="F25" s="1">
        <f>2600481.5+434790612.77</f>
        <v>437391094.26999998</v>
      </c>
      <c r="G25" s="1">
        <f>1679298.47+432020725.37</f>
        <v>433700023.84000003</v>
      </c>
      <c r="H25" s="1"/>
      <c r="I25" s="1"/>
    </row>
    <row r="26" spans="1:9">
      <c r="A26" s="32" t="s">
        <v>225</v>
      </c>
      <c r="B26" s="1">
        <v>7910647.8300000001</v>
      </c>
      <c r="C26" s="1">
        <v>6136153.5700000003</v>
      </c>
      <c r="D26" s="1">
        <v>7250336.6100000003</v>
      </c>
      <c r="E26" s="1">
        <v>98409631.469999999</v>
      </c>
      <c r="F26" s="1">
        <v>256021583.56999999</v>
      </c>
      <c r="G26" s="1">
        <v>926104493.53999996</v>
      </c>
    </row>
    <row r="27" spans="1:9">
      <c r="A27" s="72" t="s">
        <v>226</v>
      </c>
      <c r="B27" s="3">
        <f t="shared" ref="B27:D27" si="1">SUM(B16:B26)-B23-B24</f>
        <v>9096122235.5900021</v>
      </c>
      <c r="C27" s="3">
        <f t="shared" si="1"/>
        <v>9450183033.1700001</v>
      </c>
      <c r="D27" s="3">
        <f t="shared" si="1"/>
        <v>10310150275.990002</v>
      </c>
      <c r="E27" s="3">
        <f>SUM(E16:E26)-E23-E24</f>
        <v>10669599860.419998</v>
      </c>
      <c r="F27" s="3">
        <f>SUM(F16:F26)-F23-F24</f>
        <v>10098843594.470001</v>
      </c>
      <c r="G27" s="3">
        <f>SUM(G16:G26)-G23-G24</f>
        <v>10006067229.970001</v>
      </c>
    </row>
    <row r="28" spans="1:9">
      <c r="A28" s="10" t="s">
        <v>265</v>
      </c>
      <c r="B28" s="11">
        <f>B16+B17+B18</f>
        <v>-1236002096.6299999</v>
      </c>
      <c r="C28" s="11">
        <f>C16+C17+C18</f>
        <v>-722089744.5999999</v>
      </c>
      <c r="D28" s="11">
        <f>D16+D17+D18</f>
        <v>1873053907.6900001</v>
      </c>
      <c r="E28" s="11">
        <f>E16+E17+E18</f>
        <v>2255528559.52</v>
      </c>
      <c r="F28" s="11">
        <f>F16+F17+F18</f>
        <v>2566201834.8499999</v>
      </c>
      <c r="G28" s="11">
        <f>G16+G17+G18</f>
        <v>2289805757.71</v>
      </c>
    </row>
    <row r="29" spans="1:9">
      <c r="E29" s="6">
        <f>E28/E27*100</f>
        <v>21.139767086178367</v>
      </c>
      <c r="F29" s="6">
        <f>F28/F27*100</f>
        <v>25.410848389168233</v>
      </c>
      <c r="G29" s="6">
        <f>G28/G27*100</f>
        <v>22.884173222938308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21"/>
  <sheetViews>
    <sheetView topLeftCell="A184" workbookViewId="0">
      <selection activeCell="H92" sqref="H92:H95"/>
    </sheetView>
  </sheetViews>
  <sheetFormatPr defaultRowHeight="15"/>
  <cols>
    <col min="2" max="2" width="83.28515625" bestFit="1" customWidth="1"/>
    <col min="3" max="3" width="11.85546875" customWidth="1"/>
  </cols>
  <sheetData>
    <row r="1" spans="1:8">
      <c r="A1" s="114" t="s">
        <v>209</v>
      </c>
      <c r="B1" s="114"/>
      <c r="C1" s="2" t="s">
        <v>210</v>
      </c>
      <c r="D1" s="97">
        <v>2016</v>
      </c>
      <c r="E1" s="97">
        <v>2017</v>
      </c>
      <c r="F1" s="97">
        <v>2018</v>
      </c>
      <c r="G1" s="97">
        <v>2019</v>
      </c>
      <c r="H1" s="97">
        <v>2020</v>
      </c>
    </row>
    <row r="2" spans="1:8">
      <c r="A2" t="s">
        <v>76</v>
      </c>
    </row>
    <row r="3" spans="1:8">
      <c r="A3" s="8" t="s">
        <v>77</v>
      </c>
      <c r="B3" s="8" t="s">
        <v>78</v>
      </c>
      <c r="C3" s="9">
        <v>48</v>
      </c>
      <c r="D3" s="7">
        <v>2.74</v>
      </c>
      <c r="E3" s="7">
        <v>3.32</v>
      </c>
      <c r="F3" s="7">
        <v>2.66</v>
      </c>
      <c r="G3" s="7">
        <v>2.69</v>
      </c>
      <c r="H3" s="7">
        <v>2.5</v>
      </c>
    </row>
    <row r="4" spans="1:8">
      <c r="A4" t="s">
        <v>79</v>
      </c>
      <c r="D4" s="7"/>
      <c r="E4" s="7"/>
      <c r="F4" s="7"/>
      <c r="G4" s="7"/>
      <c r="H4" s="7"/>
    </row>
    <row r="5" spans="1:8">
      <c r="A5" t="s">
        <v>80</v>
      </c>
      <c r="B5" t="s">
        <v>81</v>
      </c>
      <c r="D5" s="7">
        <v>106.7</v>
      </c>
      <c r="E5" s="7">
        <v>107.59</v>
      </c>
      <c r="F5" s="7">
        <v>108.41</v>
      </c>
      <c r="G5" s="7">
        <v>103.35</v>
      </c>
      <c r="H5" s="7">
        <v>106.36</v>
      </c>
    </row>
    <row r="6" spans="1:8">
      <c r="A6" t="s">
        <v>82</v>
      </c>
      <c r="B6" t="s">
        <v>83</v>
      </c>
      <c r="D6" s="7">
        <v>99.88</v>
      </c>
      <c r="E6" s="7">
        <v>100.47999999999999</v>
      </c>
      <c r="F6" s="7">
        <v>100.59</v>
      </c>
      <c r="G6" s="7">
        <v>99.13</v>
      </c>
      <c r="H6" s="7">
        <v>99.36</v>
      </c>
    </row>
    <row r="7" spans="1:8">
      <c r="A7" t="s">
        <v>84</v>
      </c>
      <c r="B7" t="s">
        <v>85</v>
      </c>
      <c r="D7" s="7">
        <v>93.15</v>
      </c>
      <c r="E7" s="7">
        <v>96.07</v>
      </c>
      <c r="F7" s="7">
        <v>97.41</v>
      </c>
      <c r="G7" s="7">
        <v>92.17</v>
      </c>
      <c r="H7" s="7">
        <v>90.93</v>
      </c>
    </row>
    <row r="8" spans="1:8">
      <c r="A8" t="s">
        <v>86</v>
      </c>
      <c r="B8" t="s">
        <v>87</v>
      </c>
      <c r="D8" s="7">
        <v>87.19</v>
      </c>
      <c r="E8" s="7">
        <v>89.72</v>
      </c>
      <c r="F8" s="7">
        <v>90.38</v>
      </c>
      <c r="G8" s="7">
        <v>88.4</v>
      </c>
      <c r="H8" s="7">
        <v>84.95</v>
      </c>
    </row>
    <row r="9" spans="1:8">
      <c r="A9" t="s">
        <v>88</v>
      </c>
      <c r="B9" t="s">
        <v>89</v>
      </c>
      <c r="D9" s="7">
        <v>72.52</v>
      </c>
      <c r="E9" s="7">
        <v>77.759999999999991</v>
      </c>
      <c r="F9" s="7">
        <v>81.7</v>
      </c>
      <c r="G9" s="7">
        <v>81.27</v>
      </c>
      <c r="H9" s="7">
        <v>78.39</v>
      </c>
    </row>
    <row r="10" spans="1:8">
      <c r="A10" t="s">
        <v>90</v>
      </c>
      <c r="B10" t="s">
        <v>91</v>
      </c>
      <c r="D10" s="7">
        <v>67.92</v>
      </c>
      <c r="E10" s="7">
        <v>71.08</v>
      </c>
      <c r="F10" s="7">
        <v>70.69</v>
      </c>
      <c r="G10" s="7">
        <v>76.23</v>
      </c>
      <c r="H10" s="7">
        <v>76.98</v>
      </c>
    </row>
    <row r="11" spans="1:8">
      <c r="A11" t="s">
        <v>92</v>
      </c>
      <c r="B11" t="s">
        <v>93</v>
      </c>
      <c r="D11" s="7">
        <v>66.09</v>
      </c>
      <c r="E11" s="7">
        <v>71.69</v>
      </c>
      <c r="F11" s="7">
        <v>71.59</v>
      </c>
      <c r="G11" s="7">
        <v>73.61</v>
      </c>
      <c r="H11" s="7">
        <v>67.83</v>
      </c>
    </row>
    <row r="12" spans="1:8">
      <c r="A12" s="8" t="s">
        <v>94</v>
      </c>
      <c r="B12" s="8" t="s">
        <v>95</v>
      </c>
      <c r="C12" s="9">
        <v>22</v>
      </c>
      <c r="D12" s="7">
        <v>61.9</v>
      </c>
      <c r="E12" s="7">
        <v>65.53</v>
      </c>
      <c r="F12" s="7">
        <v>61.94</v>
      </c>
      <c r="G12" s="7">
        <v>69.040000000000006</v>
      </c>
      <c r="H12" s="7">
        <v>66.61</v>
      </c>
    </row>
    <row r="13" spans="1:8">
      <c r="A13" t="s">
        <v>96</v>
      </c>
      <c r="D13" s="7"/>
      <c r="E13" s="7"/>
      <c r="F13" s="7"/>
      <c r="G13" s="7"/>
      <c r="H13" s="7"/>
    </row>
    <row r="14" spans="1:8">
      <c r="A14" t="s">
        <v>97</v>
      </c>
      <c r="B14" t="s">
        <v>98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>
      <c r="A15" s="8" t="s">
        <v>99</v>
      </c>
      <c r="B15" s="8" t="s">
        <v>100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1:8">
      <c r="A16" t="s">
        <v>101</v>
      </c>
      <c r="D16" s="7"/>
      <c r="E16" s="7"/>
      <c r="F16" s="7"/>
      <c r="G16" s="7"/>
      <c r="H16" s="7"/>
    </row>
    <row r="17" spans="1:8">
      <c r="A17" t="s">
        <v>102</v>
      </c>
      <c r="B17" t="s">
        <v>103</v>
      </c>
      <c r="D17" s="7">
        <v>1.27</v>
      </c>
      <c r="E17" s="7">
        <v>1.3</v>
      </c>
      <c r="F17" s="7">
        <v>1.31</v>
      </c>
      <c r="G17" s="7">
        <v>1.3</v>
      </c>
      <c r="H17" s="7">
        <v>1.1200000000000001</v>
      </c>
    </row>
    <row r="18" spans="1:8">
      <c r="A18" t="s">
        <v>104</v>
      </c>
      <c r="B18" t="s">
        <v>105</v>
      </c>
      <c r="D18" s="7">
        <v>12.46</v>
      </c>
      <c r="E18" s="7">
        <v>18.88</v>
      </c>
      <c r="F18" s="7">
        <v>22.58</v>
      </c>
      <c r="G18" s="7">
        <v>23.68</v>
      </c>
      <c r="H18" s="7">
        <v>24</v>
      </c>
    </row>
    <row r="19" spans="1:8">
      <c r="A19" t="s">
        <v>106</v>
      </c>
      <c r="B19" t="s">
        <v>107</v>
      </c>
      <c r="D19" s="7">
        <v>4.01</v>
      </c>
      <c r="E19" s="7">
        <v>2.1399999999999997</v>
      </c>
      <c r="F19" s="7">
        <v>1.61</v>
      </c>
      <c r="G19" s="7">
        <v>1.81</v>
      </c>
      <c r="H19" s="7">
        <v>1.78</v>
      </c>
    </row>
    <row r="20" spans="1:8">
      <c r="A20" t="s">
        <v>108</v>
      </c>
      <c r="B20" t="s">
        <v>109</v>
      </c>
      <c r="D20" s="7">
        <v>26.68</v>
      </c>
      <c r="E20" s="7">
        <v>27.793900000000001</v>
      </c>
      <c r="F20" s="7">
        <v>28.24</v>
      </c>
      <c r="G20" s="7">
        <v>28.51</v>
      </c>
      <c r="H20" s="7">
        <v>27.22</v>
      </c>
    </row>
    <row r="21" spans="1:8">
      <c r="A21" t="s">
        <v>110</v>
      </c>
      <c r="D21" s="7"/>
      <c r="E21" s="7"/>
      <c r="F21" s="7"/>
      <c r="G21" s="7"/>
      <c r="H21" s="7"/>
    </row>
    <row r="22" spans="1:8">
      <c r="A22" t="s">
        <v>111</v>
      </c>
      <c r="B22" t="s">
        <v>112</v>
      </c>
      <c r="D22" s="7">
        <v>1.94</v>
      </c>
      <c r="E22" s="7">
        <v>1.8499999999999999</v>
      </c>
      <c r="F22" s="7">
        <v>1.81</v>
      </c>
      <c r="G22" s="7">
        <v>1.8</v>
      </c>
      <c r="H22" s="7">
        <v>1.78</v>
      </c>
    </row>
    <row r="23" spans="1:8">
      <c r="A23" t="s">
        <v>113</v>
      </c>
      <c r="D23" s="7"/>
      <c r="E23" s="7"/>
      <c r="F23" s="7"/>
      <c r="G23" s="7"/>
      <c r="H23" s="7"/>
    </row>
    <row r="24" spans="1:8">
      <c r="A24" t="s">
        <v>114</v>
      </c>
      <c r="B24" t="s">
        <v>115</v>
      </c>
      <c r="D24" s="7">
        <v>0.53</v>
      </c>
      <c r="E24" s="7">
        <v>0.49</v>
      </c>
      <c r="F24" s="7">
        <v>0.5</v>
      </c>
      <c r="G24" s="7">
        <v>0.52</v>
      </c>
      <c r="H24" s="7">
        <v>0.49</v>
      </c>
    </row>
    <row r="25" spans="1:8">
      <c r="A25" t="s">
        <v>116</v>
      </c>
      <c r="B25" t="s">
        <v>117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</row>
    <row r="26" spans="1:8">
      <c r="A26" t="s">
        <v>118</v>
      </c>
      <c r="B26" t="s">
        <v>119</v>
      </c>
      <c r="D26" s="7">
        <v>1.1299999999999999</v>
      </c>
      <c r="E26" s="7">
        <v>1.6</v>
      </c>
      <c r="F26" s="7">
        <v>0.1</v>
      </c>
      <c r="G26" s="7">
        <v>0.01</v>
      </c>
      <c r="H26" s="7">
        <v>0</v>
      </c>
    </row>
    <row r="27" spans="1:8">
      <c r="A27" t="s">
        <v>120</v>
      </c>
      <c r="D27" s="7"/>
      <c r="E27" s="7"/>
      <c r="F27" s="7"/>
      <c r="G27" s="7"/>
      <c r="H27" s="7"/>
    </row>
    <row r="28" spans="1:8">
      <c r="A28" t="s">
        <v>121</v>
      </c>
      <c r="B28" t="s">
        <v>122</v>
      </c>
      <c r="D28" s="7">
        <v>7.03</v>
      </c>
      <c r="E28" s="7">
        <v>5.0599999999999996</v>
      </c>
      <c r="F28" s="7">
        <v>6.15</v>
      </c>
      <c r="G28" s="7">
        <v>6.5</v>
      </c>
      <c r="H28" s="7">
        <v>3.84</v>
      </c>
    </row>
    <row r="29" spans="1:8">
      <c r="A29" t="s">
        <v>123</v>
      </c>
      <c r="B29" t="s">
        <v>124</v>
      </c>
      <c r="D29" s="7">
        <v>80.02</v>
      </c>
      <c r="E29" s="7">
        <v>32.718699999999998</v>
      </c>
      <c r="F29" s="7">
        <v>15.24</v>
      </c>
      <c r="G29" s="7">
        <v>20.88</v>
      </c>
      <c r="H29" s="7">
        <v>13.69</v>
      </c>
    </row>
    <row r="30" spans="1:8">
      <c r="A30" t="s">
        <v>125</v>
      </c>
      <c r="B30" t="s">
        <v>126</v>
      </c>
      <c r="D30" s="7">
        <v>81.78</v>
      </c>
      <c r="E30" s="7">
        <v>83.7393</v>
      </c>
      <c r="F30" s="7">
        <v>130.21</v>
      </c>
      <c r="G30" s="7">
        <v>135.47</v>
      </c>
      <c r="H30" s="7">
        <v>83.05</v>
      </c>
    </row>
    <row r="31" spans="1:8">
      <c r="A31" t="s">
        <v>127</v>
      </c>
      <c r="B31" t="s">
        <v>128</v>
      </c>
      <c r="D31" s="7">
        <v>161.80000000000001</v>
      </c>
      <c r="E31" s="7">
        <v>116.458</v>
      </c>
      <c r="F31" s="7">
        <v>145.44999999999999</v>
      </c>
      <c r="G31" s="7">
        <v>156.36000000000001</v>
      </c>
      <c r="H31" s="7">
        <v>96.74</v>
      </c>
    </row>
    <row r="32" spans="1:8">
      <c r="A32" t="s">
        <v>129</v>
      </c>
      <c r="B32" t="s">
        <v>130</v>
      </c>
      <c r="D32" s="7">
        <v>49.75</v>
      </c>
      <c r="E32" s="7">
        <v>79.100000000000009</v>
      </c>
      <c r="F32" s="7">
        <v>59.23</v>
      </c>
      <c r="G32" s="7">
        <v>44.1</v>
      </c>
      <c r="H32" s="7">
        <v>47.35</v>
      </c>
    </row>
    <row r="33" spans="1:8">
      <c r="A33" t="s">
        <v>131</v>
      </c>
      <c r="B33" t="s">
        <v>132</v>
      </c>
      <c r="D33" s="7">
        <v>1.99</v>
      </c>
      <c r="E33" s="7">
        <v>2.4699999999999998</v>
      </c>
      <c r="F33" s="7">
        <v>0.44</v>
      </c>
      <c r="G33" s="7">
        <v>2.74</v>
      </c>
      <c r="H33" s="7">
        <v>1.87</v>
      </c>
    </row>
    <row r="34" spans="1:8">
      <c r="A34" t="s">
        <v>133</v>
      </c>
      <c r="B34" t="s">
        <v>134</v>
      </c>
      <c r="D34" s="7">
        <v>4</v>
      </c>
      <c r="E34" s="7">
        <v>4.75</v>
      </c>
      <c r="F34" s="7">
        <v>24.09</v>
      </c>
      <c r="G34" s="7">
        <v>25.71</v>
      </c>
      <c r="H34" s="7">
        <v>7.17</v>
      </c>
    </row>
    <row r="35" spans="1:8">
      <c r="A35" t="s">
        <v>135</v>
      </c>
      <c r="D35" s="7"/>
      <c r="E35" s="7"/>
      <c r="F35" s="7"/>
      <c r="G35" s="7"/>
      <c r="H35" s="7"/>
    </row>
    <row r="36" spans="1:8">
      <c r="A36" t="s">
        <v>136</v>
      </c>
      <c r="B36" t="s">
        <v>137</v>
      </c>
      <c r="D36" s="7">
        <v>61.13</v>
      </c>
      <c r="E36" s="7">
        <v>51.43</v>
      </c>
      <c r="F36" s="7">
        <v>54.04</v>
      </c>
      <c r="G36" s="7">
        <v>49.45</v>
      </c>
      <c r="H36" s="7">
        <v>46.65</v>
      </c>
    </row>
    <row r="37" spans="1:8">
      <c r="A37" t="s">
        <v>138</v>
      </c>
      <c r="B37" t="s">
        <v>139</v>
      </c>
      <c r="D37" s="7">
        <v>37.29</v>
      </c>
      <c r="E37" s="7">
        <v>34.64</v>
      </c>
      <c r="F37" s="7">
        <v>33.79</v>
      </c>
      <c r="G37" s="7">
        <v>41.61</v>
      </c>
      <c r="H37" s="7">
        <v>34.31</v>
      </c>
    </row>
    <row r="38" spans="1:8">
      <c r="A38" t="s">
        <v>140</v>
      </c>
      <c r="B38" t="s">
        <v>141</v>
      </c>
      <c r="D38" s="7">
        <v>0</v>
      </c>
      <c r="E38" s="7">
        <v>3.29</v>
      </c>
      <c r="F38" s="7">
        <v>45.04</v>
      </c>
      <c r="G38" s="7">
        <v>0</v>
      </c>
      <c r="H38" s="7">
        <v>4.84</v>
      </c>
    </row>
    <row r="39" spans="1:8">
      <c r="A39" t="s">
        <v>142</v>
      </c>
      <c r="B39" t="s">
        <v>143</v>
      </c>
      <c r="D39" s="7">
        <v>41.03</v>
      </c>
      <c r="E39" s="7">
        <v>44</v>
      </c>
      <c r="F39" s="7">
        <v>41.61</v>
      </c>
      <c r="G39" s="7">
        <v>40.340000000000003</v>
      </c>
      <c r="H39" s="7">
        <v>44.67</v>
      </c>
    </row>
    <row r="40" spans="1:8">
      <c r="A40" t="s">
        <v>144</v>
      </c>
      <c r="B40" t="s">
        <v>145</v>
      </c>
      <c r="D40" s="7">
        <v>46.53</v>
      </c>
      <c r="E40" s="7">
        <v>32.89</v>
      </c>
      <c r="F40" s="7">
        <v>32.22</v>
      </c>
      <c r="G40" s="7">
        <v>33.97</v>
      </c>
      <c r="H40" s="7">
        <v>30.81</v>
      </c>
    </row>
    <row r="41" spans="1:8">
      <c r="A41" t="s">
        <v>146</v>
      </c>
      <c r="B41" t="s">
        <v>147</v>
      </c>
      <c r="D41" s="7">
        <v>73.11</v>
      </c>
      <c r="E41" s="7">
        <v>34.979999999999997</v>
      </c>
      <c r="F41" s="7">
        <v>27.81</v>
      </c>
      <c r="G41" s="7">
        <v>52.74</v>
      </c>
      <c r="H41" s="7">
        <v>15.57</v>
      </c>
    </row>
    <row r="42" spans="1:8">
      <c r="A42" t="s">
        <v>148</v>
      </c>
      <c r="D42" s="7"/>
      <c r="E42" s="7"/>
      <c r="F42" s="7"/>
      <c r="G42" s="7"/>
      <c r="H42" s="7"/>
    </row>
    <row r="43" spans="1:8">
      <c r="A43" t="s">
        <v>149</v>
      </c>
      <c r="B43" t="s">
        <v>150</v>
      </c>
      <c r="D43" s="7">
        <v>75.319999999999993</v>
      </c>
      <c r="E43" s="7">
        <v>81.22</v>
      </c>
      <c r="F43" s="7">
        <v>82.61</v>
      </c>
      <c r="G43" s="7">
        <v>78.2</v>
      </c>
      <c r="H43" s="7">
        <v>84.22</v>
      </c>
    </row>
    <row r="44" spans="1:8">
      <c r="A44" t="s">
        <v>151</v>
      </c>
      <c r="B44" t="s">
        <v>152</v>
      </c>
      <c r="D44" s="7">
        <v>59.64</v>
      </c>
      <c r="E44" s="7">
        <v>86.09</v>
      </c>
      <c r="F44" s="7">
        <v>71.010000000000005</v>
      </c>
      <c r="G44" s="7">
        <v>68.05</v>
      </c>
      <c r="H44" s="7">
        <v>65.34</v>
      </c>
    </row>
    <row r="45" spans="1:8">
      <c r="A45" t="s">
        <v>153</v>
      </c>
      <c r="B45" t="s">
        <v>154</v>
      </c>
      <c r="D45" s="7">
        <v>91.41</v>
      </c>
      <c r="E45" s="7">
        <v>92.789999999999992</v>
      </c>
      <c r="F45" s="7">
        <v>93.39</v>
      </c>
      <c r="G45" s="7">
        <v>93.27</v>
      </c>
      <c r="H45" s="7">
        <v>95.63</v>
      </c>
    </row>
    <row r="46" spans="1:8">
      <c r="A46" t="s">
        <v>155</v>
      </c>
      <c r="B46" t="s">
        <v>156</v>
      </c>
      <c r="D46" s="7">
        <v>62.15</v>
      </c>
      <c r="E46" s="7">
        <v>57.97</v>
      </c>
      <c r="F46" s="7">
        <v>55.52</v>
      </c>
      <c r="G46" s="7">
        <v>50.12</v>
      </c>
      <c r="H46" s="7">
        <v>62.67</v>
      </c>
    </row>
    <row r="47" spans="1:8">
      <c r="A47" t="s">
        <v>157</v>
      </c>
      <c r="B47" t="s">
        <v>158</v>
      </c>
      <c r="D47" s="7">
        <v>52.65</v>
      </c>
      <c r="E47" s="7">
        <v>-1.71</v>
      </c>
      <c r="F47" s="7">
        <v>-10.63</v>
      </c>
      <c r="G47" s="7">
        <v>-17.100000000000001</v>
      </c>
      <c r="H47" s="7">
        <v>-16.54</v>
      </c>
    </row>
    <row r="48" spans="1:8">
      <c r="A48" t="s">
        <v>159</v>
      </c>
      <c r="D48" s="7"/>
      <c r="E48" s="7"/>
      <c r="F48" s="7"/>
      <c r="G48" s="7"/>
      <c r="H48" s="7"/>
    </row>
    <row r="49" spans="1:8">
      <c r="A49" t="s">
        <v>160</v>
      </c>
      <c r="B49" t="s">
        <v>161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</row>
    <row r="50" spans="1:8">
      <c r="A50" t="s">
        <v>162</v>
      </c>
      <c r="B50" t="s">
        <v>163</v>
      </c>
      <c r="D50" s="7">
        <v>1.73</v>
      </c>
      <c r="E50" s="7">
        <v>4.01</v>
      </c>
      <c r="F50" s="7">
        <v>4.33</v>
      </c>
      <c r="G50" s="7">
        <v>4.18</v>
      </c>
      <c r="H50" s="7">
        <v>3.79</v>
      </c>
    </row>
    <row r="51" spans="1:8">
      <c r="A51" s="8" t="s">
        <v>164</v>
      </c>
      <c r="B51" s="8" t="s">
        <v>165</v>
      </c>
      <c r="C51" s="9">
        <v>16</v>
      </c>
      <c r="D51" s="7">
        <v>1.38</v>
      </c>
      <c r="E51" s="7">
        <v>1.26</v>
      </c>
      <c r="F51" s="7">
        <v>1.38</v>
      </c>
      <c r="G51" s="7">
        <v>1.42</v>
      </c>
      <c r="H51" s="7">
        <v>1.31</v>
      </c>
    </row>
    <row r="52" spans="1:8">
      <c r="A52" t="s">
        <v>166</v>
      </c>
      <c r="B52" t="s">
        <v>167</v>
      </c>
      <c r="D52" s="7">
        <v>536.87</v>
      </c>
      <c r="E52" s="7">
        <v>524.02719999999999</v>
      </c>
      <c r="F52" s="7">
        <v>538.15</v>
      </c>
      <c r="G52" s="7">
        <v>969.47471515866562</v>
      </c>
      <c r="H52" s="7">
        <v>936.18003183352459</v>
      </c>
    </row>
    <row r="53" spans="1:8">
      <c r="A53" t="s">
        <v>168</v>
      </c>
      <c r="D53" s="7"/>
      <c r="E53" s="7"/>
      <c r="F53" s="7"/>
      <c r="G53" s="7">
        <v>0</v>
      </c>
      <c r="H53" s="7">
        <v>0</v>
      </c>
    </row>
    <row r="54" spans="1:8">
      <c r="A54" t="s">
        <v>169</v>
      </c>
      <c r="B54" t="s">
        <v>170</v>
      </c>
      <c r="D54" s="7">
        <v>0</v>
      </c>
      <c r="E54" s="7">
        <v>0</v>
      </c>
      <c r="F54" s="7">
        <v>0</v>
      </c>
      <c r="G54" s="7">
        <v>-217.91497895545672</v>
      </c>
      <c r="H54" s="7">
        <v>-170.54589606400964</v>
      </c>
    </row>
    <row r="55" spans="1:8">
      <c r="A55" t="s">
        <v>171</v>
      </c>
      <c r="B55" t="s">
        <v>172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</row>
    <row r="56" spans="1:8">
      <c r="A56" t="s">
        <v>173</v>
      </c>
      <c r="B56" t="s">
        <v>174</v>
      </c>
      <c r="D56" s="7">
        <v>0</v>
      </c>
      <c r="E56" s="7">
        <v>0</v>
      </c>
      <c r="F56" s="7">
        <v>0</v>
      </c>
      <c r="G56" s="7">
        <v>239.67116735792078</v>
      </c>
      <c r="H56" s="7">
        <v>211.74959277489705</v>
      </c>
    </row>
    <row r="57" spans="1:8">
      <c r="A57" t="s">
        <v>175</v>
      </c>
      <c r="B57" t="s">
        <v>176</v>
      </c>
      <c r="D57" s="7">
        <v>0</v>
      </c>
      <c r="E57" s="7">
        <v>0</v>
      </c>
      <c r="F57" s="7">
        <v>0</v>
      </c>
      <c r="G57" s="7">
        <v>78.243811597535924</v>
      </c>
      <c r="H57" s="7">
        <v>58.796303289112593</v>
      </c>
    </row>
    <row r="58" spans="1:8">
      <c r="A58" t="s">
        <v>177</v>
      </c>
      <c r="D58" s="7"/>
      <c r="E58" s="7"/>
      <c r="F58" s="7"/>
      <c r="G58" s="7"/>
      <c r="H58" s="7"/>
    </row>
    <row r="59" spans="1:8">
      <c r="A59" t="s">
        <v>178</v>
      </c>
      <c r="B59" t="s">
        <v>179</v>
      </c>
      <c r="D59" s="7">
        <v>2.4500000000000002</v>
      </c>
      <c r="E59" s="7">
        <v>2.56</v>
      </c>
      <c r="F59" s="7">
        <v>2.69</v>
      </c>
      <c r="G59" s="7">
        <v>12.029639621805954</v>
      </c>
      <c r="H59" s="7">
        <v>13.736866431604582</v>
      </c>
    </row>
    <row r="60" spans="1:8">
      <c r="A60" t="s">
        <v>180</v>
      </c>
      <c r="B60" t="s">
        <v>181</v>
      </c>
      <c r="D60" s="7"/>
      <c r="E60" s="7"/>
      <c r="F60" s="7"/>
      <c r="G60" s="7">
        <v>-12.029639621805954</v>
      </c>
      <c r="H60" s="7">
        <v>-13.736866431604582</v>
      </c>
    </row>
    <row r="61" spans="1:8">
      <c r="A61" t="s">
        <v>182</v>
      </c>
      <c r="B61" t="s">
        <v>183</v>
      </c>
      <c r="D61" s="7">
        <v>0</v>
      </c>
      <c r="E61" s="7">
        <v>0</v>
      </c>
      <c r="F61" s="7">
        <v>0</v>
      </c>
      <c r="G61" s="7">
        <v>75.773926183544376</v>
      </c>
      <c r="H61" s="7">
        <v>73.25498584987136</v>
      </c>
    </row>
    <row r="62" spans="1:8">
      <c r="A62" s="8" t="s">
        <v>184</v>
      </c>
      <c r="B62" s="8" t="s">
        <v>185</v>
      </c>
      <c r="C62" s="9">
        <v>1.2</v>
      </c>
      <c r="D62" s="7">
        <v>14.96</v>
      </c>
      <c r="E62" s="7">
        <v>12.07</v>
      </c>
      <c r="F62" s="7">
        <v>9.44</v>
      </c>
      <c r="G62" s="7">
        <v>6.83</v>
      </c>
      <c r="H62" s="7">
        <v>4.74</v>
      </c>
    </row>
    <row r="63" spans="1:8">
      <c r="A63" t="s">
        <v>352</v>
      </c>
      <c r="B63" t="s">
        <v>353</v>
      </c>
      <c r="C63" s="7"/>
      <c r="D63" s="7">
        <v>46.56</v>
      </c>
      <c r="E63" s="7">
        <v>100</v>
      </c>
      <c r="F63" s="7">
        <v>100</v>
      </c>
      <c r="G63" s="7">
        <v>100</v>
      </c>
      <c r="H63" s="7">
        <v>100</v>
      </c>
    </row>
    <row r="64" spans="1:8">
      <c r="A64" t="s">
        <v>186</v>
      </c>
      <c r="D64" s="7"/>
      <c r="E64" s="7"/>
      <c r="F64" s="7"/>
      <c r="G64" s="7"/>
      <c r="H64" s="7"/>
    </row>
    <row r="65" spans="1:8">
      <c r="A65" s="8" t="s">
        <v>187</v>
      </c>
      <c r="B65" s="8" t="s">
        <v>188</v>
      </c>
      <c r="C65" s="9">
        <v>1</v>
      </c>
      <c r="D65" s="7">
        <v>0.01</v>
      </c>
      <c r="E65" s="7">
        <v>0.1</v>
      </c>
      <c r="F65" s="7">
        <v>0.1</v>
      </c>
      <c r="G65" s="7">
        <v>0</v>
      </c>
      <c r="H65" s="7">
        <v>0</v>
      </c>
    </row>
    <row r="66" spans="1:8">
      <c r="A66" s="8" t="s">
        <v>189</v>
      </c>
      <c r="B66" s="8" t="s">
        <v>190</v>
      </c>
      <c r="C66" s="9"/>
      <c r="D66" s="7">
        <v>0</v>
      </c>
      <c r="E66" s="7">
        <v>0</v>
      </c>
      <c r="F66" s="7">
        <v>0</v>
      </c>
      <c r="G66" s="7">
        <v>0</v>
      </c>
      <c r="H66" s="7">
        <v>0</v>
      </c>
    </row>
    <row r="67" spans="1:8">
      <c r="A67" s="8" t="s">
        <v>191</v>
      </c>
      <c r="B67" s="8" t="s">
        <v>192</v>
      </c>
      <c r="C67" s="9">
        <v>0.6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</row>
    <row r="68" spans="1:8">
      <c r="A68" t="s">
        <v>193</v>
      </c>
      <c r="D68" s="7"/>
      <c r="E68" s="7"/>
      <c r="F68" s="7"/>
      <c r="G68" s="7"/>
      <c r="H68" s="7"/>
    </row>
    <row r="69" spans="1:8">
      <c r="A69" t="s">
        <v>194</v>
      </c>
      <c r="B69" t="s">
        <v>195</v>
      </c>
      <c r="D69" s="7">
        <v>64.61</v>
      </c>
      <c r="E69" s="7">
        <v>50.139999999999993</v>
      </c>
      <c r="F69" s="30">
        <v>41.67</v>
      </c>
      <c r="G69" s="30">
        <v>56.7</v>
      </c>
      <c r="H69" s="30">
        <v>40.68</v>
      </c>
    </row>
    <row r="70" spans="1:8">
      <c r="A70" t="s">
        <v>196</v>
      </c>
      <c r="D70" s="7"/>
      <c r="E70" s="7"/>
      <c r="F70" s="7"/>
      <c r="G70" s="7"/>
      <c r="H70" s="7"/>
    </row>
    <row r="71" spans="1:8">
      <c r="A71" t="s">
        <v>197</v>
      </c>
      <c r="B71" t="s">
        <v>198</v>
      </c>
      <c r="D71" s="7">
        <v>0.95</v>
      </c>
      <c r="E71" s="30">
        <v>0.94000000000000006</v>
      </c>
      <c r="F71" s="7">
        <v>1.1499999999999999</v>
      </c>
      <c r="G71" s="7">
        <v>1.1599999999999999</v>
      </c>
      <c r="H71" s="7">
        <v>0.76</v>
      </c>
    </row>
    <row r="72" spans="1:8">
      <c r="A72" t="s">
        <v>199</v>
      </c>
      <c r="B72" t="s">
        <v>200</v>
      </c>
      <c r="D72" s="7">
        <v>1</v>
      </c>
      <c r="E72" s="30">
        <v>1</v>
      </c>
      <c r="F72" s="7">
        <v>1.23</v>
      </c>
      <c r="G72" s="7">
        <v>1.22</v>
      </c>
      <c r="H72" s="7">
        <v>0.78</v>
      </c>
    </row>
    <row r="73" spans="1:8">
      <c r="A73" t="s">
        <v>303</v>
      </c>
      <c r="D73" s="7"/>
      <c r="E73" s="7"/>
      <c r="F73" s="7"/>
      <c r="G73" s="7"/>
      <c r="H73" s="7"/>
    </row>
    <row r="74" spans="1:8">
      <c r="B74" t="s">
        <v>201</v>
      </c>
      <c r="D74" s="7">
        <v>65.87</v>
      </c>
      <c r="E74" s="7">
        <v>74.25</v>
      </c>
      <c r="F74" s="7">
        <v>72.87</v>
      </c>
      <c r="G74" s="7">
        <v>81.67</v>
      </c>
      <c r="H74" s="7">
        <v>81.39</v>
      </c>
    </row>
    <row r="75" spans="1:8">
      <c r="B75" t="s">
        <v>202</v>
      </c>
      <c r="D75" s="7">
        <v>82.94</v>
      </c>
      <c r="E75" s="7">
        <v>82.23</v>
      </c>
      <c r="F75" s="7">
        <v>84.25</v>
      </c>
      <c r="G75" s="7">
        <v>88.69</v>
      </c>
      <c r="H75" s="7">
        <v>88.84</v>
      </c>
    </row>
    <row r="76" spans="1:8">
      <c r="B76" t="s">
        <v>203</v>
      </c>
      <c r="D76" s="7">
        <v>30.63</v>
      </c>
      <c r="E76" s="7">
        <v>57.23</v>
      </c>
      <c r="F76" s="7">
        <v>41.93</v>
      </c>
      <c r="G76" s="7">
        <v>61.3</v>
      </c>
      <c r="H76" s="7">
        <v>50.04</v>
      </c>
    </row>
    <row r="77" spans="1:8">
      <c r="A77" s="8" t="s">
        <v>36</v>
      </c>
      <c r="B77" s="8"/>
      <c r="C77" s="9">
        <v>47</v>
      </c>
      <c r="D77" s="7">
        <v>67.499664332627347</v>
      </c>
      <c r="E77" s="7">
        <v>72.72967831925672</v>
      </c>
      <c r="F77" s="30">
        <v>71.563063887064033</v>
      </c>
      <c r="G77" s="30">
        <v>77.607900814141601</v>
      </c>
      <c r="H77" s="30">
        <v>78.376081250820562</v>
      </c>
    </row>
    <row r="78" spans="1:8">
      <c r="A78" s="31" t="s">
        <v>333</v>
      </c>
      <c r="B78" s="31"/>
      <c r="C78" s="63"/>
      <c r="D78" s="30">
        <v>62.787887232593384</v>
      </c>
      <c r="E78" s="30">
        <v>69.407797521204913</v>
      </c>
      <c r="F78" s="30">
        <v>69.211969369471788</v>
      </c>
      <c r="G78" s="30">
        <v>75.126098073322979</v>
      </c>
      <c r="H78" s="30">
        <v>75.316175676231396</v>
      </c>
    </row>
    <row r="79" spans="1:8">
      <c r="A79" t="s">
        <v>266</v>
      </c>
      <c r="D79" s="7"/>
      <c r="E79" s="7"/>
      <c r="F79" s="7"/>
      <c r="G79" s="7"/>
      <c r="H79" s="7"/>
    </row>
    <row r="80" spans="1:8">
      <c r="A80">
        <v>4</v>
      </c>
      <c r="B80" t="s">
        <v>204</v>
      </c>
      <c r="D80" s="7">
        <v>0.57881773399014769</v>
      </c>
      <c r="E80" s="7">
        <v>0.52405907575035726</v>
      </c>
      <c r="F80" s="30">
        <v>0.76533483398987068</v>
      </c>
      <c r="G80" s="30">
        <v>0.60422960725075525</v>
      </c>
      <c r="H80" s="30">
        <v>0.55919095776323613</v>
      </c>
    </row>
    <row r="81" spans="1:8">
      <c r="A81">
        <v>9</v>
      </c>
      <c r="B81" t="s">
        <v>345</v>
      </c>
      <c r="D81" s="7">
        <v>2.3645320197044333</v>
      </c>
      <c r="E81" s="7">
        <v>2.2987136731777031</v>
      </c>
      <c r="F81" s="30">
        <v>2.1271806415306695</v>
      </c>
      <c r="G81" s="30">
        <v>2.4052986288635831</v>
      </c>
      <c r="H81" s="30">
        <v>2.4866151100535396</v>
      </c>
    </row>
    <row r="82" spans="1:8">
      <c r="A82">
        <v>10</v>
      </c>
      <c r="B82" t="s">
        <v>205</v>
      </c>
      <c r="D82" s="7">
        <v>6.958128078817734</v>
      </c>
      <c r="E82" s="7">
        <v>5.8361124344926161</v>
      </c>
      <c r="F82" s="30">
        <v>7.2819358469330338</v>
      </c>
      <c r="G82" s="30">
        <v>6.9021612828259364</v>
      </c>
      <c r="H82" s="30">
        <v>5.9488399762046402</v>
      </c>
    </row>
    <row r="83" spans="1:8">
      <c r="A83">
        <v>12</v>
      </c>
      <c r="B83" t="s">
        <v>206</v>
      </c>
      <c r="D83" s="7">
        <v>0.92364532019704426</v>
      </c>
      <c r="E83" s="7">
        <v>1.2029537875178655</v>
      </c>
      <c r="F83" s="30">
        <v>1.3393359594822736</v>
      </c>
      <c r="G83" s="30">
        <v>1.603532419242389</v>
      </c>
      <c r="H83" s="30">
        <v>1.9274241522903035</v>
      </c>
    </row>
    <row r="84" spans="1:8">
      <c r="A84">
        <v>13</v>
      </c>
      <c r="B84" t="s">
        <v>354</v>
      </c>
      <c r="D84" s="7">
        <v>78.091133004926107</v>
      </c>
      <c r="E84" s="7">
        <v>79.418770843258685</v>
      </c>
      <c r="F84" s="30">
        <v>77.816544738323017</v>
      </c>
      <c r="G84" s="30">
        <v>77.678363932140357</v>
      </c>
      <c r="H84" s="30">
        <v>78.429506246281974</v>
      </c>
    </row>
    <row r="85" spans="1:8">
      <c r="A85" t="s">
        <v>207</v>
      </c>
      <c r="D85" s="7"/>
      <c r="E85" s="7"/>
      <c r="F85" s="7"/>
      <c r="G85" s="7"/>
      <c r="H85" s="7"/>
    </row>
    <row r="86" spans="1:8">
      <c r="A86">
        <v>4</v>
      </c>
      <c r="B86" t="s">
        <v>204</v>
      </c>
      <c r="D86" s="7">
        <v>51.06</v>
      </c>
      <c r="E86" s="7">
        <v>53.48</v>
      </c>
      <c r="F86" s="7">
        <v>39.732703183082748</v>
      </c>
      <c r="G86" s="7">
        <v>51.64</v>
      </c>
      <c r="H86" s="7">
        <v>44.45</v>
      </c>
    </row>
    <row r="87" spans="1:8">
      <c r="A87">
        <v>9</v>
      </c>
      <c r="B87" t="s">
        <v>345</v>
      </c>
      <c r="D87" s="7">
        <v>70.23</v>
      </c>
      <c r="E87" s="7">
        <v>55.42</v>
      </c>
      <c r="F87" s="7">
        <v>58.635240901305309</v>
      </c>
      <c r="G87" s="7">
        <v>45.47</v>
      </c>
      <c r="H87" s="7">
        <v>40.47</v>
      </c>
    </row>
    <row r="88" spans="1:8">
      <c r="A88">
        <v>10</v>
      </c>
      <c r="B88" t="s">
        <v>205</v>
      </c>
      <c r="D88" s="7">
        <v>74.459999999999994</v>
      </c>
      <c r="E88" s="7">
        <v>75.38</v>
      </c>
      <c r="F88" s="7">
        <v>81.242735099370563</v>
      </c>
      <c r="G88" s="7">
        <v>84.17</v>
      </c>
      <c r="H88" s="7">
        <v>89.69</v>
      </c>
    </row>
    <row r="89" spans="1:8">
      <c r="A89">
        <v>12</v>
      </c>
      <c r="B89" t="s">
        <v>206</v>
      </c>
      <c r="D89" s="7">
        <v>60.6</v>
      </c>
      <c r="E89" s="7">
        <v>40.67</v>
      </c>
      <c r="F89" s="7">
        <v>53.645115646350618</v>
      </c>
      <c r="G89" s="7">
        <v>49.08</v>
      </c>
      <c r="H89" s="7">
        <v>58.32</v>
      </c>
    </row>
    <row r="90" spans="1:8">
      <c r="A90">
        <v>13</v>
      </c>
      <c r="B90" t="s">
        <v>354</v>
      </c>
      <c r="D90" s="7">
        <v>83.15</v>
      </c>
      <c r="E90" s="7">
        <v>88.58</v>
      </c>
      <c r="F90" s="7">
        <v>88.730311595033157</v>
      </c>
      <c r="G90" s="7">
        <v>88.77</v>
      </c>
      <c r="H90" s="7">
        <v>92.74</v>
      </c>
    </row>
    <row r="91" spans="1:8">
      <c r="B91" s="68" t="s">
        <v>357</v>
      </c>
      <c r="D91" s="7"/>
      <c r="E91" s="7"/>
      <c r="F91" s="7"/>
      <c r="G91" s="7"/>
      <c r="H91" s="7"/>
    </row>
    <row r="92" spans="1:8">
      <c r="B92" t="s">
        <v>109</v>
      </c>
      <c r="D92" s="7">
        <v>93.080814543787938</v>
      </c>
      <c r="E92" s="7">
        <v>88.060780079821342</v>
      </c>
      <c r="F92" s="7">
        <v>89.823506154392092</v>
      </c>
      <c r="G92" s="7">
        <v>92.549410739486376</v>
      </c>
      <c r="H92" s="7"/>
    </row>
    <row r="93" spans="1:8">
      <c r="B93" t="s">
        <v>128</v>
      </c>
      <c r="D93" s="7">
        <v>251.09759762080674</v>
      </c>
      <c r="E93" s="7">
        <v>226.20399780332346</v>
      </c>
      <c r="F93" s="7">
        <v>238.9835900012705</v>
      </c>
      <c r="G93" s="7">
        <v>254.8769995879359</v>
      </c>
      <c r="H93" s="7"/>
    </row>
    <row r="94" spans="1:8">
      <c r="B94" t="s">
        <v>158</v>
      </c>
      <c r="D94" s="7">
        <v>5.1523529411764697</v>
      </c>
      <c r="E94" s="7">
        <v>-0.42166666666666625</v>
      </c>
      <c r="F94" s="7">
        <v>-3.3627777777777768</v>
      </c>
      <c r="G94" s="7">
        <v>-6.1844444444444466</v>
      </c>
      <c r="H94" s="7"/>
    </row>
    <row r="95" spans="1:8">
      <c r="B95" t="s">
        <v>167</v>
      </c>
      <c r="D95" s="7">
        <v>1497.6574370098967</v>
      </c>
      <c r="E95" s="7">
        <v>1511.4496314108096</v>
      </c>
      <c r="F95" s="7">
        <v>1479.4297544978085</v>
      </c>
      <c r="G95" s="7">
        <v>1400.855257564868</v>
      </c>
      <c r="H95" s="7"/>
    </row>
    <row r="96" spans="1:8">
      <c r="D96" s="7"/>
      <c r="E96" s="7"/>
      <c r="F96" s="7"/>
      <c r="G96" s="7"/>
      <c r="H96" s="7"/>
    </row>
    <row r="97" spans="2:8">
      <c r="B97" s="39" t="s">
        <v>301</v>
      </c>
      <c r="D97" s="7"/>
      <c r="E97" s="7"/>
      <c r="F97" s="7"/>
      <c r="G97" s="7"/>
      <c r="H97" s="7"/>
    </row>
    <row r="98" spans="2:8">
      <c r="D98" s="7"/>
      <c r="E98" s="7"/>
      <c r="F98" s="7"/>
      <c r="G98" s="7"/>
      <c r="H98" s="7"/>
    </row>
    <row r="99" spans="2:8">
      <c r="D99" s="7"/>
      <c r="E99" s="7"/>
      <c r="F99" s="7"/>
      <c r="G99" s="7"/>
      <c r="H99" s="7"/>
    </row>
    <row r="100" spans="2:8">
      <c r="D100" s="7"/>
      <c r="E100" s="7"/>
      <c r="F100" s="7"/>
      <c r="G100" s="7"/>
      <c r="H100" s="7"/>
    </row>
    <row r="101" spans="2:8">
      <c r="D101" s="7"/>
      <c r="E101" s="7"/>
      <c r="F101" s="7"/>
      <c r="G101" s="7"/>
      <c r="H101" s="7"/>
    </row>
    <row r="102" spans="2:8">
      <c r="D102" s="7"/>
      <c r="E102" s="7"/>
      <c r="F102" s="7"/>
      <c r="G102" s="7"/>
      <c r="H102" s="7"/>
    </row>
    <row r="103" spans="2:8">
      <c r="D103" s="7"/>
      <c r="E103" s="7"/>
      <c r="F103" s="7"/>
      <c r="G103" s="7"/>
      <c r="H103" s="7"/>
    </row>
    <row r="104" spans="2:8">
      <c r="D104" s="7"/>
      <c r="E104" s="7"/>
      <c r="F104" s="7"/>
      <c r="G104" s="7"/>
      <c r="H104" s="7"/>
    </row>
    <row r="105" spans="2:8">
      <c r="D105" s="7"/>
      <c r="E105" s="7"/>
      <c r="F105" s="7"/>
      <c r="G105" s="7"/>
      <c r="H105" s="7"/>
    </row>
    <row r="106" spans="2:8">
      <c r="D106" s="7"/>
      <c r="E106" s="7"/>
      <c r="F106" s="7"/>
      <c r="G106" s="7"/>
      <c r="H106" s="7"/>
    </row>
    <row r="107" spans="2:8">
      <c r="D107" s="7"/>
      <c r="E107" s="7"/>
      <c r="F107" s="7"/>
      <c r="G107" s="7"/>
      <c r="H107" s="7"/>
    </row>
    <row r="108" spans="2:8">
      <c r="D108" s="7"/>
      <c r="E108" s="7"/>
      <c r="F108" s="7"/>
      <c r="G108" s="7"/>
      <c r="H108" s="7"/>
    </row>
    <row r="109" spans="2:8">
      <c r="D109" s="7"/>
      <c r="E109" s="7"/>
      <c r="F109" s="7"/>
      <c r="G109" s="7"/>
      <c r="H109" s="7"/>
    </row>
    <row r="110" spans="2:8">
      <c r="D110" s="7"/>
      <c r="E110" s="7"/>
      <c r="F110" s="7"/>
      <c r="G110" s="7"/>
      <c r="H110" s="7"/>
    </row>
    <row r="111" spans="2:8">
      <c r="D111" s="7"/>
      <c r="E111" s="7"/>
      <c r="F111" s="7"/>
      <c r="G111" s="7"/>
      <c r="H111" s="7"/>
    </row>
    <row r="112" spans="2:8">
      <c r="D112" s="7"/>
      <c r="E112" s="7"/>
      <c r="F112" s="7"/>
      <c r="G112" s="7"/>
      <c r="H112" s="7"/>
    </row>
    <row r="113" spans="2:8">
      <c r="D113" s="7"/>
      <c r="E113" s="7"/>
      <c r="F113" s="7"/>
      <c r="G113" s="7"/>
      <c r="H113" s="7"/>
    </row>
    <row r="114" spans="2:8">
      <c r="D114" s="7"/>
      <c r="E114" s="7"/>
      <c r="F114" s="7"/>
      <c r="G114" s="7"/>
      <c r="H114" s="7"/>
    </row>
    <row r="115" spans="2:8">
      <c r="D115" s="7"/>
      <c r="E115" s="7"/>
      <c r="F115" s="7"/>
      <c r="G115" s="7"/>
      <c r="H115" s="7"/>
    </row>
    <row r="116" spans="2:8">
      <c r="D116" s="7"/>
      <c r="E116" s="7"/>
      <c r="F116" s="7"/>
      <c r="G116" s="7"/>
      <c r="H116" s="7"/>
    </row>
    <row r="117" spans="2:8">
      <c r="D117" s="7"/>
      <c r="E117" s="7"/>
      <c r="F117" s="7"/>
      <c r="G117" s="7"/>
      <c r="H117" s="7"/>
    </row>
    <row r="118" spans="2:8">
      <c r="B118" s="39" t="s">
        <v>302</v>
      </c>
      <c r="D118" s="7"/>
      <c r="E118" s="7"/>
      <c r="F118" s="7"/>
      <c r="G118" s="7"/>
      <c r="H118" s="7"/>
    </row>
    <row r="119" spans="2:8">
      <c r="D119" s="7"/>
      <c r="E119" s="7"/>
      <c r="F119" s="7"/>
      <c r="G119" s="7"/>
      <c r="H119" s="7"/>
    </row>
    <row r="120" spans="2:8">
      <c r="D120" s="7"/>
      <c r="E120" s="7"/>
      <c r="F120" s="7"/>
      <c r="G120" s="7"/>
      <c r="H120" s="7"/>
    </row>
    <row r="121" spans="2:8">
      <c r="D121" s="7"/>
      <c r="E121" s="7"/>
      <c r="F121" s="7"/>
      <c r="G121" s="7"/>
      <c r="H121" s="7"/>
    </row>
    <row r="122" spans="2:8">
      <c r="D122" s="7"/>
      <c r="E122" s="7"/>
      <c r="F122" s="7"/>
      <c r="G122" s="7"/>
      <c r="H122" s="7"/>
    </row>
    <row r="123" spans="2:8">
      <c r="D123" s="7"/>
      <c r="E123" s="7"/>
      <c r="F123" s="7"/>
      <c r="G123" s="7"/>
      <c r="H123" s="7"/>
    </row>
    <row r="124" spans="2:8">
      <c r="D124" s="7"/>
      <c r="E124" s="7"/>
      <c r="F124" s="7"/>
      <c r="G124" s="7"/>
      <c r="H124" s="7"/>
    </row>
    <row r="125" spans="2:8">
      <c r="D125" s="7"/>
      <c r="E125" s="7"/>
      <c r="F125" s="7"/>
      <c r="G125" s="7"/>
      <c r="H125" s="7"/>
    </row>
    <row r="126" spans="2:8">
      <c r="D126" s="7"/>
      <c r="E126" s="7"/>
      <c r="F126" s="7"/>
      <c r="G126" s="7"/>
      <c r="H126" s="7"/>
    </row>
    <row r="127" spans="2:8">
      <c r="D127" s="7"/>
      <c r="E127" s="7"/>
      <c r="F127" s="7"/>
      <c r="G127" s="7"/>
      <c r="H127" s="7"/>
    </row>
    <row r="128" spans="2:8">
      <c r="D128" s="7"/>
      <c r="E128" s="7"/>
      <c r="F128" s="7"/>
      <c r="G128" s="7"/>
      <c r="H128" s="7"/>
    </row>
    <row r="129" spans="2:8">
      <c r="D129" s="7"/>
      <c r="E129" s="7"/>
      <c r="F129" s="7"/>
      <c r="G129" s="7"/>
      <c r="H129" s="7"/>
    </row>
    <row r="130" spans="2:8">
      <c r="D130" s="7"/>
      <c r="E130" s="7"/>
      <c r="F130" s="7"/>
      <c r="G130" s="7"/>
      <c r="H130" s="7"/>
    </row>
    <row r="131" spans="2:8">
      <c r="D131" s="7"/>
      <c r="E131" s="7"/>
      <c r="F131" s="7"/>
      <c r="G131" s="7"/>
      <c r="H131" s="7"/>
    </row>
    <row r="132" spans="2:8">
      <c r="D132" s="7"/>
      <c r="E132" s="7"/>
      <c r="F132" s="7"/>
      <c r="G132" s="7"/>
      <c r="H132" s="7"/>
    </row>
    <row r="133" spans="2:8">
      <c r="D133" s="7"/>
      <c r="E133" s="7"/>
      <c r="F133" s="7"/>
      <c r="G133" s="7"/>
      <c r="H133" s="7"/>
    </row>
    <row r="134" spans="2:8">
      <c r="D134" s="7"/>
      <c r="E134" s="7"/>
      <c r="F134" s="7"/>
      <c r="G134" s="7"/>
      <c r="H134" s="7"/>
    </row>
    <row r="135" spans="2:8">
      <c r="D135" s="7"/>
      <c r="E135" s="7"/>
      <c r="F135" s="7"/>
      <c r="G135" s="7"/>
      <c r="H135" s="7"/>
    </row>
    <row r="136" spans="2:8">
      <c r="D136" s="7"/>
      <c r="E136" s="7"/>
      <c r="F136" s="7"/>
      <c r="G136" s="7"/>
      <c r="H136" s="7"/>
    </row>
    <row r="137" spans="2:8">
      <c r="D137" s="7"/>
      <c r="E137" s="7"/>
      <c r="F137" s="7"/>
      <c r="G137" s="7"/>
      <c r="H137" s="7"/>
    </row>
    <row r="138" spans="2:8">
      <c r="D138" s="7"/>
      <c r="E138" s="7"/>
      <c r="F138" s="7"/>
      <c r="G138" s="7"/>
      <c r="H138" s="7"/>
    </row>
    <row r="139" spans="2:8">
      <c r="B139" s="39" t="s">
        <v>158</v>
      </c>
      <c r="D139" s="7"/>
      <c r="E139" s="7"/>
      <c r="F139" s="7"/>
      <c r="G139" s="7"/>
      <c r="H139" s="7"/>
    </row>
    <row r="140" spans="2:8">
      <c r="D140" s="7"/>
      <c r="E140" s="7"/>
      <c r="F140" s="7"/>
      <c r="G140" s="7"/>
      <c r="H140" s="7"/>
    </row>
    <row r="141" spans="2:8">
      <c r="D141" s="7"/>
      <c r="E141" s="7"/>
      <c r="F141" s="7"/>
      <c r="G141" s="7"/>
      <c r="H141" s="7"/>
    </row>
    <row r="142" spans="2:8">
      <c r="D142" s="7"/>
      <c r="E142" s="7"/>
      <c r="F142" s="7"/>
      <c r="G142" s="7"/>
      <c r="H142" s="7"/>
    </row>
    <row r="143" spans="2:8">
      <c r="D143" s="7"/>
      <c r="E143" s="7"/>
      <c r="F143" s="7"/>
      <c r="G143" s="7"/>
      <c r="H143" s="7"/>
    </row>
    <row r="144" spans="2:8">
      <c r="D144" s="7"/>
      <c r="E144" s="7"/>
      <c r="F144" s="7"/>
      <c r="G144" s="7"/>
      <c r="H144" s="7"/>
    </row>
    <row r="145" spans="2:8">
      <c r="D145" s="7"/>
      <c r="E145" s="7"/>
      <c r="F145" s="7"/>
      <c r="G145" s="7"/>
      <c r="H145" s="7"/>
    </row>
    <row r="146" spans="2:8">
      <c r="D146" s="7"/>
      <c r="E146" s="7"/>
      <c r="F146" s="7"/>
      <c r="G146" s="7"/>
      <c r="H146" s="7"/>
    </row>
    <row r="147" spans="2:8">
      <c r="D147" s="7"/>
      <c r="E147" s="7"/>
      <c r="F147" s="7"/>
      <c r="G147" s="7"/>
      <c r="H147" s="7"/>
    </row>
    <row r="148" spans="2:8">
      <c r="D148" s="7"/>
      <c r="E148" s="7"/>
      <c r="F148" s="7"/>
      <c r="G148" s="7"/>
      <c r="H148" s="7"/>
    </row>
    <row r="149" spans="2:8">
      <c r="D149" s="7"/>
      <c r="E149" s="7"/>
      <c r="F149" s="7"/>
      <c r="G149" s="7"/>
      <c r="H149" s="7"/>
    </row>
    <row r="150" spans="2:8">
      <c r="D150" s="7"/>
      <c r="E150" s="7"/>
      <c r="F150" s="7"/>
      <c r="G150" s="7"/>
      <c r="H150" s="7"/>
    </row>
    <row r="151" spans="2:8">
      <c r="D151" s="7"/>
      <c r="E151" s="7"/>
      <c r="F151" s="7"/>
      <c r="G151" s="7"/>
      <c r="H151" s="7"/>
    </row>
    <row r="152" spans="2:8">
      <c r="D152" s="7"/>
      <c r="E152" s="7"/>
      <c r="F152" s="7"/>
      <c r="G152" s="7"/>
      <c r="H152" s="7"/>
    </row>
    <row r="153" spans="2:8">
      <c r="D153" s="7"/>
      <c r="E153" s="7"/>
      <c r="F153" s="7"/>
      <c r="G153" s="7"/>
      <c r="H153" s="7"/>
    </row>
    <row r="154" spans="2:8">
      <c r="D154" s="7"/>
      <c r="E154" s="7"/>
      <c r="F154" s="7"/>
      <c r="G154" s="7"/>
      <c r="H154" s="7"/>
    </row>
    <row r="155" spans="2:8">
      <c r="D155" s="7"/>
      <c r="E155" s="7"/>
      <c r="F155" s="7"/>
      <c r="G155" s="7"/>
      <c r="H155" s="7"/>
    </row>
    <row r="156" spans="2:8">
      <c r="D156" s="7"/>
      <c r="E156" s="7"/>
      <c r="F156" s="7"/>
      <c r="G156" s="7"/>
      <c r="H156" s="7"/>
    </row>
    <row r="157" spans="2:8">
      <c r="D157" s="7"/>
      <c r="E157" s="7"/>
      <c r="F157" s="7"/>
      <c r="G157" s="7"/>
      <c r="H157" s="7"/>
    </row>
    <row r="158" spans="2:8">
      <c r="D158" s="7"/>
      <c r="E158" s="7"/>
      <c r="F158" s="7"/>
      <c r="G158" s="7"/>
      <c r="H158" s="7"/>
    </row>
    <row r="159" spans="2:8">
      <c r="D159" s="7"/>
      <c r="E159" s="7"/>
      <c r="F159" s="7"/>
      <c r="G159" s="7"/>
      <c r="H159" s="7"/>
    </row>
    <row r="160" spans="2:8">
      <c r="B160" s="39" t="s">
        <v>167</v>
      </c>
      <c r="D160" s="7"/>
      <c r="E160" s="7"/>
      <c r="F160" s="7"/>
      <c r="G160" s="7"/>
      <c r="H160" s="7"/>
    </row>
    <row r="161" spans="4:8">
      <c r="D161" s="7"/>
      <c r="E161" s="7"/>
      <c r="F161" s="7"/>
      <c r="G161" s="7"/>
      <c r="H161" s="7"/>
    </row>
    <row r="162" spans="4:8">
      <c r="D162" s="7"/>
      <c r="E162" s="7"/>
      <c r="F162" s="7"/>
      <c r="G162" s="7"/>
      <c r="H162" s="7"/>
    </row>
    <row r="163" spans="4:8">
      <c r="D163" s="7"/>
      <c r="E163" s="7"/>
      <c r="F163" s="7"/>
      <c r="G163" s="7"/>
      <c r="H163" s="7"/>
    </row>
    <row r="164" spans="4:8">
      <c r="D164" s="7"/>
      <c r="E164" s="7"/>
      <c r="F164" s="7"/>
      <c r="G164" s="7"/>
      <c r="H164" s="7"/>
    </row>
    <row r="165" spans="4:8">
      <c r="D165" s="7"/>
      <c r="E165" s="7"/>
      <c r="F165" s="7"/>
      <c r="G165" s="7"/>
      <c r="H165" s="7"/>
    </row>
    <row r="166" spans="4:8">
      <c r="D166" s="7"/>
      <c r="E166" s="7"/>
      <c r="F166" s="7"/>
      <c r="G166" s="7"/>
      <c r="H166" s="7"/>
    </row>
    <row r="167" spans="4:8">
      <c r="D167" s="7"/>
      <c r="E167" s="7"/>
      <c r="F167" s="7"/>
      <c r="G167" s="7"/>
      <c r="H167" s="7"/>
    </row>
    <row r="168" spans="4:8">
      <c r="D168" s="7"/>
      <c r="E168" s="7"/>
      <c r="F168" s="7"/>
      <c r="G168" s="7"/>
      <c r="H168" s="7"/>
    </row>
    <row r="169" spans="4:8">
      <c r="D169" s="7"/>
      <c r="E169" s="7"/>
      <c r="F169" s="7"/>
      <c r="G169" s="7"/>
      <c r="H169" s="7"/>
    </row>
    <row r="170" spans="4:8">
      <c r="D170" s="7"/>
      <c r="E170" s="7"/>
      <c r="F170" s="7"/>
      <c r="G170" s="7"/>
      <c r="H170" s="7"/>
    </row>
    <row r="171" spans="4:8">
      <c r="D171" s="7"/>
      <c r="E171" s="7"/>
      <c r="F171" s="7"/>
      <c r="G171" s="7"/>
      <c r="H171" s="7"/>
    </row>
    <row r="172" spans="4:8">
      <c r="D172" s="7"/>
      <c r="E172" s="7"/>
      <c r="F172" s="7"/>
      <c r="G172" s="7"/>
      <c r="H172" s="7"/>
    </row>
    <row r="173" spans="4:8">
      <c r="D173" s="7"/>
      <c r="E173" s="7"/>
      <c r="F173" s="7"/>
      <c r="G173" s="7"/>
      <c r="H173" s="7"/>
    </row>
    <row r="174" spans="4:8">
      <c r="D174" s="7"/>
      <c r="E174" s="7"/>
      <c r="F174" s="7"/>
      <c r="G174" s="7"/>
      <c r="H174" s="7"/>
    </row>
    <row r="175" spans="4:8">
      <c r="D175" s="7"/>
      <c r="E175" s="7"/>
      <c r="F175" s="7"/>
      <c r="G175" s="7"/>
      <c r="H175" s="7"/>
    </row>
    <row r="176" spans="4:8">
      <c r="D176" s="7"/>
      <c r="E176" s="7"/>
      <c r="F176" s="7"/>
      <c r="G176" s="7"/>
      <c r="H176" s="7"/>
    </row>
    <row r="177" spans="2:8">
      <c r="D177" s="7"/>
      <c r="E177" s="7"/>
      <c r="F177" s="7"/>
      <c r="G177" s="7"/>
      <c r="H177" s="7"/>
    </row>
    <row r="178" spans="2:8">
      <c r="D178" s="7"/>
      <c r="E178" s="7"/>
      <c r="F178" s="7"/>
      <c r="G178" s="7"/>
      <c r="H178" s="7"/>
    </row>
    <row r="179" spans="2:8">
      <c r="D179" s="7"/>
      <c r="E179" s="7"/>
      <c r="F179" s="7"/>
      <c r="G179" s="7"/>
      <c r="H179" s="7"/>
    </row>
    <row r="180" spans="2:8">
      <c r="D180" s="7"/>
      <c r="E180" s="7"/>
      <c r="F180" s="7"/>
      <c r="G180" s="7"/>
      <c r="H180" s="7"/>
    </row>
    <row r="181" spans="2:8">
      <c r="B181" s="39" t="s">
        <v>300</v>
      </c>
    </row>
    <row r="182" spans="2:8">
      <c r="E182" s="31"/>
    </row>
    <row r="202" spans="2:2">
      <c r="B202" s="39" t="s">
        <v>266</v>
      </c>
    </row>
    <row r="221" spans="2:2">
      <c r="B221" s="39" t="s">
        <v>207</v>
      </c>
    </row>
  </sheetData>
  <mergeCells count="1">
    <mergeCell ref="A1:B1"/>
  </mergeCells>
  <conditionalFormatting sqref="D3">
    <cfRule type="cellIs" dxfId="34" priority="28" operator="greaterThan">
      <formula>$C3</formula>
    </cfRule>
  </conditionalFormatting>
  <conditionalFormatting sqref="D12">
    <cfRule type="cellIs" dxfId="33" priority="26" operator="lessThan">
      <formula>$C12</formula>
    </cfRule>
  </conditionalFormatting>
  <conditionalFormatting sqref="D15:H15">
    <cfRule type="cellIs" dxfId="32" priority="24" operator="greaterThan">
      <formula>$C$15</formula>
    </cfRule>
  </conditionalFormatting>
  <conditionalFormatting sqref="E3:H3">
    <cfRule type="cellIs" dxfId="31" priority="20" operator="greaterThan">
      <formula>$C3</formula>
    </cfRule>
  </conditionalFormatting>
  <conditionalFormatting sqref="D51:H51">
    <cfRule type="cellIs" dxfId="30" priority="19" operator="greaterThan">
      <formula>$C51</formula>
    </cfRule>
  </conditionalFormatting>
  <conditionalFormatting sqref="D62:H63">
    <cfRule type="cellIs" dxfId="29" priority="18" operator="greaterThan">
      <formula>$C62</formula>
    </cfRule>
  </conditionalFormatting>
  <conditionalFormatting sqref="D65:H65">
    <cfRule type="cellIs" dxfId="28" priority="17" operator="greaterThan">
      <formula>$C65</formula>
    </cfRule>
  </conditionalFormatting>
  <conditionalFormatting sqref="E12:H12">
    <cfRule type="cellIs" dxfId="27" priority="16" operator="lessThan">
      <formula>$C12</formula>
    </cfRule>
  </conditionalFormatting>
  <conditionalFormatting sqref="D77:G78">
    <cfRule type="cellIs" dxfId="26" priority="15" operator="lessThan">
      <formula>$C77</formula>
    </cfRule>
  </conditionalFormatting>
  <conditionalFormatting sqref="E77:H78">
    <cfRule type="cellIs" dxfId="25" priority="14" operator="lessThan">
      <formula>$C77</formula>
    </cfRule>
  </conditionalFormatting>
  <conditionalFormatting sqref="D66">
    <cfRule type="expression" dxfId="24" priority="5">
      <formula>D$66+D$67&gt;=$C$67</formula>
    </cfRule>
  </conditionalFormatting>
  <conditionalFormatting sqref="E66:H66">
    <cfRule type="expression" dxfId="23" priority="4">
      <formula>E$66+E$67&gt;=$C$67</formula>
    </cfRule>
  </conditionalFormatting>
  <conditionalFormatting sqref="D67">
    <cfRule type="expression" dxfId="22" priority="3">
      <formula>D$66+D$67&gt;=$C$67</formula>
    </cfRule>
  </conditionalFormatting>
  <conditionalFormatting sqref="E67:H67">
    <cfRule type="expression" dxfId="21" priority="2">
      <formula>E$66+E$67&gt;=$C$67</formula>
    </cfRule>
  </conditionalFormatting>
  <conditionalFormatting sqref="C63">
    <cfRule type="cellIs" dxfId="20" priority="1" operator="greaterThan">
      <formula>$C63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2022-01-23T20:04:26Z</dcterms:modified>
</cp:coreProperties>
</file>