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6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N55" i="2"/>
  <c r="O54" i="2"/>
  <c r="N54" i="2"/>
  <c r="O53" i="2"/>
  <c r="N53" i="2"/>
  <c r="O52" i="2"/>
  <c r="N52" i="2"/>
  <c r="O51" i="2"/>
  <c r="N51" i="2"/>
  <c r="O50" i="2"/>
  <c r="N50" i="2"/>
  <c r="O16" i="2"/>
  <c r="N16" i="2"/>
  <c r="Q16" i="2" s="1"/>
  <c r="O15" i="2"/>
  <c r="R15" i="2" s="1"/>
  <c r="N15" i="2"/>
  <c r="N20" i="2" s="1"/>
  <c r="O14" i="2"/>
  <c r="N14" i="2"/>
  <c r="R60" i="2"/>
  <c r="Q60" i="2"/>
  <c r="R59" i="2"/>
  <c r="R58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10" i="8" l="1"/>
  <c r="E27" i="8"/>
  <c r="E20" i="8"/>
  <c r="E30" i="8"/>
  <c r="E31" i="8" s="1"/>
  <c r="E21" i="8"/>
  <c r="E5" i="7"/>
  <c r="E15" i="7"/>
  <c r="E11" i="7"/>
  <c r="E20" i="7"/>
  <c r="E21" i="7" s="1"/>
  <c r="E16" i="7"/>
  <c r="N21" i="2"/>
  <c r="Q21" i="2" s="1"/>
  <c r="Q20" i="2"/>
  <c r="O20" i="2"/>
  <c r="Q15" i="2"/>
  <c r="O21" i="2" l="1"/>
  <c r="R21" i="2" s="1"/>
  <c r="R20" i="2"/>
  <c r="K55" i="2" l="1"/>
  <c r="M55" i="2" s="1"/>
  <c r="M54" i="2"/>
  <c r="L54" i="2"/>
  <c r="K54" i="2"/>
  <c r="L53" i="2"/>
  <c r="K53" i="2"/>
  <c r="M53" i="2" s="1"/>
  <c r="L52" i="2"/>
  <c r="K52" i="2"/>
  <c r="M52" i="2" s="1"/>
  <c r="M51" i="2"/>
  <c r="L51" i="2"/>
  <c r="K51" i="2"/>
  <c r="L50" i="2"/>
  <c r="L56" i="2" s="1"/>
  <c r="L57" i="2" s="1"/>
  <c r="K50" i="2"/>
  <c r="M50" i="2" s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M16" i="2"/>
  <c r="L16" i="2"/>
  <c r="K16" i="2"/>
  <c r="L15" i="2"/>
  <c r="L60" i="2" s="1"/>
  <c r="K15" i="2"/>
  <c r="K60" i="2" s="1"/>
  <c r="L14" i="2"/>
  <c r="L59" i="2" s="1"/>
  <c r="K14" i="2"/>
  <c r="K59" i="2" s="1"/>
  <c r="M13" i="2"/>
  <c r="M12" i="2"/>
  <c r="M11" i="2"/>
  <c r="M10" i="2"/>
  <c r="M9" i="2"/>
  <c r="M8" i="2"/>
  <c r="M7" i="2"/>
  <c r="M6" i="2"/>
  <c r="M5" i="2"/>
  <c r="M4" i="2"/>
  <c r="M3" i="2"/>
  <c r="F25" i="5"/>
  <c r="F28" i="5"/>
  <c r="F27" i="5"/>
  <c r="F15" i="5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E14" i="10"/>
  <c r="E12" i="10"/>
  <c r="E11" i="10"/>
  <c r="E10" i="10"/>
  <c r="E9" i="10"/>
  <c r="E13" i="10" s="1"/>
  <c r="E15" i="10" s="1"/>
  <c r="E8" i="10"/>
  <c r="E7" i="10"/>
  <c r="E6" i="10"/>
  <c r="E5" i="10"/>
  <c r="E4" i="10"/>
  <c r="E3" i="10"/>
  <c r="E2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1" i="6"/>
  <c r="F10" i="6"/>
  <c r="F52" i="1"/>
  <c r="F24" i="1"/>
  <c r="F20" i="1"/>
  <c r="F14" i="1"/>
  <c r="F7" i="1"/>
  <c r="F22" i="1" s="1"/>
  <c r="F3" i="13"/>
  <c r="C2" i="13"/>
  <c r="M14" i="2" l="1"/>
  <c r="K20" i="2"/>
  <c r="K56" i="2"/>
  <c r="M15" i="2"/>
  <c r="L20" i="2"/>
  <c r="L21" i="2" s="1"/>
  <c r="L58" i="2" s="1"/>
  <c r="F29" i="5"/>
  <c r="F28" i="6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K57" i="2" l="1"/>
  <c r="M57" i="2" s="1"/>
  <c r="M56" i="2"/>
  <c r="K21" i="2"/>
  <c r="M20" i="2"/>
  <c r="D27" i="8"/>
  <c r="D10" i="8"/>
  <c r="D15" i="8"/>
  <c r="D20" i="8"/>
  <c r="D5" i="7"/>
  <c r="D11" i="7"/>
  <c r="D15" i="7"/>
  <c r="D21" i="8" l="1"/>
  <c r="M21" i="2"/>
  <c r="K58" i="2"/>
  <c r="D16" i="7"/>
  <c r="D20" i="7"/>
  <c r="H55" i="2"/>
  <c r="I54" i="2"/>
  <c r="H54" i="2"/>
  <c r="I53" i="2"/>
  <c r="H53" i="2"/>
  <c r="I52" i="2"/>
  <c r="H52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G15" i="5"/>
  <c r="D29" i="8" l="1"/>
  <c r="I59" i="2"/>
  <c r="D4" i="9"/>
  <c r="I56" i="2"/>
  <c r="J54" i="2"/>
  <c r="D28" i="8"/>
  <c r="H59" i="2"/>
  <c r="D5" i="9"/>
  <c r="J52" i="2"/>
  <c r="J16" i="2"/>
  <c r="J51" i="2"/>
  <c r="J55" i="2"/>
  <c r="H60" i="2"/>
  <c r="J53" i="2"/>
  <c r="D21" i="7"/>
  <c r="J15" i="2"/>
  <c r="H56" i="2"/>
  <c r="J56" i="2" s="1"/>
  <c r="I60" i="2"/>
  <c r="J14" i="2"/>
  <c r="I20" i="2"/>
  <c r="J50" i="2"/>
  <c r="H20" i="2"/>
  <c r="G28" i="5"/>
  <c r="G27" i="5"/>
  <c r="F14" i="10"/>
  <c r="F12" i="10"/>
  <c r="F11" i="10"/>
  <c r="F10" i="10"/>
  <c r="F8" i="10"/>
  <c r="F7" i="10"/>
  <c r="F6" i="10"/>
  <c r="F4" i="10"/>
  <c r="F3" i="10"/>
  <c r="G21" i="6"/>
  <c r="G10" i="6"/>
  <c r="F5" i="10" l="1"/>
  <c r="H21" i="6"/>
  <c r="F2" i="10"/>
  <c r="H10" i="6"/>
  <c r="I57" i="2"/>
  <c r="I21" i="2"/>
  <c r="D3" i="9"/>
  <c r="D2" i="9"/>
  <c r="D30" i="8"/>
  <c r="H57" i="2"/>
  <c r="J20" i="2"/>
  <c r="H21" i="2"/>
  <c r="G29" i="5"/>
  <c r="G28" i="6"/>
  <c r="H28" i="6" s="1"/>
  <c r="F9" i="10" l="1"/>
  <c r="F13" i="10" s="1"/>
  <c r="I58" i="2"/>
  <c r="J57" i="2"/>
  <c r="D31" i="8"/>
  <c r="J21" i="2"/>
  <c r="H58" i="2"/>
  <c r="F15" i="10" l="1"/>
  <c r="D6" i="9"/>
  <c r="G52" i="1"/>
  <c r="G24" i="1"/>
  <c r="G20" i="1"/>
  <c r="G14" i="1"/>
  <c r="G7" i="1"/>
  <c r="F4" i="13"/>
  <c r="C3" i="13"/>
  <c r="E52" i="1"/>
  <c r="D52" i="1"/>
  <c r="C52" i="1"/>
  <c r="B52" i="1"/>
  <c r="E24" i="1"/>
  <c r="D24" i="1"/>
  <c r="C24" i="1"/>
  <c r="B24" i="1"/>
  <c r="F8" i="13"/>
  <c r="F7" i="13"/>
  <c r="C7" i="13"/>
  <c r="F6" i="13"/>
  <c r="C6" i="13"/>
  <c r="F5" i="13"/>
  <c r="C5" i="13"/>
  <c r="C4" i="13"/>
  <c r="B27" i="5"/>
  <c r="E27" i="5"/>
  <c r="B55" i="2"/>
  <c r="C54" i="2"/>
  <c r="B54" i="2"/>
  <c r="B53" i="2"/>
  <c r="C52" i="2"/>
  <c r="B52" i="2"/>
  <c r="C51" i="2"/>
  <c r="B51" i="2"/>
  <c r="C50" i="2"/>
  <c r="B50" i="2"/>
  <c r="C16" i="2"/>
  <c r="B16" i="2"/>
  <c r="C14" i="2"/>
  <c r="B14" i="2"/>
  <c r="C10" i="2"/>
  <c r="B10" i="2"/>
  <c r="C9" i="2"/>
  <c r="B9" i="2"/>
  <c r="C7" i="2"/>
  <c r="B7" i="2"/>
  <c r="B15" i="2" l="1"/>
  <c r="B20" i="2" s="1"/>
  <c r="B21" i="2" s="1"/>
  <c r="C15" i="2"/>
  <c r="C20" i="2" s="1"/>
  <c r="C21" i="2" s="1"/>
  <c r="G22" i="1"/>
  <c r="E55" i="2"/>
  <c r="F54" i="2"/>
  <c r="E54" i="2"/>
  <c r="F53" i="2"/>
  <c r="E53" i="2"/>
  <c r="F52" i="2"/>
  <c r="E52" i="2"/>
  <c r="F51" i="2"/>
  <c r="E51" i="2"/>
  <c r="F50" i="2"/>
  <c r="E50" i="2"/>
  <c r="F16" i="2"/>
  <c r="E16" i="2"/>
  <c r="F15" i="2"/>
  <c r="E15" i="2"/>
  <c r="F14" i="2"/>
  <c r="E14" i="2"/>
  <c r="C25" i="5"/>
  <c r="C27" i="5" s="1"/>
  <c r="D25" i="5"/>
  <c r="D27" i="5" s="1"/>
  <c r="E20" i="2" l="1"/>
  <c r="E21" i="2" s="1"/>
  <c r="F20" i="2"/>
  <c r="F21" i="2" s="1"/>
  <c r="B15" i="5"/>
  <c r="C15" i="5"/>
  <c r="D15" i="5"/>
  <c r="E15" i="5"/>
  <c r="D7" i="1" l="1"/>
  <c r="C28" i="5"/>
  <c r="B7" i="1"/>
  <c r="C7" i="1"/>
  <c r="E7" i="1"/>
  <c r="C10" i="6"/>
  <c r="C21" i="6"/>
  <c r="F56" i="2"/>
  <c r="F57" i="2" s="1"/>
  <c r="E56" i="2"/>
  <c r="E57" i="2" s="1"/>
  <c r="C28" i="6" l="1"/>
  <c r="B14" i="1" l="1"/>
  <c r="B20" i="1"/>
  <c r="B22" i="1" l="1"/>
  <c r="D21" i="6" l="1"/>
  <c r="E21" i="6"/>
  <c r="E10" i="6"/>
  <c r="D10" i="6"/>
  <c r="B28" i="5" l="1"/>
  <c r="D20" i="1"/>
  <c r="C20" i="1"/>
  <c r="E20" i="1"/>
  <c r="C14" i="1"/>
  <c r="D14" i="1"/>
  <c r="E14" i="1"/>
  <c r="E28" i="5" l="1"/>
  <c r="D28" i="5"/>
  <c r="D28" i="6"/>
  <c r="E28" i="6"/>
  <c r="E29" i="5" l="1"/>
  <c r="C22" i="1"/>
  <c r="D22" i="1"/>
  <c r="E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C4" i="9" l="1"/>
  <c r="B4" i="9"/>
  <c r="C5" i="9"/>
  <c r="B5" i="9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9" i="8" l="1"/>
  <c r="J19" i="8"/>
  <c r="J5" i="8"/>
  <c r="J17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J21" i="8"/>
  <c r="G16" i="7"/>
  <c r="J16" i="7"/>
  <c r="G21" i="7"/>
  <c r="G3" i="7"/>
  <c r="G7" i="7"/>
  <c r="G2" i="7"/>
  <c r="G8" i="7"/>
  <c r="G17" i="7"/>
  <c r="G18" i="7"/>
  <c r="G13" i="7"/>
  <c r="G10" i="7"/>
  <c r="G6" i="7"/>
  <c r="G14" i="7"/>
  <c r="G12" i="7"/>
  <c r="G9" i="7"/>
  <c r="G4" i="7"/>
  <c r="G15" i="7"/>
  <c r="G5" i="7"/>
  <c r="J20" i="7"/>
  <c r="J21" i="7"/>
  <c r="I28" i="8"/>
  <c r="I30" i="8" s="1"/>
  <c r="I31" i="8" s="1"/>
  <c r="G11" i="7" l="1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F58" i="2"/>
  <c r="E58" i="2"/>
  <c r="C6" i="9" s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H5" i="9"/>
  <c r="H4" i="9" l="1"/>
  <c r="F4" i="9"/>
  <c r="P55" i="2"/>
  <c r="F29" i="8"/>
  <c r="F5" i="9"/>
  <c r="J28" i="8"/>
  <c r="P51" i="2"/>
  <c r="P54" i="2"/>
  <c r="P53" i="2"/>
  <c r="P52" i="2"/>
  <c r="P50" i="2"/>
  <c r="P16" i="2"/>
  <c r="P14" i="2"/>
  <c r="P15" i="2"/>
  <c r="O56" i="2"/>
  <c r="R56" i="2" s="1"/>
  <c r="O60" i="2"/>
  <c r="H3" i="9" s="1"/>
  <c r="N60" i="2"/>
  <c r="F3" i="9" s="1"/>
  <c r="N56" i="2"/>
  <c r="Q56" i="2" s="1"/>
  <c r="O59" i="2"/>
  <c r="H2" i="9" s="1"/>
  <c r="N59" i="2"/>
  <c r="Q59" i="2" s="1"/>
  <c r="F30" i="8" l="1"/>
  <c r="O57" i="2"/>
  <c r="R57" i="2" s="1"/>
  <c r="F2" i="9"/>
  <c r="F31" i="8"/>
  <c r="J30" i="8"/>
  <c r="J29" i="8"/>
  <c r="P21" i="2"/>
  <c r="P20" i="2"/>
  <c r="N57" i="2"/>
  <c r="Q57" i="2" s="1"/>
  <c r="P56" i="2"/>
  <c r="O58" i="2"/>
  <c r="H6" i="9" s="1"/>
  <c r="G12" i="2"/>
  <c r="D55" i="2"/>
  <c r="D54" i="2"/>
  <c r="G21" i="8" l="1"/>
  <c r="P57" i="2"/>
  <c r="G17" i="8"/>
  <c r="G13" i="8"/>
  <c r="G23" i="8"/>
  <c r="G18" i="8"/>
  <c r="G14" i="8"/>
  <c r="G31" i="8"/>
  <c r="G16" i="8"/>
  <c r="G12" i="8"/>
  <c r="G8" i="8"/>
  <c r="G9" i="8"/>
  <c r="G24" i="8"/>
  <c r="G26" i="8"/>
  <c r="G11" i="8"/>
  <c r="G3" i="8"/>
  <c r="G6" i="8"/>
  <c r="G5" i="8"/>
  <c r="G25" i="8"/>
  <c r="G22" i="8"/>
  <c r="G7" i="8"/>
  <c r="G2" i="8"/>
  <c r="G15" i="8"/>
  <c r="G4" i="8"/>
  <c r="G19" i="8"/>
  <c r="G20" i="8"/>
  <c r="G10" i="8"/>
  <c r="G27" i="8"/>
  <c r="J31" i="8"/>
  <c r="G28" i="8"/>
  <c r="N58" i="2"/>
  <c r="Q58" i="2" s="1"/>
  <c r="G14" i="2"/>
  <c r="G15" i="2"/>
  <c r="G50" i="2"/>
  <c r="G51" i="2"/>
  <c r="G52" i="2"/>
  <c r="G53" i="2"/>
  <c r="G54" i="2"/>
  <c r="G55" i="2"/>
  <c r="B59" i="2"/>
  <c r="B2" i="9" s="1"/>
  <c r="D14" i="2"/>
  <c r="D16" i="2"/>
  <c r="D12" i="2"/>
  <c r="B60" i="2"/>
  <c r="B3" i="9" s="1"/>
  <c r="D51" i="2"/>
  <c r="F59" i="2"/>
  <c r="C60" i="2"/>
  <c r="D53" i="2"/>
  <c r="D15" i="2"/>
  <c r="D50" i="2"/>
  <c r="D52" i="2"/>
  <c r="E60" i="2"/>
  <c r="C56" i="2"/>
  <c r="C57" i="2" s="1"/>
  <c r="E59" i="2"/>
  <c r="F60" i="2"/>
  <c r="C59" i="2"/>
  <c r="B56" i="2"/>
  <c r="F6" i="9" l="1"/>
  <c r="C2" i="9"/>
  <c r="C3" i="9"/>
  <c r="C58" i="2"/>
  <c r="G20" i="2"/>
  <c r="G56" i="2"/>
  <c r="G16" i="2"/>
  <c r="D21" i="2"/>
  <c r="D20" i="2"/>
  <c r="B57" i="2"/>
  <c r="D57" i="2" s="1"/>
  <c r="D56" i="2"/>
  <c r="G21" i="2" l="1"/>
  <c r="G57" i="2"/>
  <c r="B58" i="2"/>
  <c r="B6" i="9" s="1"/>
</calcChain>
</file>

<file path=xl/sharedStrings.xml><?xml version="1.0" encoding="utf-8"?>
<sst xmlns="http://schemas.openxmlformats.org/spreadsheetml/2006/main" count="472" uniqueCount="369">
  <si>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</si>
  <si>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</si>
  <si>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</si>
  <si>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</si>
  <si>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</si>
  <si>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</si>
  <si>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</si>
  <si>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</si>
  <si>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</si>
  <si>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</si>
  <si>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</si>
  <si>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</si>
  <si>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</si>
  <si>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</si>
  <si>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</si>
  <si>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</si>
  <si>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</si>
  <si>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</si>
  <si>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</si>
  <si>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</si>
  <si>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</si>
  <si>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</si>
  <si>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</si>
  <si>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</si>
  <si>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</si>
  <si>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</si>
  <si>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</si>
  <si>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</si>
  <si>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</si>
  <si>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</si>
  <si>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</si>
  <si>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</si>
  <si>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</si>
  <si>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</si>
  <si>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</si>
  <si>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</si>
  <si>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</si>
  <si>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</si>
  <si>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</si>
  <si>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</si>
  <si>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</si>
  <si>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</si>
  <si>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</si>
  <si>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</si>
  <si>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</si>
  <si>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</si>
  <si>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</si>
  <si>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</si>
  <si>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</si>
  <si>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</si>
  <si>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</si>
  <si>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</si>
  <si>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</si>
  <si>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</si>
  <si>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</si>
  <si>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</si>
  <si>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</si>
  <si>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</si>
  <si>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</si>
  <si>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</si>
  <si>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</si>
  <si>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</si>
  <si>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</si>
  <si>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</si>
  <si>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</si>
  <si>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</si>
  <si>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</si>
  <si>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</si>
  <si>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</si>
  <si>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</si>
  <si>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entrate/uscite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</si>
  <si>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</si>
  <si>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</si>
  <si>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</si>
  <si>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</si>
  <si>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</si>
  <si>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</si>
  <si>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</si>
  <si>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</si>
  <si>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</si>
  <si>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</si>
  <si>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</si>
  <si>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</si>
  <si>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</si>
  <si>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</si>
  <si>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</si>
  <si>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</si>
  <si>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</si>
  <si>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</si>
  <si>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</si>
  <si>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</si>
  <si>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</si>
  <si>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</si>
  <si>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</si>
  <si>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</si>
  <si>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</si>
  <si>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</si>
  <si>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</si>
  <si>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</si>
  <si>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</si>
  <si>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</si>
  <si>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</si>
  <si>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</si>
  <si>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</si>
  <si>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</si>
  <si>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</si>
  <si>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</si>
  <si>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</si>
  <si>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</si>
  <si>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</si>
  <si>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</si>
  <si>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</si>
  <si>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</si>
  <si>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</si>
  <si>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</si>
  <si>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</si>
  <si>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</si>
  <si>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</si>
  <si>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</si>
  <si>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</si>
  <si>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</si>
  <si>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</si>
  <si>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</si>
  <si>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</si>
  <si>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</si>
  <si>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</si>
  <si>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</si>
  <si>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</si>
  <si>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</si>
  <si>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</si>
  <si>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</si>
  <si>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</si>
  <si>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</si>
  <si>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</si>
  <si>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</si>
  <si>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</si>
  <si>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</si>
  <si>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</si>
  <si>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</si>
  <si>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</si>
  <si>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</si>
  <si>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</si>
  <si>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</si>
  <si>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</si>
  <si>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</si>
  <si>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</si>
  <si>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</si>
  <si>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</si>
  <si>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</si>
  <si>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</si>
  <si>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</si>
  <si>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</si>
  <si>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</si>
  <si>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</si>
  <si>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</si>
  <si>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</si>
  <si>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</si>
  <si>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</si>
  <si>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</si>
  <si>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</si>
  <si>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</si>
  <si>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</si>
  <si>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</si>
  <si>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</si>
  <si>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</si>
  <si>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</si>
  <si>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</si>
  <si>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</si>
  <si>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</si>
  <si>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</si>
  <si>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</si>
  <si>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</si>
  <si>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</si>
  <si>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</si>
  <si>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</si>
  <si>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</si>
  <si>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</si>
  <si>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</si>
  <si>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</si>
  <si>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</si>
  <si>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</si>
  <si>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</si>
  <si>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</si>
  <si>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</si>
  <si>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</si>
  <si>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</si>
  <si>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</si>
  <si>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</si>
  <si>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</si>
  <si>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</si>
  <si>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</si>
  <si>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</si>
  <si>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</si>
  <si>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</si>
  <si>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</si>
  <si>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</si>
  <si>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</si>
  <si>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</si>
  <si>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</si>
  <si>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</si>
  <si>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</si>
  <si>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</si>
  <si>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</si>
  <si>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</si>
  <si>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</si>
  <si>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</si>
  <si>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</si>
  <si>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</si>
  <si>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</si>
  <si>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</si>
  <si>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</si>
  <si>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</si>
  <si>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</si>
  <si>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</si>
  <si>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</si>
  <si>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</si>
  <si>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</si>
  <si>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</si>
  <si>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</si>
  <si>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</si>
  <si>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</si>
  <si>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</si>
  <si>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</si>
  <si>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</si>
  <si>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</si>
  <si>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</si>
  <si>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</si>
  <si>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</si>
  <si>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</si>
  <si>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</si>
  <si>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</si>
  <si>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</si>
  <si>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</si>
  <si>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</si>
  <si>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</si>
  <si>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</si>
  <si>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</si>
  <si>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</si>
  <si>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</si>
  <si>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</si>
  <si>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</si>
  <si>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</si>
  <si>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</si>
  <si>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</si>
  <si>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</si>
  <si>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</si>
  <si>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</si>
  <si>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</si>
  <si>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</si>
  <si>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</si>
  <si>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</si>
  <si>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</si>
  <si>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</si>
  <si>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</si>
  <si>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</si>
  <si>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</si>
  <si>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</si>
  <si>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</si>
  <si>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</si>
  <si>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</si>
  <si>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</si>
  <si>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</si>
  <si>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</si>
  <si>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</si>
  <si>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</si>
  <si>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</si>
  <si>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</si>
  <si>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</si>
  <si>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</si>
  <si>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</si>
  <si>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</si>
  <si>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</si>
  <si>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</si>
  <si>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</si>
  <si>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</si>
  <si>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</si>
  <si>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</si>
  <si>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</si>
  <si>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</si>
  <si>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</si>
  <si>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</si>
  <si>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</si>
  <si>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</si>
  <si>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</si>
  <si>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</si>
  <si>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</si>
  <si>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</si>
  <si>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</si>
  <si>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</si>
  <si>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</si>
  <si>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</si>
  <si>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</si>
  <si>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</si>
  <si>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</si>
  <si>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</si>
  <si>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</si>
  <si>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</si>
  <si>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</si>
  <si>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</si>
  <si>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</si>
  <si>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</si>
  <si>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</si>
  <si>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</si>
  <si>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</si>
  <si>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</si>
  <si>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</si>
  <si>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</si>
  <si>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</si>
  <si>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</si>
  <si>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</si>
  <si>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</si>
  <si>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</si>
  <si>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</si>
  <si>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</si>
  <si>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</si>
  <si>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</si>
  <si>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</si>
  <si>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</si>
  <si>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</si>
  <si>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</si>
  <si>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</si>
  <si>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</si>
  <si>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</si>
  <si>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</si>
  <si>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</si>
  <si>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</si>
  <si>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</si>
  <si>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</si>
  <si>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</si>
  <si>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</si>
  <si>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</si>
  <si>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</si>
  <si>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</si>
  <si>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</si>
  <si>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</si>
  <si>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</si>
  <si>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</si>
  <si>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</si>
  <si>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</si>
  <si>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</si>
  <si>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</si>
  <si>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</si>
  <si>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</si>
  <si>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</si>
  <si>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</si>
  <si>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</si>
  <si>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</si>
  <si>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</si>
  <si>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</si>
  <si>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</si>
  <si>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</si>
  <si>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</si>
  <si>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</si>
  <si>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</si>
  <si>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</si>
  <si>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</si>
  <si>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</si>
  <si>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</si>
  <si>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</si>
  <si>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</si>
  <si>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</si>
  <si>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</si>
  <si>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Anno</t>
  </si>
  <si>
    <t>Regione</t>
  </si>
  <si>
    <t>Popolazione al 1° gennaio</t>
  </si>
  <si>
    <t xml:space="preserve">     di cui da trasferimenti e contributi da amm.ni pubbliche</t>
  </si>
  <si>
    <t>Rapporto Fcde/Residui attivi (scala dx)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</si>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</sst>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9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164" fontId="0" fillId="0" borderId="0" xfId="0" applyNumberFormat="1" applyFill="1"/>
    <xf numFmtId="164" fontId="0" fillId="0" borderId="0" xfId="1" applyNumberFormat="1" applyFont="1" applyFill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0" xfId="0" applyFill="1" applyAlignment="1">
      <alignment horizontal="center"/>
    </xf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2" borderId="0" xfId="0" applyNumberFormat="1" applyFont="1" applyFill="1"/>
  </cellXfs>
  <cellStyles count="3">
    <cellStyle name="Migliaia" xfId="1" builtinId="3"/>
    <cellStyle name="Normal" xfId="2"/>
    <cellStyle name="Normale" xfId="0" builtinId="0"/>
  </cellStyles>
  <dxfs count="76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6542951005305"/>
          <c:y val="4.5423474048122928E-2"/>
          <c:w val="0.86501431508157001"/>
          <c:h val="0.77335923317955479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Risultato_amministrazione!$B$3:$G$3</c:f>
              <c:numCache>
                <c:formatCode>#,##0</c:formatCode>
                <c:ptCount val="6"/>
                <c:pt idx="0">
                  <c:v>1213662362.01</c:v>
                </c:pt>
                <c:pt idx="1">
                  <c:v>1213662269.5</c:v>
                </c:pt>
                <c:pt idx="2">
                  <c:v>1447874440.55</c:v>
                </c:pt>
                <c:pt idx="3">
                  <c:v>1232425847.4300001</c:v>
                </c:pt>
                <c:pt idx="4">
                  <c:v>1362745997.3099999</c:v>
                </c:pt>
                <c:pt idx="5">
                  <c:v>1357054327.6700001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Risultato_amministrazione!$B$4:$G$4</c:f>
              <c:numCache>
                <c:formatCode>#,##0</c:formatCode>
                <c:ptCount val="6"/>
                <c:pt idx="0">
                  <c:v>1193624634.1800001</c:v>
                </c:pt>
                <c:pt idx="1">
                  <c:v>1129294787.9100001</c:v>
                </c:pt>
                <c:pt idx="2">
                  <c:v>1301310945.9000001</c:v>
                </c:pt>
                <c:pt idx="3">
                  <c:v>1114067146.3199999</c:v>
                </c:pt>
                <c:pt idx="4">
                  <c:v>1223288975.5</c:v>
                </c:pt>
                <c:pt idx="5">
                  <c:v>1286505992.3099999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937872"/>
        <c:axId val="-1189939504"/>
      </c:lineChart>
      <c:catAx>
        <c:axId val="-118993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89939504"/>
        <c:crosses val="autoZero"/>
        <c:auto val="1"/>
        <c:lblAlgn val="ctr"/>
        <c:lblOffset val="100"/>
        <c:noMultiLvlLbl val="0"/>
      </c:catAx>
      <c:valAx>
        <c:axId val="-1189939504"/>
        <c:scaling>
          <c:orientation val="minMax"/>
          <c:max val="1450000000"/>
          <c:min val="1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18993787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9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131.61000000000001</c:v>
                </c:pt>
                <c:pt idx="1">
                  <c:v>123.58</c:v>
                </c:pt>
                <c:pt idx="2">
                  <c:v>185.12</c:v>
                </c:pt>
                <c:pt idx="3">
                  <c:v>132.37</c:v>
                </c:pt>
                <c:pt idx="4">
                  <c:v>140.57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400848"/>
        <c:axId val="-1450399216"/>
      </c:barChart>
      <c:catAx>
        <c:axId val="-145040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9216"/>
        <c:crosses val="autoZero"/>
        <c:auto val="1"/>
        <c:lblAlgn val="ctr"/>
        <c:lblOffset val="100"/>
        <c:noMultiLvlLbl val="0"/>
      </c:catAx>
      <c:valAx>
        <c:axId val="-1450399216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45040084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65E-2"/>
          <c:y val="3.6934441366574598E-3"/>
          <c:w val="0.956799214531189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-9.0399999999999991</c:v>
                </c:pt>
                <c:pt idx="1">
                  <c:v>-11.38</c:v>
                </c:pt>
                <c:pt idx="2">
                  <c:v>-6.95</c:v>
                </c:pt>
                <c:pt idx="3">
                  <c:v>-18.47</c:v>
                </c:pt>
                <c:pt idx="4">
                  <c:v>-20.149999999999999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1.9636720667648511E-3"/>
                  <c:y val="8.494950596549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402480"/>
        <c:axId val="-1450396496"/>
      </c:barChart>
      <c:catAx>
        <c:axId val="-14504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6496"/>
        <c:crosses val="autoZero"/>
        <c:auto val="1"/>
        <c:lblAlgn val="ctr"/>
        <c:lblOffset val="100"/>
        <c:noMultiLvlLbl val="0"/>
      </c:catAx>
      <c:valAx>
        <c:axId val="-1450396496"/>
        <c:scaling>
          <c:orientation val="minMax"/>
          <c:min val="-25"/>
        </c:scaling>
        <c:delete val="1"/>
        <c:axPos val="l"/>
        <c:numFmt formatCode="0" sourceLinked="0"/>
        <c:majorTickMark val="out"/>
        <c:minorTickMark val="none"/>
        <c:tickLblPos val="nextTo"/>
        <c:crossAx val="-1450402480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65E-2"/>
          <c:y val="3.6934441366574598E-3"/>
          <c:w val="0.956799214531189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1360.57</c:v>
                </c:pt>
                <c:pt idx="1">
                  <c:v>1669.31</c:v>
                </c:pt>
                <c:pt idx="2">
                  <c:v>1389.33</c:v>
                </c:pt>
                <c:pt idx="3">
                  <c:v>633.84</c:v>
                </c:pt>
                <c:pt idx="4">
                  <c:v>630.89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88880"/>
        <c:axId val="-1450398672"/>
      </c:barChart>
      <c:catAx>
        <c:axId val="-145038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8672"/>
        <c:crosses val="autoZero"/>
        <c:auto val="1"/>
        <c:lblAlgn val="ctr"/>
        <c:lblOffset val="100"/>
        <c:noMultiLvlLbl val="0"/>
      </c:catAx>
      <c:valAx>
        <c:axId val="-1450398672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450388880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904190377010355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865452</c:v>
                </c:pt>
                <c:pt idx="1">
                  <c:v>870165</c:v>
                </c:pt>
                <c:pt idx="2">
                  <c:v>873744</c:v>
                </c:pt>
                <c:pt idx="3">
                  <c:v>876477</c:v>
                </c:pt>
                <c:pt idx="4">
                  <c:v>880992</c:v>
                </c:pt>
                <c:pt idx="5">
                  <c:v>884092</c:v>
                </c:pt>
                <c:pt idx="6">
                  <c:v>888288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7040"/>
        <c:axId val="-1450395952"/>
      </c:barChart>
      <c:catAx>
        <c:axId val="-145039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450395952"/>
        <c:crosses val="autoZero"/>
        <c:auto val="1"/>
        <c:lblAlgn val="ctr"/>
        <c:lblOffset val="100"/>
        <c:noMultiLvlLbl val="0"/>
      </c:catAx>
      <c:valAx>
        <c:axId val="-1450395952"/>
        <c:scaling>
          <c:orientation val="minMax"/>
          <c:max val="9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45039704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87312435002229"/>
          <c:y val="4.3834824045052623E-2"/>
          <c:w val="0.79932922299806863"/>
          <c:h val="0.719033203373850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1979147.59</c:v>
                </c:pt>
                <c:pt idx="1">
                  <c:v>26615302.579999998</c:v>
                </c:pt>
                <c:pt idx="2">
                  <c:v>53345318.210000001</c:v>
                </c:pt>
                <c:pt idx="3">
                  <c:v>54516524.789999999</c:v>
                </c:pt>
                <c:pt idx="4">
                  <c:v>71587291.219999999</c:v>
                </c:pt>
                <c:pt idx="5">
                  <c:v>76283247.409999996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</c:spPr>
          </c:dPt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Risultato_amministrazione!$B$9:$G$9</c:f>
              <c:numCache>
                <c:formatCode>#,##0</c:formatCode>
                <c:ptCount val="6"/>
                <c:pt idx="0">
                  <c:v>4945219.4800000004</c:v>
                </c:pt>
                <c:pt idx="1">
                  <c:v>2532630.31</c:v>
                </c:pt>
                <c:pt idx="2">
                  <c:v>2334556.91</c:v>
                </c:pt>
                <c:pt idx="3">
                  <c:v>1899841.74</c:v>
                </c:pt>
                <c:pt idx="4">
                  <c:v>1866831.71</c:v>
                </c:pt>
                <c:pt idx="5">
                  <c:v>1745561.91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Risultato_amministrazione!$B$10:$G$10</c:f>
              <c:numCache>
                <c:formatCode>#,##0</c:formatCode>
                <c:ptCount val="6"/>
                <c:pt idx="0">
                  <c:v>29089453.010000002</c:v>
                </c:pt>
                <c:pt idx="1">
                  <c:v>28403022.600000001</c:v>
                </c:pt>
                <c:pt idx="2">
                  <c:v>27699974.050000001</c:v>
                </c:pt>
                <c:pt idx="3">
                  <c:v>27699974.050000001</c:v>
                </c:pt>
                <c:pt idx="4">
                  <c:v>27699974.050000001</c:v>
                </c:pt>
                <c:pt idx="5">
                  <c:v>27699974.050000001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Risultato_amministrazione!$B$52:$G$52</c:f>
              <c:numCache>
                <c:formatCode>#,##0</c:formatCode>
                <c:ptCount val="6"/>
                <c:pt idx="0">
                  <c:v>14240330.510000007</c:v>
                </c:pt>
                <c:pt idx="1">
                  <c:v>43244889.440000013</c:v>
                </c:pt>
                <c:pt idx="2">
                  <c:v>58155458.929999992</c:v>
                </c:pt>
                <c:pt idx="3">
                  <c:v>61431521.179999992</c:v>
                </c:pt>
                <c:pt idx="4">
                  <c:v>100747630.79000002</c:v>
                </c:pt>
                <c:pt idx="5">
                  <c:v>83056766.729999989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89930256"/>
        <c:axId val="-1189929712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Risultato_amministrazione!$B$24:$G$24</c:f>
              <c:numCache>
                <c:formatCode>0.0</c:formatCode>
                <c:ptCount val="6"/>
                <c:pt idx="0">
                  <c:v>0.16307233806956378</c:v>
                </c:pt>
                <c:pt idx="1">
                  <c:v>2.1929743758916449</c:v>
                </c:pt>
                <c:pt idx="2">
                  <c:v>3.6843884190493661</c:v>
                </c:pt>
                <c:pt idx="3">
                  <c:v>4.4235135853150354</c:v>
                </c:pt>
                <c:pt idx="4">
                  <c:v>5.253164666145425</c:v>
                </c:pt>
                <c:pt idx="5">
                  <c:v>5.6212375477240348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938960"/>
        <c:axId val="-1189927536"/>
      </c:lineChart>
      <c:catAx>
        <c:axId val="-118993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189929712"/>
        <c:crosses val="autoZero"/>
        <c:auto val="1"/>
        <c:lblAlgn val="ctr"/>
        <c:lblOffset val="100"/>
        <c:noMultiLvlLbl val="0"/>
      </c:catAx>
      <c:valAx>
        <c:axId val="-11899297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189930256"/>
        <c:crosses val="autoZero"/>
        <c:crossBetween val="between"/>
      </c:valAx>
      <c:valAx>
        <c:axId val="-11899275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189938960"/>
        <c:crosses val="max"/>
        <c:crossBetween val="between"/>
        <c:majorUnit val="1"/>
      </c:valAx>
      <c:catAx>
        <c:axId val="-118993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1899275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2798742138364778E-2"/>
          <c:y val="0.83168080931631105"/>
          <c:w val="0.97911949685534594"/>
          <c:h val="0.14890171495553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23E-2"/>
          <c:y val="1.9227205294990474E-2"/>
          <c:w val="0.93107873641330297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9135197715813448E-3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038449359336199E-3"/>
                  <c:y val="3.8646195176115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54187323.950000897</c:v>
                </c:pt>
                <c:pt idx="1">
                  <c:v>36894388.829999782</c:v>
                </c:pt>
                <c:pt idx="2">
                  <c:v>59031603.989999749</c:v>
                </c:pt>
                <c:pt idx="3">
                  <c:v>28411993.889999945</c:v>
                </c:pt>
                <c:pt idx="4">
                  <c:v>27197750.07000025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9937328"/>
        <c:axId val="-1189936784"/>
      </c:barChart>
      <c:catAx>
        <c:axId val="-118993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189936784"/>
        <c:crosses val="autoZero"/>
        <c:auto val="1"/>
        <c:lblAlgn val="ctr"/>
        <c:lblOffset val="100"/>
        <c:noMultiLvlLbl val="0"/>
      </c:catAx>
      <c:valAx>
        <c:axId val="-1189936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189937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1265025500.1300001</c:v>
                </c:pt>
                <c:pt idx="1">
                  <c:v>1212518160.8900001</c:v>
                </c:pt>
                <c:pt idx="2">
                  <c:v>1483863796.46</c:v>
                </c:pt>
                <c:pt idx="3">
                  <c:v>1229060127.1700001</c:v>
                </c:pt>
                <c:pt idx="4">
                  <c:v>1483860774.72</c:v>
                </c:pt>
                <c:pt idx="5">
                  <c:v>1287644196.9100001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47508157.729999997</c:v>
                </c:pt>
                <c:pt idx="1">
                  <c:v>27603865.41</c:v>
                </c:pt>
                <c:pt idx="2">
                  <c:v>38105187.549999997</c:v>
                </c:pt>
                <c:pt idx="3">
                  <c:v>30333315.699999999</c:v>
                </c:pt>
                <c:pt idx="4">
                  <c:v>38665353.549999997</c:v>
                </c:pt>
                <c:pt idx="5">
                  <c:v>27193433.59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436449373.99000001</c:v>
                </c:pt>
                <c:pt idx="1">
                  <c:v>405682133.72000003</c:v>
                </c:pt>
                <c:pt idx="2">
                  <c:v>349076270.58999997</c:v>
                </c:pt>
                <c:pt idx="3">
                  <c:v>389142104.93000001</c:v>
                </c:pt>
                <c:pt idx="4">
                  <c:v>349166244.70999998</c:v>
                </c:pt>
                <c:pt idx="5">
                  <c:v>451066178.69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16761908.869999999</c:v>
                </c:pt>
                <c:pt idx="1">
                  <c:v>29919066.149999999</c:v>
                </c:pt>
                <c:pt idx="2">
                  <c:v>32255363.090000004</c:v>
                </c:pt>
                <c:pt idx="3">
                  <c:v>32913352.550000001</c:v>
                </c:pt>
                <c:pt idx="4">
                  <c:v>32944271</c:v>
                </c:pt>
                <c:pt idx="5">
                  <c:v>24385254.539999999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0401392"/>
        <c:axId val="-1450394864"/>
      </c:barChart>
      <c:catAx>
        <c:axId val="-145040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50394864"/>
        <c:crosses val="autoZero"/>
        <c:auto val="1"/>
        <c:lblAlgn val="ctr"/>
        <c:lblOffset val="100"/>
        <c:noMultiLvlLbl val="0"/>
      </c:catAx>
      <c:valAx>
        <c:axId val="-14503948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450401392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2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13371249.66</c:v>
                </c:pt>
                <c:pt idx="1">
                  <c:v>13371249.66</c:v>
                </c:pt>
                <c:pt idx="2">
                  <c:v>9360304.9499999993</c:v>
                </c:pt>
                <c:pt idx="3">
                  <c:v>9360304.9499999993</c:v>
                </c:pt>
                <c:pt idx="4">
                  <c:v>10050599.58</c:v>
                </c:pt>
                <c:pt idx="5">
                  <c:v>10050599.58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-389453444.74000001</c:v>
                </c:pt>
                <c:pt idx="1">
                  <c:v>-389204486.72000003</c:v>
                </c:pt>
                <c:pt idx="2">
                  <c:v>335988560.43000001</c:v>
                </c:pt>
                <c:pt idx="3">
                  <c:v>363330257.88999999</c:v>
                </c:pt>
                <c:pt idx="4">
                  <c:v>336607662.10000002</c:v>
                </c:pt>
                <c:pt idx="5">
                  <c:v>459483215.41000003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54187323.950000003</c:v>
                </c:pt>
                <c:pt idx="2">
                  <c:v>36894388.829999998</c:v>
                </c:pt>
                <c:pt idx="3">
                  <c:v>59031603.990000002</c:v>
                </c:pt>
                <c:pt idx="4">
                  <c:v>38234134.280000001</c:v>
                </c:pt>
                <c:pt idx="5">
                  <c:v>27197750.07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0400304"/>
        <c:axId val="-1450397584"/>
      </c:barChart>
      <c:catAx>
        <c:axId val="-145040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450397584"/>
        <c:crosses val="autoZero"/>
        <c:auto val="1"/>
        <c:lblAlgn val="ctr"/>
        <c:lblOffset val="100"/>
        <c:noMultiLvlLbl val="0"/>
      </c:catAx>
      <c:valAx>
        <c:axId val="-1450397584"/>
        <c:scaling>
          <c:orientation val="minMax"/>
          <c:max val="5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-1450400304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17E-2"/>
          <c:w val="0.91226637907374408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73.95</c:v>
                </c:pt>
                <c:pt idx="1">
                  <c:v>65.13</c:v>
                </c:pt>
                <c:pt idx="2">
                  <c:v>75.040000000000006</c:v>
                </c:pt>
                <c:pt idx="3">
                  <c:v>67.16</c:v>
                </c:pt>
                <c:pt idx="4">
                  <c:v>71.599999999999994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70.261169285476313</c:v>
                </c:pt>
                <c:pt idx="1">
                  <c:v>64.921953285221562</c:v>
                </c:pt>
                <c:pt idx="2">
                  <c:v>71.960809454564085</c:v>
                </c:pt>
                <c:pt idx="3">
                  <c:v>65.993062470302888</c:v>
                </c:pt>
                <c:pt idx="4">
                  <c:v>68.770663663962978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66.760934164190701</c:v>
                </c:pt>
                <c:pt idx="1">
                  <c:v>61.374376101160067</c:v>
                </c:pt>
                <c:pt idx="2">
                  <c:v>69.187059641714569</c:v>
                </c:pt>
                <c:pt idx="3">
                  <c:v>63.502791111552135</c:v>
                </c:pt>
                <c:pt idx="4">
                  <c:v>65.947141345946221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0393232"/>
        <c:axId val="-1450392688"/>
      </c:lineChart>
      <c:catAx>
        <c:axId val="-145039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50392688"/>
        <c:crosses val="autoZero"/>
        <c:auto val="1"/>
        <c:lblAlgn val="ctr"/>
        <c:lblOffset val="100"/>
        <c:noMultiLvlLbl val="0"/>
      </c:catAx>
      <c:valAx>
        <c:axId val="-1450392688"/>
        <c:scaling>
          <c:orientation val="minMax"/>
          <c:max val="7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45039323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43"/>
          <c:w val="0.96177967444791623"/>
          <c:h val="0.1795680460155261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97094856467189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1.5597513779758416</c:v>
                </c:pt>
                <c:pt idx="1">
                  <c:v>1.1888273314866113</c:v>
                </c:pt>
                <c:pt idx="2">
                  <c:v>1.4290653451653799</c:v>
                </c:pt>
                <c:pt idx="3">
                  <c:v>1.3079139880292618</c:v>
                </c:pt>
                <c:pt idx="4">
                  <c:v>1.3552646820340555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1.8060279113404483</c:v>
                </c:pt>
                <c:pt idx="1">
                  <c:v>2.4238227146814406</c:v>
                </c:pt>
                <c:pt idx="2">
                  <c:v>2.512389074564942</c:v>
                </c:pt>
                <c:pt idx="3">
                  <c:v>1.7623586787851919</c:v>
                </c:pt>
                <c:pt idx="4">
                  <c:v>1.5521834819877216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5.8637269848715849</c:v>
                </c:pt>
                <c:pt idx="1">
                  <c:v>6.9482917820867947</c:v>
                </c:pt>
                <c:pt idx="2">
                  <c:v>7.4910683415927171</c:v>
                </c:pt>
                <c:pt idx="3">
                  <c:v>6.251385502105963</c:v>
                </c:pt>
                <c:pt idx="4">
                  <c:v>7.8651685393258424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1.5362964700363553</c:v>
                </c:pt>
                <c:pt idx="1">
                  <c:v>1.3504155124653738</c:v>
                </c:pt>
                <c:pt idx="2">
                  <c:v>1.5788867119972343</c:v>
                </c:pt>
                <c:pt idx="3">
                  <c:v>1.3855021059632011</c:v>
                </c:pt>
                <c:pt idx="4">
                  <c:v>1.8186030348662112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69.426527500879558</c:v>
                </c:pt>
                <c:pt idx="1">
                  <c:v>71.456602031394269</c:v>
                </c:pt>
                <c:pt idx="2">
                  <c:v>68.364642157427696</c:v>
                </c:pt>
                <c:pt idx="3">
                  <c:v>72.467302150299261</c:v>
                </c:pt>
                <c:pt idx="4">
                  <c:v>70.635931889262125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0392144"/>
        <c:axId val="-1450388336"/>
      </c:barChart>
      <c:catAx>
        <c:axId val="-145039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450388336"/>
        <c:crosses val="autoZero"/>
        <c:auto val="1"/>
        <c:lblAlgn val="ctr"/>
        <c:lblOffset val="100"/>
        <c:noMultiLvlLbl val="0"/>
      </c:catAx>
      <c:valAx>
        <c:axId val="-1450388336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45039214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670972494627494"/>
          <c:w val="0.93727858907504358"/>
          <c:h val="0.1632902750537250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24E-2"/>
          <c:w val="0.9122665336936"/>
          <c:h val="0.71915787122354591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82.84</c:v>
                </c:pt>
                <c:pt idx="1">
                  <c:v>91.55</c:v>
                </c:pt>
                <c:pt idx="2">
                  <c:v>75.260000000000005</c:v>
                </c:pt>
                <c:pt idx="3">
                  <c:v>80.05</c:v>
                </c:pt>
                <c:pt idx="4">
                  <c:v>82.66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76.14</c:v>
                </c:pt>
                <c:pt idx="1">
                  <c:v>84.07</c:v>
                </c:pt>
                <c:pt idx="2">
                  <c:v>74.42</c:v>
                </c:pt>
                <c:pt idx="3">
                  <c:v>70.16</c:v>
                </c:pt>
                <c:pt idx="4">
                  <c:v>73.92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77.2</c:v>
                </c:pt>
                <c:pt idx="1">
                  <c:v>71.38</c:v>
                </c:pt>
                <c:pt idx="2">
                  <c:v>78.37</c:v>
                </c:pt>
                <c:pt idx="3">
                  <c:v>69.44</c:v>
                </c:pt>
                <c:pt idx="4">
                  <c:v>69.16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87.55</c:v>
                </c:pt>
                <c:pt idx="1">
                  <c:v>80.77</c:v>
                </c:pt>
                <c:pt idx="2">
                  <c:v>76.900000000000006</c:v>
                </c:pt>
                <c:pt idx="3">
                  <c:v>68.97</c:v>
                </c:pt>
                <c:pt idx="4">
                  <c:v>87.41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85.46</c:v>
                </c:pt>
                <c:pt idx="1">
                  <c:v>87.08</c:v>
                </c:pt>
                <c:pt idx="2">
                  <c:v>87.04</c:v>
                </c:pt>
                <c:pt idx="3">
                  <c:v>86.73</c:v>
                </c:pt>
                <c:pt idx="4">
                  <c:v>84.6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0391056"/>
        <c:axId val="-1450391600"/>
      </c:lineChart>
      <c:catAx>
        <c:axId val="-14503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1600"/>
        <c:crosses val="autoZero"/>
        <c:auto val="1"/>
        <c:lblAlgn val="ctr"/>
        <c:lblOffset val="100"/>
        <c:noMultiLvlLbl val="0"/>
      </c:catAx>
      <c:valAx>
        <c:axId val="-1450391600"/>
        <c:scaling>
          <c:orientation val="minMax"/>
          <c:max val="92"/>
          <c:min val="6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45039105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92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0"/>
          <c:w val="0.95679921453118866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67.819999999999993</c:v>
                </c:pt>
                <c:pt idx="1">
                  <c:v>68.709999999999994</c:v>
                </c:pt>
                <c:pt idx="2">
                  <c:v>71.010000000000005</c:v>
                </c:pt>
                <c:pt idx="3">
                  <c:v>70.930000000000007</c:v>
                </c:pt>
                <c:pt idx="4">
                  <c:v>70.12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89968"/>
        <c:axId val="-1450389424"/>
      </c:barChart>
      <c:catAx>
        <c:axId val="-14503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89424"/>
        <c:crosses val="autoZero"/>
        <c:auto val="1"/>
        <c:lblAlgn val="ctr"/>
        <c:lblOffset val="100"/>
        <c:noMultiLvlLbl val="0"/>
      </c:catAx>
      <c:valAx>
        <c:axId val="-1450389424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45038996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142875</xdr:rowOff>
    </xdr:from>
    <xdr:to>
      <xdr:col>10</xdr:col>
      <xdr:colOff>247650</xdr:colOff>
      <xdr:row>49</xdr:row>
      <xdr:rowOff>85725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1666875</xdr:colOff>
      <xdr:row>52</xdr:row>
      <xdr:rowOff>114300</xdr:rowOff>
    </xdr:from>
    <xdr:to>
      <xdr:col>10</xdr:col>
      <xdr:colOff>295275</xdr:colOff>
      <xdr:row>73</xdr:row>
      <xdr:rowOff>38100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pane xSplit="1" ySplit="2" topLeftCell="F35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4">
        <v>2016</v>
      </c>
      <c r="C1" s="114"/>
      <c r="D1" s="115"/>
      <c r="E1" s="116">
        <v>2017</v>
      </c>
      <c r="F1" s="114"/>
      <c r="G1" s="115"/>
      <c r="H1" s="116">
        <v>2018</v>
      </c>
      <c r="I1" s="114"/>
      <c r="J1" s="115"/>
      <c r="K1" s="116">
        <v>2019</v>
      </c>
      <c r="L1" s="114"/>
      <c r="M1" s="115"/>
      <c r="N1" s="116">
        <v>2020</v>
      </c>
      <c r="O1" s="114"/>
      <c r="P1" s="115"/>
      <c r="Q1" s="113" t="s">
        <v>233</v>
      </c>
      <c r="R1" s="113"/>
    </row>
    <row r="2" spans="1:18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12" t="s">
        <v>73</v>
      </c>
      <c r="R2" s="12" t="s">
        <v>74</v>
      </c>
    </row>
    <row r="3" spans="1:18" x14ac:dyDescent="0.3">
      <c r="A3" t="s">
        <v>19</v>
      </c>
      <c r="B3" s="28">
        <v>1958191513.76</v>
      </c>
      <c r="C3" s="28">
        <v>1698151525.23</v>
      </c>
      <c r="D3" s="20">
        <f>IF(B3&gt;0,C3/B3*100,"-")</f>
        <v>86.720400599087114</v>
      </c>
      <c r="E3" s="28">
        <v>1935481870.1400001</v>
      </c>
      <c r="F3" s="101">
        <v>1608556697.9400001</v>
      </c>
      <c r="G3" s="20">
        <f>IF(E3&gt;0,F3/E3*100,"-")</f>
        <v>83.108848641586476</v>
      </c>
      <c r="H3" s="28">
        <v>1946059081.01</v>
      </c>
      <c r="I3" s="101">
        <v>1715066110.49</v>
      </c>
      <c r="J3" s="20">
        <f>IF(H3&gt;0,I3/H3*100,"-")</f>
        <v>88.130217999336622</v>
      </c>
      <c r="K3" s="28">
        <v>1972396869.4200001</v>
      </c>
      <c r="L3" s="101">
        <v>1696452624.24</v>
      </c>
      <c r="M3" s="20">
        <f>IF(K3&gt;0,L3/K3*100,"-")</f>
        <v>86.009699697954616</v>
      </c>
      <c r="N3" s="28">
        <v>1966524706.1199999</v>
      </c>
      <c r="O3" s="101">
        <v>1807536708.78</v>
      </c>
      <c r="P3" s="20">
        <f>IF(N3&gt;0,O3/N3*100,"-")</f>
        <v>91.915280960101072</v>
      </c>
      <c r="Q3" s="13">
        <f t="shared" ref="Q3:R18" si="0">IF(K3&gt;0,N3/K3*100-100,"-")</f>
        <v>-0.29771712737137079</v>
      </c>
      <c r="R3" s="13">
        <f t="shared" si="0"/>
        <v>6.5480216159743918</v>
      </c>
    </row>
    <row r="4" spans="1:18" x14ac:dyDescent="0.3">
      <c r="A4" t="s">
        <v>20</v>
      </c>
      <c r="B4" s="28">
        <v>152408858.86000001</v>
      </c>
      <c r="C4" s="28">
        <v>97383676.890000001</v>
      </c>
      <c r="D4" s="20">
        <f t="shared" ref="D4:D21" si="1">IF(B4&gt;0,C4/B4*100,"-")</f>
        <v>63.896336222459915</v>
      </c>
      <c r="E4" s="28">
        <v>190722167.03</v>
      </c>
      <c r="F4" s="101">
        <v>101925344.81999999</v>
      </c>
      <c r="G4" s="20">
        <f t="shared" ref="G4:G21" si="2">IF(E4&gt;0,F4/E4*100,"-")</f>
        <v>53.441792533726542</v>
      </c>
      <c r="H4" s="28">
        <v>241568225.28</v>
      </c>
      <c r="I4" s="101">
        <v>175856573.44999999</v>
      </c>
      <c r="J4" s="20">
        <f t="shared" ref="J4:J13" si="3">IF(H4&gt;0,I4/H4*100,"-")</f>
        <v>72.797891049688303</v>
      </c>
      <c r="K4" s="28">
        <v>201992936.91999999</v>
      </c>
      <c r="L4" s="101">
        <v>137658666.99000001</v>
      </c>
      <c r="M4" s="20">
        <f t="shared" ref="M4:M21" si="4">IF(K4&gt;0,L4/K4*100,"-")</f>
        <v>68.150237869218273</v>
      </c>
      <c r="N4" s="28">
        <v>297232967.76999998</v>
      </c>
      <c r="O4" s="101">
        <v>223690111.80000001</v>
      </c>
      <c r="P4" s="20">
        <f t="shared" ref="P4:P21" si="5">IF(N4&gt;0,O4/N4*100,"-")</f>
        <v>75.257503727881314</v>
      </c>
      <c r="Q4" s="13">
        <f t="shared" si="0"/>
        <v>47.150178764775376</v>
      </c>
      <c r="R4" s="13">
        <f t="shared" si="0"/>
        <v>62.496206516549819</v>
      </c>
    </row>
    <row r="5" spans="1:18" x14ac:dyDescent="0.3">
      <c r="A5" t="s">
        <v>21</v>
      </c>
      <c r="B5" s="28">
        <v>149380281.30000001</v>
      </c>
      <c r="C5" s="28">
        <v>46121600.039999999</v>
      </c>
      <c r="D5" s="20">
        <f t="shared" si="1"/>
        <v>30.875293337662228</v>
      </c>
      <c r="E5" s="28">
        <v>169080263.83000001</v>
      </c>
      <c r="F5" s="101">
        <v>138238674.12</v>
      </c>
      <c r="G5" s="20">
        <f t="shared" si="2"/>
        <v>81.759201806658311</v>
      </c>
      <c r="H5" s="28">
        <v>163164932.15000001</v>
      </c>
      <c r="I5" s="101">
        <v>139741971.09999999</v>
      </c>
      <c r="J5" s="20">
        <f t="shared" si="3"/>
        <v>85.644610798803924</v>
      </c>
      <c r="K5" s="28">
        <v>144199336.80000001</v>
      </c>
      <c r="L5" s="101">
        <v>138163292.49000001</v>
      </c>
      <c r="M5" s="20">
        <f t="shared" si="4"/>
        <v>95.814097038204963</v>
      </c>
      <c r="N5" s="28">
        <v>137205258.81999999</v>
      </c>
      <c r="O5" s="101">
        <v>132531875.62</v>
      </c>
      <c r="P5" s="20">
        <f t="shared" si="5"/>
        <v>96.593874578720758</v>
      </c>
      <c r="Q5" s="13">
        <f t="shared" si="0"/>
        <v>-4.8502844293247875</v>
      </c>
      <c r="R5" s="13">
        <f t="shared" si="0"/>
        <v>-4.0759139193267231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101">
        <v>0</v>
      </c>
      <c r="G6" s="20" t="str">
        <f t="shared" si="2"/>
        <v>-</v>
      </c>
      <c r="H6" s="28">
        <v>0</v>
      </c>
      <c r="I6" s="101">
        <v>0</v>
      </c>
      <c r="J6" s="20" t="str">
        <f t="shared" si="3"/>
        <v>-</v>
      </c>
      <c r="K6" s="28">
        <v>0</v>
      </c>
      <c r="L6" s="101">
        <v>0</v>
      </c>
      <c r="M6" s="20" t="str">
        <f t="shared" si="4"/>
        <v>-</v>
      </c>
      <c r="N6" s="28">
        <v>0</v>
      </c>
      <c r="O6" s="101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f>84438339.5+14312614.26</f>
        <v>98750953.760000005</v>
      </c>
      <c r="C7" s="28">
        <f>23651780.62+4753359.18</f>
        <v>28405139.800000001</v>
      </c>
      <c r="D7" s="20">
        <f t="shared" si="1"/>
        <v>28.764420715403528</v>
      </c>
      <c r="E7" s="28">
        <v>89109721.840000004</v>
      </c>
      <c r="F7" s="101">
        <v>16970117.739999998</v>
      </c>
      <c r="G7" s="20">
        <f t="shared" si="2"/>
        <v>19.044069928161722</v>
      </c>
      <c r="H7" s="28">
        <v>124592616.81999999</v>
      </c>
      <c r="I7" s="101">
        <v>37476182.109999999</v>
      </c>
      <c r="J7" s="20">
        <f t="shared" si="3"/>
        <v>30.078975036010487</v>
      </c>
      <c r="K7" s="28">
        <v>82201446.950000003</v>
      </c>
      <c r="L7" s="101">
        <v>12728332.02</v>
      </c>
      <c r="M7" s="20">
        <f t="shared" si="4"/>
        <v>15.48431626482458</v>
      </c>
      <c r="N7" s="28">
        <v>83631165.640000001</v>
      </c>
      <c r="O7" s="101">
        <v>23129597</v>
      </c>
      <c r="P7" s="20">
        <f t="shared" si="5"/>
        <v>27.656671795732251</v>
      </c>
      <c r="Q7" s="13">
        <f t="shared" si="0"/>
        <v>1.7392865248097706</v>
      </c>
      <c r="R7" s="13">
        <f t="shared" si="0"/>
        <v>81.717423490026164</v>
      </c>
    </row>
    <row r="8" spans="1:18" x14ac:dyDescent="0.3">
      <c r="A8" t="s">
        <v>24</v>
      </c>
      <c r="B8" s="28">
        <v>271394</v>
      </c>
      <c r="C8" s="28">
        <v>271394</v>
      </c>
      <c r="D8" s="20">
        <f t="shared" si="1"/>
        <v>100</v>
      </c>
      <c r="E8" s="28">
        <v>339872.6</v>
      </c>
      <c r="F8" s="101">
        <v>339872.6</v>
      </c>
      <c r="G8" s="20">
        <f t="shared" si="2"/>
        <v>100</v>
      </c>
      <c r="H8" s="28">
        <v>0</v>
      </c>
      <c r="I8" s="101">
        <v>0</v>
      </c>
      <c r="J8" s="20" t="str">
        <f t="shared" si="3"/>
        <v>-</v>
      </c>
      <c r="K8" s="28">
        <v>46500</v>
      </c>
      <c r="L8" s="101">
        <v>22000</v>
      </c>
      <c r="M8" s="20">
        <f t="shared" si="4"/>
        <v>47.311827956989248</v>
      </c>
      <c r="N8" s="28">
        <v>4988339.9000000004</v>
      </c>
      <c r="O8" s="101">
        <v>4965239.9000000004</v>
      </c>
      <c r="P8" s="20">
        <f t="shared" si="5"/>
        <v>99.53692008838452</v>
      </c>
      <c r="Q8" s="13">
        <f t="shared" si="0"/>
        <v>10627.612688172045</v>
      </c>
      <c r="R8" s="13">
        <f t="shared" si="0"/>
        <v>22469.272272727274</v>
      </c>
    </row>
    <row r="9" spans="1:18" x14ac:dyDescent="0.3">
      <c r="A9" t="s">
        <v>25</v>
      </c>
      <c r="B9" s="28">
        <f>14555+9546</f>
        <v>24101</v>
      </c>
      <c r="C9" s="28">
        <f>14555+9546</f>
        <v>24101</v>
      </c>
      <c r="D9" s="20">
        <f t="shared" si="1"/>
        <v>100</v>
      </c>
      <c r="E9" s="28">
        <v>3377.93</v>
      </c>
      <c r="F9" s="101">
        <v>3117.93</v>
      </c>
      <c r="G9" s="20">
        <f t="shared" si="2"/>
        <v>92.302978451300049</v>
      </c>
      <c r="H9" s="28">
        <v>13620.66</v>
      </c>
      <c r="I9" s="101">
        <v>13620.66</v>
      </c>
      <c r="J9" s="20">
        <f t="shared" si="3"/>
        <v>100</v>
      </c>
      <c r="K9" s="28">
        <v>145129.63</v>
      </c>
      <c r="L9" s="101">
        <v>145129.63</v>
      </c>
      <c r="M9" s="20">
        <f t="shared" si="4"/>
        <v>100</v>
      </c>
      <c r="N9" s="28">
        <v>5700</v>
      </c>
      <c r="O9" s="28">
        <v>5700</v>
      </c>
      <c r="P9" s="20">
        <f t="shared" si="5"/>
        <v>100</v>
      </c>
      <c r="Q9" s="13">
        <f t="shared" si="0"/>
        <v>-96.072476723050968</v>
      </c>
      <c r="R9" s="13">
        <f t="shared" si="0"/>
        <v>-96.072476723050968</v>
      </c>
    </row>
    <row r="10" spans="1:18" x14ac:dyDescent="0.3">
      <c r="A10" t="s">
        <v>26</v>
      </c>
      <c r="B10" s="28">
        <f>2021850.58+56319.43</f>
        <v>2078170.01</v>
      </c>
      <c r="C10" s="28">
        <f>1892027.99+35865.89</f>
        <v>1927893.88</v>
      </c>
      <c r="D10" s="20">
        <f t="shared" si="1"/>
        <v>92.768824048230769</v>
      </c>
      <c r="E10" s="28">
        <v>1976793.28</v>
      </c>
      <c r="F10" s="101">
        <v>1418880.29</v>
      </c>
      <c r="G10" s="20">
        <f t="shared" si="2"/>
        <v>71.776867331317519</v>
      </c>
      <c r="H10" s="28">
        <v>2507641.91</v>
      </c>
      <c r="I10" s="101">
        <v>1135471.6499999999</v>
      </c>
      <c r="J10" s="20">
        <f t="shared" si="3"/>
        <v>45.280454337278158</v>
      </c>
      <c r="K10" s="28">
        <v>2598394.6</v>
      </c>
      <c r="L10" s="101">
        <v>2346800.3199999998</v>
      </c>
      <c r="M10" s="20">
        <f t="shared" si="4"/>
        <v>90.317318239500651</v>
      </c>
      <c r="N10" s="28">
        <v>3652731.88</v>
      </c>
      <c r="O10" s="101">
        <v>2768500.74</v>
      </c>
      <c r="P10" s="20">
        <f t="shared" si="5"/>
        <v>75.792607586626389</v>
      </c>
      <c r="Q10" s="13">
        <f t="shared" si="0"/>
        <v>40.576488267024558</v>
      </c>
      <c r="R10" s="13">
        <f t="shared" si="0"/>
        <v>17.969164926652155</v>
      </c>
    </row>
    <row r="11" spans="1:18" x14ac:dyDescent="0.3">
      <c r="A11" t="s">
        <v>27</v>
      </c>
      <c r="B11" s="28">
        <v>0</v>
      </c>
      <c r="C11" s="28">
        <v>0</v>
      </c>
      <c r="D11" s="20" t="str">
        <f t="shared" si="1"/>
        <v>-</v>
      </c>
      <c r="E11" s="28">
        <v>0</v>
      </c>
      <c r="F11" s="101">
        <v>0</v>
      </c>
      <c r="G11" s="20" t="str">
        <f t="shared" si="2"/>
        <v>-</v>
      </c>
      <c r="H11" s="28">
        <v>0</v>
      </c>
      <c r="I11" s="101">
        <v>0</v>
      </c>
      <c r="J11" s="20" t="str">
        <f t="shared" si="3"/>
        <v>-</v>
      </c>
      <c r="K11" s="28">
        <v>0</v>
      </c>
      <c r="L11" s="101">
        <v>0</v>
      </c>
      <c r="M11" s="20" t="str">
        <f t="shared" si="4"/>
        <v>-</v>
      </c>
      <c r="N11" s="28">
        <v>0</v>
      </c>
      <c r="O11" s="101">
        <v>0</v>
      </c>
      <c r="P11" s="20" t="str">
        <f t="shared" si="5"/>
        <v>-</v>
      </c>
      <c r="Q11" s="13" t="str">
        <f t="shared" si="0"/>
        <v>-</v>
      </c>
      <c r="R11" s="13" t="str">
        <f t="shared" si="0"/>
        <v>-</v>
      </c>
    </row>
    <row r="12" spans="1:18" x14ac:dyDescent="0.3">
      <c r="A12" t="s">
        <v>28</v>
      </c>
      <c r="B12" s="28">
        <v>4000000</v>
      </c>
      <c r="C12" s="28">
        <v>655679.23</v>
      </c>
      <c r="D12" s="20">
        <f t="shared" si="1"/>
        <v>16.391980749999998</v>
      </c>
      <c r="E12" s="28">
        <v>17465095.809999999</v>
      </c>
      <c r="F12" s="101">
        <v>1000000</v>
      </c>
      <c r="G12" s="20">
        <f t="shared" si="2"/>
        <v>5.7257057784213785</v>
      </c>
      <c r="H12" s="28">
        <v>4500000</v>
      </c>
      <c r="I12" s="101">
        <v>600000</v>
      </c>
      <c r="J12" s="20">
        <f t="shared" si="3"/>
        <v>13.333333333333334</v>
      </c>
      <c r="K12" s="28">
        <v>1355106.79</v>
      </c>
      <c r="L12" s="101">
        <v>1027788.05</v>
      </c>
      <c r="M12" s="20">
        <f t="shared" si="4"/>
        <v>75.845539081093378</v>
      </c>
      <c r="N12" s="28">
        <v>1407593.97</v>
      </c>
      <c r="O12" s="101">
        <v>1314137.49</v>
      </c>
      <c r="P12" s="20">
        <f t="shared" si="5"/>
        <v>93.360551267493705</v>
      </c>
      <c r="Q12" s="13">
        <f t="shared" si="0"/>
        <v>3.8732873591460475</v>
      </c>
      <c r="R12" s="13">
        <f t="shared" si="0"/>
        <v>27.860748137711838</v>
      </c>
    </row>
    <row r="13" spans="1:18" x14ac:dyDescent="0.3">
      <c r="A13" t="s">
        <v>29</v>
      </c>
      <c r="B13" s="28">
        <v>36773840.659999996</v>
      </c>
      <c r="C13" s="28">
        <v>3828085.9</v>
      </c>
      <c r="D13" s="20">
        <f t="shared" si="1"/>
        <v>10.409807165352525</v>
      </c>
      <c r="E13" s="28">
        <v>8936468.6999999993</v>
      </c>
      <c r="F13" s="101">
        <v>2027715.08</v>
      </c>
      <c r="G13" s="20">
        <f t="shared" si="2"/>
        <v>22.690339417850815</v>
      </c>
      <c r="H13" s="28">
        <v>60667160.409999996</v>
      </c>
      <c r="I13" s="101">
        <v>3069632.27</v>
      </c>
      <c r="J13" s="20">
        <f t="shared" si="3"/>
        <v>5.0597922323294053</v>
      </c>
      <c r="K13" s="28">
        <v>77683071.450000003</v>
      </c>
      <c r="L13" s="101">
        <v>0</v>
      </c>
      <c r="M13" s="20">
        <f t="shared" si="4"/>
        <v>0</v>
      </c>
      <c r="N13" s="28">
        <v>56478399.229999997</v>
      </c>
      <c r="O13" s="101">
        <v>0</v>
      </c>
      <c r="P13" s="20">
        <f t="shared" si="5"/>
        <v>0</v>
      </c>
      <c r="Q13" s="13">
        <f t="shared" si="0"/>
        <v>-27.296387519445858</v>
      </c>
      <c r="R13" s="13" t="str">
        <f t="shared" si="0"/>
        <v>-</v>
      </c>
    </row>
    <row r="14" spans="1:18" x14ac:dyDescent="0.3">
      <c r="A14" t="s">
        <v>30</v>
      </c>
      <c r="B14" s="28">
        <f t="shared" ref="B14:C14" si="6">SUM(B3:B5)</f>
        <v>2259980653.9200001</v>
      </c>
      <c r="C14" s="28">
        <f t="shared" si="6"/>
        <v>1841656802.1600001</v>
      </c>
      <c r="D14" s="20">
        <f>IF(B14&gt;0,C14/B14*100,"-")</f>
        <v>81.489936604793257</v>
      </c>
      <c r="E14" s="28">
        <f t="shared" ref="E14:F14" si="7">SUM(E3:E5)</f>
        <v>2295284301</v>
      </c>
      <c r="F14" s="101">
        <f t="shared" si="7"/>
        <v>1848720716.8800001</v>
      </c>
      <c r="G14" s="20">
        <f>IF(E14&gt;0,F14/E14*100,"-")</f>
        <v>80.544301900838917</v>
      </c>
      <c r="H14" s="28">
        <f t="shared" ref="H14:I14" si="8">SUM(H3:H5)</f>
        <v>2350792238.4400001</v>
      </c>
      <c r="I14" s="101">
        <f t="shared" si="8"/>
        <v>2030664655.04</v>
      </c>
      <c r="J14" s="20">
        <f>IF(H14&gt;0,I14/H14*100,"-")</f>
        <v>86.382140532655555</v>
      </c>
      <c r="K14" s="28">
        <f t="shared" ref="K14:L14" si="9">SUM(K3:K5)</f>
        <v>2318589143.1400003</v>
      </c>
      <c r="L14" s="101">
        <f t="shared" si="9"/>
        <v>1972274583.72</v>
      </c>
      <c r="M14" s="20">
        <f>IF(K14&gt;0,L14/K14*100,"-")</f>
        <v>85.063565037184802</v>
      </c>
      <c r="N14" s="28">
        <f t="shared" ref="N14:O14" si="10">SUM(N3:N5)</f>
        <v>2400962932.71</v>
      </c>
      <c r="O14" s="101">
        <f t="shared" si="10"/>
        <v>2163758696.1999998</v>
      </c>
      <c r="P14" s="20">
        <f>IF(N14&gt;0,O14/N14*100,"-")</f>
        <v>90.12045403623685</v>
      </c>
      <c r="Q14" s="13">
        <f t="shared" si="0"/>
        <v>3.5527549076005442</v>
      </c>
      <c r="R14" s="13">
        <f t="shared" si="0"/>
        <v>9.7087958269397063</v>
      </c>
    </row>
    <row r="15" spans="1:18" x14ac:dyDescent="0.3">
      <c r="A15" t="s">
        <v>31</v>
      </c>
      <c r="B15" s="27">
        <f t="shared" ref="B15:C15" si="11">SUM(B6:B10)</f>
        <v>101124618.77000001</v>
      </c>
      <c r="C15" s="27">
        <f t="shared" si="11"/>
        <v>30628528.68</v>
      </c>
      <c r="D15" s="20">
        <f>IF(B15&gt;0,C15/B15*100,"-")</f>
        <v>30.287905212935517</v>
      </c>
      <c r="E15" s="27">
        <f t="shared" ref="E15:F15" si="12">SUM(E6:E10)</f>
        <v>91429765.650000006</v>
      </c>
      <c r="F15" s="102">
        <f t="shared" si="12"/>
        <v>18731988.559999999</v>
      </c>
      <c r="G15" s="20">
        <f>IF(E15&gt;0,F15/E15*100,"-")</f>
        <v>20.487844879431776</v>
      </c>
      <c r="H15" s="27">
        <f t="shared" ref="H15:I15" si="13">SUM(H6:H10)</f>
        <v>127113879.38999999</v>
      </c>
      <c r="I15" s="102">
        <f t="shared" si="13"/>
        <v>38625274.419999994</v>
      </c>
      <c r="J15" s="20">
        <f>IF(H15&gt;0,I15/H15*100,"-")</f>
        <v>30.386354822429119</v>
      </c>
      <c r="K15" s="27">
        <f t="shared" ref="K15:L15" si="14">SUM(K6:K10)</f>
        <v>84991471.179999992</v>
      </c>
      <c r="L15" s="102">
        <f t="shared" si="14"/>
        <v>15242261.970000001</v>
      </c>
      <c r="M15" s="20">
        <f>IF(K15&gt;0,L15/K15*100,"-")</f>
        <v>17.933872373757399</v>
      </c>
      <c r="N15" s="27">
        <f t="shared" ref="N15:O15" si="15">SUM(N6:N10)</f>
        <v>92277937.420000002</v>
      </c>
      <c r="O15" s="102">
        <f t="shared" si="15"/>
        <v>30869037.640000001</v>
      </c>
      <c r="P15" s="20">
        <f>IF(N15&gt;0,O15/N15*100,"-")</f>
        <v>33.452240593003928</v>
      </c>
      <c r="Q15" s="13">
        <f t="shared" si="0"/>
        <v>8.5731734476842973</v>
      </c>
      <c r="R15" s="13">
        <f t="shared" si="0"/>
        <v>102.52268134976822</v>
      </c>
    </row>
    <row r="16" spans="1:18" x14ac:dyDescent="0.3">
      <c r="A16" t="s">
        <v>32</v>
      </c>
      <c r="B16" s="28">
        <f t="shared" ref="B16:C16" si="16">SUM(B11:B13)</f>
        <v>40773840.659999996</v>
      </c>
      <c r="C16" s="28">
        <f t="shared" si="16"/>
        <v>4483765.13</v>
      </c>
      <c r="D16" s="20">
        <f t="shared" si="1"/>
        <v>10.996671045508521</v>
      </c>
      <c r="E16" s="28">
        <f t="shared" ref="E16:F16" si="17">SUM(E11:E13)</f>
        <v>26401564.509999998</v>
      </c>
      <c r="F16" s="101">
        <f t="shared" si="17"/>
        <v>3027715.08</v>
      </c>
      <c r="G16" s="20">
        <f t="shared" si="2"/>
        <v>11.467938117277885</v>
      </c>
      <c r="H16" s="28">
        <f t="shared" ref="H16:I16" si="18">SUM(H11:H13)</f>
        <v>65167160.409999996</v>
      </c>
      <c r="I16" s="101">
        <f t="shared" si="18"/>
        <v>3669632.27</v>
      </c>
      <c r="J16" s="20">
        <f t="shared" ref="J16:J21" si="19">IF(H16&gt;0,I16/H16*100,"-")</f>
        <v>5.6311065986494784</v>
      </c>
      <c r="K16" s="28">
        <f t="shared" ref="K16:L16" si="20">SUM(K11:K13)</f>
        <v>79038178.24000001</v>
      </c>
      <c r="L16" s="101">
        <f t="shared" si="20"/>
        <v>1027788.05</v>
      </c>
      <c r="M16" s="20">
        <f t="shared" ref="M16:M33" si="21">IF(K16&gt;0,L16/K16*100,"-")</f>
        <v>1.3003691037502332</v>
      </c>
      <c r="N16" s="28">
        <f t="shared" ref="N16:O16" si="22">SUM(N11:N13)</f>
        <v>57885993.199999996</v>
      </c>
      <c r="O16" s="101">
        <f t="shared" si="22"/>
        <v>1314137.49</v>
      </c>
      <c r="P16" s="20">
        <f t="shared" si="5"/>
        <v>2.2702167093506831</v>
      </c>
      <c r="Q16" s="13">
        <f t="shared" si="0"/>
        <v>-26.761984538372388</v>
      </c>
      <c r="R16" s="13">
        <f t="shared" si="0"/>
        <v>27.860748137711838</v>
      </c>
    </row>
    <row r="17" spans="1:18" x14ac:dyDescent="0.3">
      <c r="A17" t="s">
        <v>33</v>
      </c>
      <c r="B17" s="28">
        <v>13217974.82</v>
      </c>
      <c r="C17" s="28">
        <v>13217974.82</v>
      </c>
      <c r="D17" s="20">
        <f t="shared" si="1"/>
        <v>100</v>
      </c>
      <c r="E17" s="28">
        <v>101673908.56999999</v>
      </c>
      <c r="F17" s="101">
        <v>101673908.56999999</v>
      </c>
      <c r="G17" s="20">
        <f t="shared" si="2"/>
        <v>100</v>
      </c>
      <c r="H17" s="28">
        <v>7860000</v>
      </c>
      <c r="I17" s="101">
        <v>7860000</v>
      </c>
      <c r="J17" s="20">
        <f t="shared" si="19"/>
        <v>100</v>
      </c>
      <c r="K17" s="28">
        <v>8860000</v>
      </c>
      <c r="L17" s="101">
        <v>8860000</v>
      </c>
      <c r="M17" s="20">
        <f t="shared" si="21"/>
        <v>100</v>
      </c>
      <c r="N17" s="28">
        <v>0</v>
      </c>
      <c r="O17" s="101">
        <v>0</v>
      </c>
      <c r="P17" s="20" t="str">
        <f t="shared" si="5"/>
        <v>-</v>
      </c>
      <c r="Q17" s="13">
        <f t="shared" si="0"/>
        <v>-100</v>
      </c>
      <c r="R17" s="13">
        <f t="shared" si="0"/>
        <v>-100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101">
        <v>0</v>
      </c>
      <c r="G18" s="20" t="str">
        <f t="shared" si="2"/>
        <v>-</v>
      </c>
      <c r="H18" s="28">
        <v>0</v>
      </c>
      <c r="I18" s="101">
        <v>0</v>
      </c>
      <c r="J18" s="20" t="str">
        <f t="shared" si="19"/>
        <v>-</v>
      </c>
      <c r="K18" s="28">
        <v>0</v>
      </c>
      <c r="L18" s="101">
        <v>0</v>
      </c>
      <c r="M18" s="20" t="str">
        <f t="shared" si="21"/>
        <v>-</v>
      </c>
      <c r="N18" s="28">
        <v>0</v>
      </c>
      <c r="O18" s="101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440755092.63</v>
      </c>
      <c r="C19" s="28">
        <v>433037397.88</v>
      </c>
      <c r="D19" s="20">
        <f t="shared" si="1"/>
        <v>98.248983419806166</v>
      </c>
      <c r="E19" s="28">
        <v>392359697.11000001</v>
      </c>
      <c r="F19" s="101">
        <v>384029191.75</v>
      </c>
      <c r="G19" s="20">
        <f t="shared" si="2"/>
        <v>97.876819300922108</v>
      </c>
      <c r="H19" s="28">
        <v>410756028.30000001</v>
      </c>
      <c r="I19" s="101">
        <v>403625344.57999998</v>
      </c>
      <c r="J19" s="20">
        <f t="shared" si="19"/>
        <v>98.264009964866034</v>
      </c>
      <c r="K19" s="28">
        <v>278016483.58999997</v>
      </c>
      <c r="L19" s="101">
        <v>273789242.94</v>
      </c>
      <c r="M19" s="20">
        <f t="shared" si="21"/>
        <v>98.479499993880211</v>
      </c>
      <c r="N19" s="28">
        <v>434217998.06</v>
      </c>
      <c r="O19" s="101">
        <v>407673054.11000001</v>
      </c>
      <c r="P19" s="20">
        <f t="shared" si="5"/>
        <v>93.88672416422223</v>
      </c>
      <c r="Q19" s="13">
        <f t="shared" ref="Q19:R60" si="23">IF(K19&gt;0,N19/K19*100-100,"-")</f>
        <v>56.184263772055886</v>
      </c>
      <c r="R19" s="13">
        <f t="shared" si="23"/>
        <v>48.900318263906428</v>
      </c>
    </row>
    <row r="20" spans="1:18" x14ac:dyDescent="0.3">
      <c r="A20" t="s">
        <v>36</v>
      </c>
      <c r="B20" s="28">
        <f t="shared" ref="B20:C20" si="24">B14+B15+B16+B17+B18+B19</f>
        <v>2855852180.8000002</v>
      </c>
      <c r="C20" s="28">
        <f t="shared" si="24"/>
        <v>2323024468.6700001</v>
      </c>
      <c r="D20" s="20">
        <f t="shared" si="1"/>
        <v>81.342601843603092</v>
      </c>
      <c r="E20" s="28">
        <f t="shared" ref="E20:F20" si="25">E14+E15+E16+E17+E18+E19</f>
        <v>2907149236.8400006</v>
      </c>
      <c r="F20" s="101">
        <f t="shared" si="25"/>
        <v>2356183520.8400002</v>
      </c>
      <c r="G20" s="20">
        <f t="shared" si="2"/>
        <v>81.047903939087547</v>
      </c>
      <c r="H20" s="28">
        <f t="shared" ref="H20:I20" si="26">H14+H15+H16+H17+H18+H19</f>
        <v>2961689306.54</v>
      </c>
      <c r="I20" s="101">
        <f t="shared" si="26"/>
        <v>2484444906.3099999</v>
      </c>
      <c r="J20" s="20">
        <f t="shared" si="19"/>
        <v>83.886074775765664</v>
      </c>
      <c r="K20" s="28">
        <f t="shared" ref="K20:L20" si="27">K14+K15+K16+K17+K18+K19</f>
        <v>2769495276.1500006</v>
      </c>
      <c r="L20" s="101">
        <f t="shared" si="27"/>
        <v>2271193876.6799998</v>
      </c>
      <c r="M20" s="20">
        <f t="shared" si="21"/>
        <v>82.007501375387363</v>
      </c>
      <c r="N20" s="28">
        <f t="shared" ref="N20:O20" si="28">N14+N15+N16+N17+N18+N19</f>
        <v>2985344861.3899999</v>
      </c>
      <c r="O20" s="101">
        <f t="shared" si="28"/>
        <v>2603614925.4399996</v>
      </c>
      <c r="P20" s="20">
        <f t="shared" si="5"/>
        <v>87.213204715911317</v>
      </c>
      <c r="Q20" s="13">
        <f t="shared" si="23"/>
        <v>7.7938239179834028</v>
      </c>
      <c r="R20" s="13">
        <f t="shared" si="23"/>
        <v>14.636401241356296</v>
      </c>
    </row>
    <row r="21" spans="1:18" x14ac:dyDescent="0.3">
      <c r="A21" t="s">
        <v>37</v>
      </c>
      <c r="B21" s="28">
        <f t="shared" ref="B21:C21" si="29">B20-B19</f>
        <v>2415097088.1700001</v>
      </c>
      <c r="C21" s="28">
        <f t="shared" si="29"/>
        <v>1889987070.79</v>
      </c>
      <c r="D21" s="20">
        <f t="shared" si="1"/>
        <v>78.257188087709821</v>
      </c>
      <c r="E21" s="28">
        <f t="shared" ref="E21:F21" si="30">E20-E19</f>
        <v>2514789539.7300005</v>
      </c>
      <c r="F21" s="101">
        <f t="shared" si="30"/>
        <v>1972154329.0900002</v>
      </c>
      <c r="G21" s="20">
        <f t="shared" si="2"/>
        <v>78.422241620336138</v>
      </c>
      <c r="H21" s="28">
        <f t="shared" ref="H21:I21" si="31">H20-H19</f>
        <v>2550933278.2399998</v>
      </c>
      <c r="I21" s="101">
        <f t="shared" si="31"/>
        <v>2080819561.73</v>
      </c>
      <c r="J21" s="20">
        <f t="shared" si="19"/>
        <v>81.57091286862854</v>
      </c>
      <c r="K21" s="28">
        <f t="shared" ref="K21:L21" si="32">K20-K19</f>
        <v>2491478792.5600004</v>
      </c>
      <c r="L21" s="101">
        <f t="shared" si="32"/>
        <v>1997404633.7399998</v>
      </c>
      <c r="M21" s="20">
        <f t="shared" si="21"/>
        <v>80.169441526237577</v>
      </c>
      <c r="N21" s="28">
        <f t="shared" ref="N21:O21" si="33">N20-N19</f>
        <v>2551126863.3299999</v>
      </c>
      <c r="O21" s="101">
        <f t="shared" si="33"/>
        <v>2195941871.3299994</v>
      </c>
      <c r="P21" s="20">
        <f t="shared" si="5"/>
        <v>86.077329312569915</v>
      </c>
      <c r="Q21" s="13">
        <f t="shared" si="23"/>
        <v>2.3940830220236791</v>
      </c>
      <c r="R21" s="13">
        <f t="shared" si="23"/>
        <v>9.9397605390677768</v>
      </c>
    </row>
    <row r="22" spans="1:18" x14ac:dyDescent="0.3">
      <c r="B22" s="12" t="s">
        <v>75</v>
      </c>
      <c r="C22" s="12" t="s">
        <v>76</v>
      </c>
      <c r="D22" s="18"/>
      <c r="E22" s="12" t="s">
        <v>75</v>
      </c>
      <c r="F22" s="98" t="s">
        <v>76</v>
      </c>
      <c r="G22" s="18"/>
      <c r="H22" s="12" t="s">
        <v>75</v>
      </c>
      <c r="I22" s="108" t="s">
        <v>76</v>
      </c>
      <c r="J22" s="18"/>
      <c r="K22" s="12" t="s">
        <v>75</v>
      </c>
      <c r="L22" s="112" t="s">
        <v>76</v>
      </c>
      <c r="M22" s="18"/>
      <c r="N22" s="12" t="s">
        <v>75</v>
      </c>
      <c r="O22" s="112" t="s">
        <v>76</v>
      </c>
      <c r="P22" s="18"/>
    </row>
    <row r="23" spans="1:18" x14ac:dyDescent="0.3">
      <c r="A23" s="5" t="s">
        <v>38</v>
      </c>
      <c r="B23" s="27">
        <v>57538083.719999999</v>
      </c>
      <c r="C23" s="27">
        <v>55457903.469999999</v>
      </c>
      <c r="D23" s="20">
        <f>IF(B23&gt;0,C23/B23*100,"-")</f>
        <v>96.384689729809452</v>
      </c>
      <c r="E23" s="27">
        <v>55980692.289999999</v>
      </c>
      <c r="F23" s="102">
        <v>53057275.140000001</v>
      </c>
      <c r="G23" s="20">
        <f>IF(E23&gt;0,F23/E23*100,"-")</f>
        <v>94.777811723271213</v>
      </c>
      <c r="H23" s="27">
        <v>59332973.68</v>
      </c>
      <c r="I23" s="102">
        <v>55297458.18</v>
      </c>
      <c r="J23" s="20">
        <f>IF(H23&gt;0,I23/H23*100,"-")</f>
        <v>93.198528154404144</v>
      </c>
      <c r="K23" s="27">
        <v>57092619.68</v>
      </c>
      <c r="L23" s="102">
        <v>54232368.75</v>
      </c>
      <c r="M23" s="20">
        <f>IF(K23&gt;0,L23/K23*100,"-")</f>
        <v>94.990156440479524</v>
      </c>
      <c r="N23" s="27">
        <v>57812948.229999997</v>
      </c>
      <c r="O23" s="102">
        <v>53012911.609999999</v>
      </c>
      <c r="P23" s="20">
        <f>IF(N23&gt;0,O23/N23*100,"-")</f>
        <v>91.697298326831927</v>
      </c>
      <c r="Q23" s="13">
        <f t="shared" si="23"/>
        <v>1.2616841792115707</v>
      </c>
      <c r="R23" s="13">
        <f t="shared" si="23"/>
        <v>-2.248578050539237</v>
      </c>
    </row>
    <row r="24" spans="1:18" x14ac:dyDescent="0.3">
      <c r="A24" s="5" t="s">
        <v>39</v>
      </c>
      <c r="B24" s="27">
        <v>5179362.55</v>
      </c>
      <c r="C24" s="27">
        <v>4633165.05</v>
      </c>
      <c r="D24" s="20">
        <f t="shared" ref="D24:D57" si="34">IF(B24&gt;0,C24/B24*100,"-")</f>
        <v>89.454348971959874</v>
      </c>
      <c r="E24" s="27">
        <v>5367918.4400000004</v>
      </c>
      <c r="F24" s="102">
        <v>4658537.76</v>
      </c>
      <c r="G24" s="20">
        <f t="shared" ref="G24:G57" si="35">IF(E24&gt;0,F24/E24*100,"-")</f>
        <v>86.784808898847558</v>
      </c>
      <c r="H24" s="27">
        <v>5727444.9400000004</v>
      </c>
      <c r="I24" s="102">
        <v>4981202.3499999996</v>
      </c>
      <c r="J24" s="20">
        <f t="shared" ref="J24:J26" si="36">IF(H24&gt;0,I24/H24*100,"-")</f>
        <v>86.970759250982852</v>
      </c>
      <c r="K24" s="27">
        <v>5377753.5</v>
      </c>
      <c r="L24" s="102">
        <v>4588142.55</v>
      </c>
      <c r="M24" s="20">
        <f t="shared" ref="M24:M57" si="37">IF(K24&gt;0,L24/K24*100,"-")</f>
        <v>85.317085470726767</v>
      </c>
      <c r="N24" s="27">
        <v>5275818.5199999996</v>
      </c>
      <c r="O24" s="102">
        <v>4502133.87</v>
      </c>
      <c r="P24" s="20">
        <f t="shared" ref="P24:P57" si="38">IF(N24&gt;0,O24/N24*100,"-")</f>
        <v>85.335267938670498</v>
      </c>
      <c r="Q24" s="13">
        <f t="shared" si="23"/>
        <v>-1.8954937224251722</v>
      </c>
      <c r="R24" s="13">
        <f t="shared" si="23"/>
        <v>-1.8745860457190844</v>
      </c>
    </row>
    <row r="25" spans="1:18" x14ac:dyDescent="0.3">
      <c r="A25" s="5" t="s">
        <v>40</v>
      </c>
      <c r="B25" s="27">
        <v>89913453.890000001</v>
      </c>
      <c r="C25" s="27">
        <v>67513796.129999995</v>
      </c>
      <c r="D25" s="20">
        <f t="shared" si="34"/>
        <v>75.087534967343473</v>
      </c>
      <c r="E25" s="27">
        <v>97965571.790000007</v>
      </c>
      <c r="F25" s="102">
        <v>66750465.390000001</v>
      </c>
      <c r="G25" s="20">
        <f t="shared" si="35"/>
        <v>68.136656756403141</v>
      </c>
      <c r="H25" s="27">
        <v>94666804.930000007</v>
      </c>
      <c r="I25" s="102">
        <v>71238975.849999994</v>
      </c>
      <c r="J25" s="20">
        <f t="shared" si="36"/>
        <v>75.252329370022181</v>
      </c>
      <c r="K25" s="27">
        <v>91339266.629999995</v>
      </c>
      <c r="L25" s="102">
        <v>70655088.930000007</v>
      </c>
      <c r="M25" s="20">
        <f t="shared" si="37"/>
        <v>77.354561227442176</v>
      </c>
      <c r="N25" s="27">
        <v>94949514.530000001</v>
      </c>
      <c r="O25" s="102">
        <v>75067746.069999993</v>
      </c>
      <c r="P25" s="20">
        <f t="shared" si="38"/>
        <v>79.06069498257601</v>
      </c>
      <c r="Q25" s="13">
        <f t="shared" si="23"/>
        <v>3.9525693967135851</v>
      </c>
      <c r="R25" s="13">
        <f t="shared" si="23"/>
        <v>6.2453493539180442</v>
      </c>
    </row>
    <row r="26" spans="1:18" x14ac:dyDescent="0.3">
      <c r="A26" s="5" t="s">
        <v>41</v>
      </c>
      <c r="B26" s="27">
        <v>1978374072</v>
      </c>
      <c r="C26" s="27">
        <v>1797187296.6600001</v>
      </c>
      <c r="D26" s="20">
        <f t="shared" si="34"/>
        <v>90.841632130933021</v>
      </c>
      <c r="E26" s="27">
        <v>1998103392.1099999</v>
      </c>
      <c r="F26" s="102">
        <v>1877314070.5999999</v>
      </c>
      <c r="G26" s="20">
        <f t="shared" si="35"/>
        <v>93.95480123866632</v>
      </c>
      <c r="H26" s="27">
        <v>2063850439.6600001</v>
      </c>
      <c r="I26" s="102">
        <v>1943603834.27</v>
      </c>
      <c r="J26" s="20">
        <f t="shared" si="36"/>
        <v>94.173676392471066</v>
      </c>
      <c r="K26" s="27">
        <v>2014364135.8499999</v>
      </c>
      <c r="L26" s="102">
        <v>1924361424.28</v>
      </c>
      <c r="M26" s="20">
        <f t="shared" si="37"/>
        <v>95.531954229714202</v>
      </c>
      <c r="N26" s="27">
        <v>2170957146.3200002</v>
      </c>
      <c r="O26" s="102">
        <v>2036551465.1300001</v>
      </c>
      <c r="P26" s="20">
        <f t="shared" si="38"/>
        <v>93.808920575985027</v>
      </c>
      <c r="Q26" s="13">
        <f t="shared" si="23"/>
        <v>7.7738184314884506</v>
      </c>
      <c r="R26" s="13">
        <f t="shared" si="23"/>
        <v>5.829988038342421</v>
      </c>
    </row>
    <row r="27" spans="1:18" x14ac:dyDescent="0.3">
      <c r="A27" s="5" t="s">
        <v>351</v>
      </c>
      <c r="B27" s="27">
        <v>0</v>
      </c>
      <c r="C27" s="27">
        <v>0</v>
      </c>
      <c r="D27" s="20"/>
      <c r="E27" s="27">
        <v>0</v>
      </c>
      <c r="F27" s="102">
        <v>0</v>
      </c>
      <c r="G27" s="20"/>
      <c r="H27" s="27">
        <v>0</v>
      </c>
      <c r="I27" s="102">
        <v>0</v>
      </c>
      <c r="J27" s="20"/>
      <c r="K27" s="27">
        <v>0</v>
      </c>
      <c r="L27" s="102">
        <v>0</v>
      </c>
      <c r="M27" s="20"/>
      <c r="N27" s="27">
        <v>0</v>
      </c>
      <c r="O27" s="102">
        <v>0</v>
      </c>
      <c r="P27" s="20"/>
      <c r="Q27" s="13" t="str">
        <f t="shared" si="23"/>
        <v>-</v>
      </c>
      <c r="R27" s="13" t="str">
        <f t="shared" si="23"/>
        <v>-</v>
      </c>
    </row>
    <row r="28" spans="1:18" x14ac:dyDescent="0.3">
      <c r="A28" s="5" t="s">
        <v>352</v>
      </c>
      <c r="B28" s="27">
        <v>0</v>
      </c>
      <c r="C28" s="27">
        <v>0</v>
      </c>
      <c r="D28" s="20"/>
      <c r="E28" s="27">
        <v>0</v>
      </c>
      <c r="F28" s="102">
        <v>0</v>
      </c>
      <c r="G28" s="20"/>
      <c r="H28" s="27">
        <v>0</v>
      </c>
      <c r="I28" s="102">
        <v>0</v>
      </c>
      <c r="J28" s="20"/>
      <c r="K28" s="27">
        <v>0</v>
      </c>
      <c r="L28" s="102">
        <v>0</v>
      </c>
      <c r="M28" s="20"/>
      <c r="N28" s="27">
        <v>0</v>
      </c>
      <c r="O28" s="102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38813665.210000001</v>
      </c>
      <c r="C29" s="27">
        <v>36225774.039999999</v>
      </c>
      <c r="D29" s="20">
        <f t="shared" si="34"/>
        <v>93.332525655594992</v>
      </c>
      <c r="E29" s="27">
        <v>35790786.159999996</v>
      </c>
      <c r="F29" s="102">
        <v>35790786.159999996</v>
      </c>
      <c r="G29" s="20">
        <f t="shared" si="35"/>
        <v>100</v>
      </c>
      <c r="H29" s="27">
        <v>37949050.399999999</v>
      </c>
      <c r="I29" s="102">
        <v>37949050.399999999</v>
      </c>
      <c r="J29" s="20">
        <f t="shared" ref="J29:J57" si="39">IF(H29&gt;0,I29/H29*100,"-")</f>
        <v>100</v>
      </c>
      <c r="K29" s="27">
        <v>36446136.609999999</v>
      </c>
      <c r="L29" s="102">
        <v>36445845.450000003</v>
      </c>
      <c r="M29" s="20">
        <f t="shared" ref="M29:M62" si="40">IF(K29&gt;0,L29/K29*100,"-")</f>
        <v>99.999201122458842</v>
      </c>
      <c r="N29" s="27">
        <v>36005727.030000001</v>
      </c>
      <c r="O29" s="102">
        <v>36005514.579999998</v>
      </c>
      <c r="P29" s="20">
        <f t="shared" si="38"/>
        <v>99.999409954977921</v>
      </c>
      <c r="Q29" s="13">
        <f t="shared" si="23"/>
        <v>-1.2083848137669548</v>
      </c>
      <c r="R29" s="13">
        <f t="shared" si="23"/>
        <v>-1.2081785031001573</v>
      </c>
    </row>
    <row r="30" spans="1:18" x14ac:dyDescent="0.3">
      <c r="A30" s="5" t="s">
        <v>43</v>
      </c>
      <c r="B30" s="27">
        <v>649</v>
      </c>
      <c r="C30" s="27">
        <v>0</v>
      </c>
      <c r="D30" s="20">
        <f t="shared" si="34"/>
        <v>0</v>
      </c>
      <c r="E30" s="27">
        <v>0</v>
      </c>
      <c r="F30" s="102">
        <v>0</v>
      </c>
      <c r="G30" s="20" t="str">
        <f t="shared" si="35"/>
        <v>-</v>
      </c>
      <c r="H30" s="27">
        <v>0</v>
      </c>
      <c r="I30" s="102">
        <v>0</v>
      </c>
      <c r="J30" s="20" t="str">
        <f t="shared" si="39"/>
        <v>-</v>
      </c>
      <c r="K30" s="27">
        <v>0</v>
      </c>
      <c r="L30" s="102">
        <v>0</v>
      </c>
      <c r="M30" s="20" t="str">
        <f t="shared" si="40"/>
        <v>-</v>
      </c>
      <c r="N30" s="27">
        <v>0</v>
      </c>
      <c r="O30" s="102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434071.89</v>
      </c>
      <c r="C31" s="27">
        <v>423687.24</v>
      </c>
      <c r="D31" s="20">
        <f t="shared" si="34"/>
        <v>97.607619788510149</v>
      </c>
      <c r="E31" s="27">
        <v>348487.96</v>
      </c>
      <c r="F31" s="102">
        <v>302323.68</v>
      </c>
      <c r="G31" s="20">
        <f t="shared" si="35"/>
        <v>86.752977061244806</v>
      </c>
      <c r="H31" s="27">
        <v>614749.38</v>
      </c>
      <c r="I31" s="102">
        <v>281494</v>
      </c>
      <c r="J31" s="20">
        <f t="shared" si="39"/>
        <v>45.790042114397906</v>
      </c>
      <c r="K31" s="27">
        <v>431620.39</v>
      </c>
      <c r="L31" s="102">
        <v>172897.2</v>
      </c>
      <c r="M31" s="20">
        <f t="shared" si="40"/>
        <v>40.05769977641696</v>
      </c>
      <c r="N31" s="27">
        <v>783121.85</v>
      </c>
      <c r="O31" s="102">
        <v>584755.37</v>
      </c>
      <c r="P31" s="20">
        <f t="shared" si="38"/>
        <v>74.669780954266571</v>
      </c>
      <c r="Q31" s="13">
        <f t="shared" si="23"/>
        <v>81.437640144850434</v>
      </c>
      <c r="R31" s="13">
        <f t="shared" si="23"/>
        <v>238.2098553360031</v>
      </c>
    </row>
    <row r="32" spans="1:18" x14ac:dyDescent="0.3">
      <c r="A32" s="5" t="s">
        <v>45</v>
      </c>
      <c r="B32" s="27">
        <v>2054679.2</v>
      </c>
      <c r="C32" s="27">
        <v>2020418.12</v>
      </c>
      <c r="D32" s="20">
        <f t="shared" si="34"/>
        <v>98.332533857353511</v>
      </c>
      <c r="E32" s="27">
        <v>961619.38</v>
      </c>
      <c r="F32" s="102">
        <v>671974.75</v>
      </c>
      <c r="G32" s="20">
        <f t="shared" si="35"/>
        <v>69.879493277267358</v>
      </c>
      <c r="H32" s="27">
        <v>1475328.99</v>
      </c>
      <c r="I32" s="102">
        <v>936611.46</v>
      </c>
      <c r="J32" s="20">
        <f t="shared" si="39"/>
        <v>63.484922098629667</v>
      </c>
      <c r="K32" s="27">
        <v>4693702.84</v>
      </c>
      <c r="L32" s="102">
        <v>4577108.57</v>
      </c>
      <c r="M32" s="20">
        <f t="shared" si="40"/>
        <v>97.515942658184997</v>
      </c>
      <c r="N32" s="27">
        <v>595026.80000000005</v>
      </c>
      <c r="O32" s="102">
        <v>473819.51</v>
      </c>
      <c r="P32" s="20">
        <f t="shared" si="38"/>
        <v>79.629944399143028</v>
      </c>
      <c r="Q32" s="13">
        <f t="shared" si="23"/>
        <v>-87.322870230958202</v>
      </c>
      <c r="R32" s="13">
        <f t="shared" si="23"/>
        <v>-89.648060500343348</v>
      </c>
    </row>
    <row r="33" spans="1:18" x14ac:dyDescent="0.3">
      <c r="A33" s="5" t="s">
        <v>46</v>
      </c>
      <c r="B33" s="28">
        <v>0</v>
      </c>
      <c r="C33" s="28">
        <v>0</v>
      </c>
      <c r="D33" s="20" t="str">
        <f t="shared" si="34"/>
        <v>-</v>
      </c>
      <c r="E33" s="28">
        <v>0</v>
      </c>
      <c r="F33" s="101">
        <v>0</v>
      </c>
      <c r="G33" s="20" t="str">
        <f t="shared" si="35"/>
        <v>-</v>
      </c>
      <c r="H33" s="28">
        <v>0</v>
      </c>
      <c r="I33" s="101">
        <v>0</v>
      </c>
      <c r="J33" s="20" t="str">
        <f t="shared" si="39"/>
        <v>-</v>
      </c>
      <c r="K33" s="28">
        <v>0</v>
      </c>
      <c r="L33" s="101">
        <v>0</v>
      </c>
      <c r="M33" s="20" t="str">
        <f t="shared" si="40"/>
        <v>-</v>
      </c>
      <c r="N33" s="28">
        <v>0</v>
      </c>
      <c r="O33" s="101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13865143</v>
      </c>
      <c r="C34" s="27">
        <v>11065805.77</v>
      </c>
      <c r="D34" s="20">
        <f t="shared" si="34"/>
        <v>79.810253453570581</v>
      </c>
      <c r="E34" s="27">
        <v>9676136.1300000008</v>
      </c>
      <c r="F34" s="102">
        <v>6281243.1500000004</v>
      </c>
      <c r="G34" s="20">
        <f t="shared" si="35"/>
        <v>64.914786910919574</v>
      </c>
      <c r="H34" s="27">
        <v>8034776.4699999997</v>
      </c>
      <c r="I34" s="102">
        <v>5551847.1799999997</v>
      </c>
      <c r="J34" s="20">
        <f t="shared" si="39"/>
        <v>69.09771791075103</v>
      </c>
      <c r="K34" s="27">
        <v>5047655.95</v>
      </c>
      <c r="L34" s="102">
        <v>2756861.14</v>
      </c>
      <c r="M34" s="20">
        <f t="shared" si="40"/>
        <v>54.616661026589973</v>
      </c>
      <c r="N34" s="27">
        <v>4765074.2</v>
      </c>
      <c r="O34" s="102">
        <v>1428604.06</v>
      </c>
      <c r="P34" s="20">
        <f t="shared" si="38"/>
        <v>29.980730625348919</v>
      </c>
      <c r="Q34" s="13">
        <f t="shared" si="23"/>
        <v>-5.5982767605228645</v>
      </c>
      <c r="R34" s="13">
        <f t="shared" si="23"/>
        <v>-48.180050156606725</v>
      </c>
    </row>
    <row r="35" spans="1:18" x14ac:dyDescent="0.3">
      <c r="A35" s="5" t="s">
        <v>48</v>
      </c>
      <c r="B35" s="27">
        <v>103426497.81999999</v>
      </c>
      <c r="C35" s="27">
        <v>73621346.239999995</v>
      </c>
      <c r="D35" s="20">
        <f t="shared" si="34"/>
        <v>71.182286736739471</v>
      </c>
      <c r="E35" s="27">
        <v>100174705.5</v>
      </c>
      <c r="F35" s="102">
        <v>70072765.450000003</v>
      </c>
      <c r="G35" s="20">
        <f t="shared" si="35"/>
        <v>69.950557977931865</v>
      </c>
      <c r="H35" s="27">
        <v>155725409.81999999</v>
      </c>
      <c r="I35" s="102">
        <v>108659916.95</v>
      </c>
      <c r="J35" s="20">
        <f t="shared" si="39"/>
        <v>69.776613255086573</v>
      </c>
      <c r="K35" s="27">
        <v>111707296.58</v>
      </c>
      <c r="L35" s="102">
        <v>54393306.460000001</v>
      </c>
      <c r="M35" s="20">
        <f t="shared" si="40"/>
        <v>48.692706855586501</v>
      </c>
      <c r="N35" s="27">
        <v>117551165.48</v>
      </c>
      <c r="O35" s="102">
        <v>86284865.230000004</v>
      </c>
      <c r="P35" s="20">
        <f t="shared" si="38"/>
        <v>73.401964904108411</v>
      </c>
      <c r="Q35" s="13">
        <f t="shared" si="23"/>
        <v>5.2314119837417081</v>
      </c>
      <c r="R35" s="13">
        <f t="shared" si="23"/>
        <v>58.631403100035044</v>
      </c>
    </row>
    <row r="36" spans="1:18" x14ac:dyDescent="0.3">
      <c r="A36" s="5" t="s">
        <v>49</v>
      </c>
      <c r="B36" s="27">
        <v>12357402.98</v>
      </c>
      <c r="C36" s="27">
        <v>12357402.98</v>
      </c>
      <c r="D36" s="20">
        <f t="shared" si="34"/>
        <v>100</v>
      </c>
      <c r="E36" s="27">
        <v>7975241</v>
      </c>
      <c r="F36" s="102">
        <v>7975241</v>
      </c>
      <c r="G36" s="20">
        <f t="shared" si="35"/>
        <v>100</v>
      </c>
      <c r="H36" s="27">
        <v>4318074.8899999997</v>
      </c>
      <c r="I36" s="102">
        <v>3709268.34</v>
      </c>
      <c r="J36" s="20">
        <f t="shared" si="39"/>
        <v>85.900972875438015</v>
      </c>
      <c r="K36" s="27">
        <v>1749741</v>
      </c>
      <c r="L36" s="102">
        <v>1725241</v>
      </c>
      <c r="M36" s="20">
        <f t="shared" si="40"/>
        <v>98.599792769329866</v>
      </c>
      <c r="N36" s="27">
        <v>1774241</v>
      </c>
      <c r="O36" s="102">
        <v>1725241</v>
      </c>
      <c r="P36" s="20">
        <f t="shared" si="38"/>
        <v>97.238255682288937</v>
      </c>
      <c r="Q36" s="13">
        <f t="shared" si="23"/>
        <v>1.4002072306701336</v>
      </c>
      <c r="R36" s="13">
        <f t="shared" si="23"/>
        <v>0</v>
      </c>
    </row>
    <row r="37" spans="1:18" x14ac:dyDescent="0.3">
      <c r="A37" s="5" t="s">
        <v>50</v>
      </c>
      <c r="B37" s="27">
        <v>96651.42</v>
      </c>
      <c r="C37" s="27">
        <v>0</v>
      </c>
      <c r="D37" s="20">
        <f t="shared" si="34"/>
        <v>0</v>
      </c>
      <c r="E37" s="27">
        <v>740808.71</v>
      </c>
      <c r="F37" s="102">
        <v>561722.89</v>
      </c>
      <c r="G37" s="20">
        <f t="shared" si="35"/>
        <v>75.825632503699907</v>
      </c>
      <c r="H37" s="27">
        <v>0</v>
      </c>
      <c r="I37" s="102">
        <v>0</v>
      </c>
      <c r="J37" s="20" t="str">
        <f t="shared" si="39"/>
        <v>-</v>
      </c>
      <c r="K37" s="27">
        <v>1623146.73</v>
      </c>
      <c r="L37" s="27">
        <v>1623146.73</v>
      </c>
      <c r="M37" s="20">
        <f t="shared" si="40"/>
        <v>100</v>
      </c>
      <c r="N37" s="27">
        <v>2366304.7999999998</v>
      </c>
      <c r="O37" s="27">
        <v>2366304.7999999998</v>
      </c>
      <c r="P37" s="20">
        <f t="shared" si="38"/>
        <v>100</v>
      </c>
      <c r="Q37" s="13">
        <f t="shared" si="23"/>
        <v>45.785020926604716</v>
      </c>
      <c r="R37" s="13">
        <f t="shared" si="23"/>
        <v>45.785020926604716</v>
      </c>
    </row>
    <row r="38" spans="1:18" x14ac:dyDescent="0.3">
      <c r="A38" s="5" t="s">
        <v>51</v>
      </c>
      <c r="B38" s="27">
        <v>0</v>
      </c>
      <c r="C38" s="27">
        <v>0</v>
      </c>
      <c r="D38" s="20" t="str">
        <f t="shared" si="34"/>
        <v>-</v>
      </c>
      <c r="E38" s="27">
        <v>0</v>
      </c>
      <c r="F38" s="102">
        <v>0</v>
      </c>
      <c r="G38" s="20" t="str">
        <f t="shared" si="35"/>
        <v>-</v>
      </c>
      <c r="H38" s="27">
        <v>53119</v>
      </c>
      <c r="I38" s="27">
        <v>53119</v>
      </c>
      <c r="J38" s="20">
        <f t="shared" si="39"/>
        <v>100</v>
      </c>
      <c r="K38" s="27">
        <v>78881</v>
      </c>
      <c r="L38" s="27">
        <v>47000</v>
      </c>
      <c r="M38" s="20">
        <f t="shared" si="40"/>
        <v>59.5834231310455</v>
      </c>
      <c r="N38" s="27">
        <v>0</v>
      </c>
      <c r="O38" s="27">
        <v>0</v>
      </c>
      <c r="P38" s="20" t="str">
        <f t="shared" si="38"/>
        <v>-</v>
      </c>
      <c r="Q38" s="13">
        <f t="shared" si="23"/>
        <v>-100</v>
      </c>
      <c r="R38" s="13">
        <f t="shared" si="23"/>
        <v>-100</v>
      </c>
    </row>
    <row r="39" spans="1:18" x14ac:dyDescent="0.3">
      <c r="A39" s="5" t="s">
        <v>262</v>
      </c>
      <c r="B39" s="27">
        <v>4000000</v>
      </c>
      <c r="C39" s="27">
        <v>4000000</v>
      </c>
      <c r="D39" s="20">
        <f t="shared" si="34"/>
        <v>100</v>
      </c>
      <c r="E39" s="27">
        <v>5000000</v>
      </c>
      <c r="F39" s="102">
        <v>5000000</v>
      </c>
      <c r="G39" s="20">
        <f t="shared" si="35"/>
        <v>100</v>
      </c>
      <c r="H39" s="27">
        <v>4500000</v>
      </c>
      <c r="I39" s="27">
        <v>4500000</v>
      </c>
      <c r="J39" s="20">
        <f t="shared" si="39"/>
        <v>100</v>
      </c>
      <c r="K39" s="27">
        <v>0</v>
      </c>
      <c r="L39" s="27">
        <v>0</v>
      </c>
      <c r="M39" s="20" t="str">
        <f t="shared" si="40"/>
        <v>-</v>
      </c>
      <c r="N39" s="27">
        <v>0</v>
      </c>
      <c r="O39" s="27">
        <v>0</v>
      </c>
      <c r="P39" s="20" t="str">
        <f t="shared" si="38"/>
        <v>-</v>
      </c>
      <c r="Q39" s="13" t="str">
        <f t="shared" si="23"/>
        <v>-</v>
      </c>
      <c r="R39" s="13" t="str">
        <f t="shared" si="23"/>
        <v>-</v>
      </c>
    </row>
    <row r="40" spans="1:18" x14ac:dyDescent="0.3">
      <c r="A40" s="5" t="s">
        <v>52</v>
      </c>
      <c r="B40" s="27">
        <v>0</v>
      </c>
      <c r="C40" s="27">
        <v>0</v>
      </c>
      <c r="D40" s="20" t="str">
        <f t="shared" si="34"/>
        <v>-</v>
      </c>
      <c r="E40" s="27">
        <v>0</v>
      </c>
      <c r="F40" s="102">
        <v>0</v>
      </c>
      <c r="G40" s="20" t="str">
        <f t="shared" si="35"/>
        <v>-</v>
      </c>
      <c r="H40" s="27">
        <v>0</v>
      </c>
      <c r="I40" s="27">
        <v>0</v>
      </c>
      <c r="J40" s="20" t="str">
        <f t="shared" si="39"/>
        <v>-</v>
      </c>
      <c r="K40" s="27">
        <v>0</v>
      </c>
      <c r="L40" s="27">
        <v>0</v>
      </c>
      <c r="M40" s="20" t="str">
        <f t="shared" si="40"/>
        <v>-</v>
      </c>
      <c r="N40" s="27">
        <v>0</v>
      </c>
      <c r="O40" s="27">
        <v>0</v>
      </c>
      <c r="P40" s="20" t="str">
        <f t="shared" si="38"/>
        <v>-</v>
      </c>
      <c r="Q40" s="13" t="str">
        <f t="shared" si="23"/>
        <v>-</v>
      </c>
      <c r="R40" s="13" t="str">
        <f t="shared" si="23"/>
        <v>-</v>
      </c>
    </row>
    <row r="41" spans="1:18" x14ac:dyDescent="0.3">
      <c r="A41" s="5" t="s">
        <v>53</v>
      </c>
      <c r="B41" s="27">
        <v>44792585.859999999</v>
      </c>
      <c r="C41" s="27">
        <v>44792585.859999999</v>
      </c>
      <c r="D41" s="20">
        <f t="shared" si="34"/>
        <v>100</v>
      </c>
      <c r="E41" s="27">
        <v>13895354.25</v>
      </c>
      <c r="F41" s="102">
        <v>13846091.140000001</v>
      </c>
      <c r="G41" s="20">
        <f t="shared" si="35"/>
        <v>99.645470643542609</v>
      </c>
      <c r="H41" s="27">
        <v>71295047.319999993</v>
      </c>
      <c r="I41" s="27">
        <v>71295047.319999993</v>
      </c>
      <c r="J41" s="20">
        <f t="shared" si="39"/>
        <v>100</v>
      </c>
      <c r="K41" s="27">
        <v>89854264.790000007</v>
      </c>
      <c r="L41" s="27">
        <v>89854264.790000007</v>
      </c>
      <c r="M41" s="20">
        <f t="shared" si="40"/>
        <v>100</v>
      </c>
      <c r="N41" s="27">
        <v>83286217.969999999</v>
      </c>
      <c r="O41" s="27">
        <v>83286217.969999999</v>
      </c>
      <c r="P41" s="20">
        <f t="shared" si="38"/>
        <v>100</v>
      </c>
      <c r="Q41" s="13">
        <f t="shared" si="23"/>
        <v>-7.3096661970918291</v>
      </c>
      <c r="R41" s="13">
        <f t="shared" si="23"/>
        <v>-7.3096661970918291</v>
      </c>
    </row>
    <row r="42" spans="1:18" x14ac:dyDescent="0.3">
      <c r="A42" s="5" t="s">
        <v>54</v>
      </c>
      <c r="B42" s="27">
        <v>7202060</v>
      </c>
      <c r="C42" s="27">
        <v>0</v>
      </c>
      <c r="D42" s="20">
        <f t="shared" si="34"/>
        <v>0</v>
      </c>
      <c r="E42" s="27">
        <v>7202060</v>
      </c>
      <c r="F42" s="102">
        <v>7202060</v>
      </c>
      <c r="G42" s="20">
        <f t="shared" si="35"/>
        <v>100</v>
      </c>
      <c r="H42" s="27">
        <v>7202060</v>
      </c>
      <c r="I42" s="27">
        <v>7202060</v>
      </c>
      <c r="J42" s="20">
        <f t="shared" si="39"/>
        <v>100</v>
      </c>
      <c r="K42" s="27">
        <v>7202060</v>
      </c>
      <c r="L42" s="27">
        <v>7202060</v>
      </c>
      <c r="M42" s="20">
        <f t="shared" si="40"/>
        <v>100</v>
      </c>
      <c r="N42" s="27">
        <v>7202060</v>
      </c>
      <c r="O42" s="27">
        <v>7202060</v>
      </c>
      <c r="P42" s="20">
        <f t="shared" si="38"/>
        <v>100</v>
      </c>
      <c r="Q42" s="13">
        <f t="shared" si="23"/>
        <v>0</v>
      </c>
      <c r="R42" s="13">
        <f t="shared" si="23"/>
        <v>0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27">
        <v>0</v>
      </c>
      <c r="F43" s="102">
        <v>0</v>
      </c>
      <c r="G43" s="20" t="str">
        <f t="shared" si="35"/>
        <v>-</v>
      </c>
      <c r="H43" s="27">
        <v>0</v>
      </c>
      <c r="I43" s="102">
        <v>0</v>
      </c>
      <c r="J43" s="20" t="str">
        <f t="shared" si="39"/>
        <v>-</v>
      </c>
      <c r="K43" s="27">
        <v>0</v>
      </c>
      <c r="L43" s="102">
        <v>0</v>
      </c>
      <c r="M43" s="20" t="str">
        <f t="shared" si="40"/>
        <v>-</v>
      </c>
      <c r="N43" s="27">
        <v>0</v>
      </c>
      <c r="O43" s="27">
        <v>0</v>
      </c>
      <c r="P43" s="20" t="str">
        <f t="shared" si="38"/>
        <v>-</v>
      </c>
      <c r="Q43" s="13" t="str">
        <f t="shared" si="23"/>
        <v>-</v>
      </c>
      <c r="R43" s="13" t="str">
        <f t="shared" si="23"/>
        <v>-</v>
      </c>
    </row>
    <row r="44" spans="1:18" x14ac:dyDescent="0.3">
      <c r="A44" s="5" t="s">
        <v>56</v>
      </c>
      <c r="B44" s="27">
        <v>38133487.960000001</v>
      </c>
      <c r="C44" s="27">
        <v>0</v>
      </c>
      <c r="D44" s="20">
        <f t="shared" si="34"/>
        <v>0</v>
      </c>
      <c r="E44" s="27">
        <v>38715254.490000002</v>
      </c>
      <c r="F44" s="102">
        <v>38715254.490000002</v>
      </c>
      <c r="G44" s="20">
        <f t="shared" si="35"/>
        <v>100</v>
      </c>
      <c r="H44" s="27">
        <v>34874558.68</v>
      </c>
      <c r="I44" s="27">
        <v>34874558.68</v>
      </c>
      <c r="J44" s="20">
        <f t="shared" si="39"/>
        <v>100</v>
      </c>
      <c r="K44" s="27">
        <v>8033161.5</v>
      </c>
      <c r="L44" s="27">
        <v>8033161.5</v>
      </c>
      <c r="M44" s="20">
        <f t="shared" si="40"/>
        <v>100</v>
      </c>
      <c r="N44" s="27">
        <v>2874998.22</v>
      </c>
      <c r="O44" s="27">
        <v>2874998.22</v>
      </c>
      <c r="P44" s="20">
        <f t="shared" si="38"/>
        <v>100</v>
      </c>
      <c r="Q44" s="13">
        <f t="shared" si="23"/>
        <v>-64.210874884066499</v>
      </c>
      <c r="R44" s="13">
        <f t="shared" si="23"/>
        <v>-64.210874884066499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102">
        <v>0</v>
      </c>
      <c r="G45" s="20" t="str">
        <f t="shared" si="35"/>
        <v>-</v>
      </c>
      <c r="H45" s="27">
        <v>0</v>
      </c>
      <c r="I45" s="102">
        <v>0</v>
      </c>
      <c r="J45" s="20" t="str">
        <f t="shared" si="39"/>
        <v>-</v>
      </c>
      <c r="K45" s="27">
        <v>0</v>
      </c>
      <c r="L45" s="102">
        <v>0</v>
      </c>
      <c r="M45" s="20" t="str">
        <f t="shared" si="40"/>
        <v>-</v>
      </c>
      <c r="N45" s="27">
        <v>0</v>
      </c>
      <c r="O45" s="102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102">
        <v>0</v>
      </c>
      <c r="G46" s="20" t="str">
        <f t="shared" si="35"/>
        <v>-</v>
      </c>
      <c r="H46" s="27">
        <v>0</v>
      </c>
      <c r="I46" s="102">
        <v>0</v>
      </c>
      <c r="J46" s="20" t="str">
        <f t="shared" si="39"/>
        <v>-</v>
      </c>
      <c r="K46" s="27">
        <v>0</v>
      </c>
      <c r="L46" s="102">
        <v>0</v>
      </c>
      <c r="M46" s="20" t="str">
        <f t="shared" si="40"/>
        <v>-</v>
      </c>
      <c r="N46" s="27">
        <v>0</v>
      </c>
      <c r="O46" s="102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102">
        <v>0</v>
      </c>
      <c r="G47" s="20" t="str">
        <f t="shared" si="35"/>
        <v>-</v>
      </c>
      <c r="H47" s="27">
        <v>0</v>
      </c>
      <c r="I47" s="102">
        <v>0</v>
      </c>
      <c r="J47" s="20" t="str">
        <f t="shared" si="39"/>
        <v>-</v>
      </c>
      <c r="K47" s="27">
        <v>0</v>
      </c>
      <c r="L47" s="102">
        <v>0</v>
      </c>
      <c r="M47" s="20" t="str">
        <f t="shared" si="40"/>
        <v>-</v>
      </c>
      <c r="N47" s="27">
        <v>0</v>
      </c>
      <c r="O47" s="102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440580410.44999999</v>
      </c>
      <c r="C48" s="27">
        <v>0</v>
      </c>
      <c r="D48" s="20">
        <f t="shared" si="34"/>
        <v>0</v>
      </c>
      <c r="E48" s="27">
        <v>392020277.29000002</v>
      </c>
      <c r="F48" s="102">
        <v>0</v>
      </c>
      <c r="G48" s="20">
        <f t="shared" si="35"/>
        <v>0</v>
      </c>
      <c r="H48" s="27">
        <v>410590794.51999998</v>
      </c>
      <c r="I48" s="102">
        <v>0</v>
      </c>
      <c r="J48" s="20">
        <f t="shared" si="39"/>
        <v>0</v>
      </c>
      <c r="K48" s="27">
        <v>276936664.93000001</v>
      </c>
      <c r="L48" s="102">
        <v>0</v>
      </c>
      <c r="M48" s="20">
        <f t="shared" si="40"/>
        <v>0</v>
      </c>
      <c r="N48" s="27">
        <v>434058014.98000002</v>
      </c>
      <c r="O48" s="102">
        <v>0</v>
      </c>
      <c r="P48" s="20">
        <f t="shared" si="38"/>
        <v>0</v>
      </c>
      <c r="Q48" s="13">
        <f t="shared" si="23"/>
        <v>56.735481410420988</v>
      </c>
      <c r="R48" s="13" t="str">
        <f t="shared" si="23"/>
        <v>-</v>
      </c>
    </row>
    <row r="49" spans="1:18" x14ac:dyDescent="0.3">
      <c r="A49" s="5" t="s">
        <v>61</v>
      </c>
      <c r="B49" s="27">
        <v>174682.18</v>
      </c>
      <c r="C49" s="27">
        <v>0</v>
      </c>
      <c r="D49" s="20">
        <f t="shared" si="34"/>
        <v>0</v>
      </c>
      <c r="E49" s="27">
        <v>339419.82</v>
      </c>
      <c r="F49" s="102">
        <v>0</v>
      </c>
      <c r="G49" s="20">
        <f t="shared" si="35"/>
        <v>0</v>
      </c>
      <c r="H49" s="27">
        <v>165233.78</v>
      </c>
      <c r="I49" s="102">
        <v>0</v>
      </c>
      <c r="J49" s="20">
        <f t="shared" si="39"/>
        <v>0</v>
      </c>
      <c r="K49" s="27">
        <v>1079818.6599999999</v>
      </c>
      <c r="L49" s="102">
        <v>0</v>
      </c>
      <c r="M49" s="20">
        <f t="shared" si="40"/>
        <v>0</v>
      </c>
      <c r="N49" s="27">
        <v>159983.07999999999</v>
      </c>
      <c r="O49" s="102">
        <v>0</v>
      </c>
      <c r="P49" s="20">
        <f t="shared" si="38"/>
        <v>0</v>
      </c>
      <c r="Q49" s="13">
        <f t="shared" si="23"/>
        <v>-85.18426418006149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2172308037.4599996</v>
      </c>
      <c r="C50" s="27">
        <f t="shared" si="41"/>
        <v>1963462040.71</v>
      </c>
      <c r="D50" s="20">
        <f t="shared" si="34"/>
        <v>90.385986096419572</v>
      </c>
      <c r="E50" s="27">
        <f t="shared" ref="E50:F50" si="42">SUM(E23:E32)</f>
        <v>2194518468.1300001</v>
      </c>
      <c r="F50" s="102">
        <f t="shared" si="42"/>
        <v>2038545433.48</v>
      </c>
      <c r="G50" s="20">
        <f t="shared" si="35"/>
        <v>92.89260779004023</v>
      </c>
      <c r="H50" s="27">
        <f t="shared" ref="H50:I50" si="43">SUM(H23:H32)</f>
        <v>2263616791.98</v>
      </c>
      <c r="I50" s="102">
        <f t="shared" si="43"/>
        <v>2114288626.5100002</v>
      </c>
      <c r="J50" s="20">
        <f t="shared" si="39"/>
        <v>93.403116375568956</v>
      </c>
      <c r="K50" s="27">
        <f t="shared" ref="K50:L50" si="44">SUM(K23:K32)</f>
        <v>2209745235.5</v>
      </c>
      <c r="L50" s="102">
        <f t="shared" si="44"/>
        <v>2095032875.73</v>
      </c>
      <c r="M50" s="20">
        <f t="shared" si="40"/>
        <v>94.808797053745252</v>
      </c>
      <c r="N50" s="27">
        <f t="shared" ref="N50:O50" si="45">SUM(N23:N32)</f>
        <v>2366379303.2800007</v>
      </c>
      <c r="O50" s="102">
        <f t="shared" si="45"/>
        <v>2206198346.1400003</v>
      </c>
      <c r="P50" s="20">
        <f t="shared" si="38"/>
        <v>93.2309686398129</v>
      </c>
      <c r="Q50" s="13">
        <f t="shared" si="23"/>
        <v>7.0883315082500502</v>
      </c>
      <c r="R50" s="13">
        <f t="shared" si="23"/>
        <v>5.3061444380086584</v>
      </c>
    </row>
    <row r="51" spans="1:18" x14ac:dyDescent="0.3">
      <c r="A51" s="5" t="s">
        <v>63</v>
      </c>
      <c r="B51" s="27">
        <f t="shared" ref="B51:C51" si="46">SUM(B33:B37)</f>
        <v>129745695.22</v>
      </c>
      <c r="C51" s="27">
        <f t="shared" si="46"/>
        <v>97044554.989999995</v>
      </c>
      <c r="D51" s="20">
        <f t="shared" si="34"/>
        <v>74.795972864802067</v>
      </c>
      <c r="E51" s="27">
        <f t="shared" ref="E51:F51" si="47">SUM(E33:E37)</f>
        <v>118566891.33999999</v>
      </c>
      <c r="F51" s="102">
        <f t="shared" si="47"/>
        <v>84890972.49000001</v>
      </c>
      <c r="G51" s="20">
        <f t="shared" si="35"/>
        <v>71.597535813407134</v>
      </c>
      <c r="H51" s="27">
        <f t="shared" ref="H51:I51" si="48">SUM(H33:H37)</f>
        <v>168078261.17999998</v>
      </c>
      <c r="I51" s="102">
        <f t="shared" si="48"/>
        <v>117921032.47</v>
      </c>
      <c r="J51" s="20">
        <f t="shared" si="39"/>
        <v>70.158408138048785</v>
      </c>
      <c r="K51" s="27">
        <f t="shared" ref="K51:L51" si="49">SUM(K33:K37)</f>
        <v>120127840.26000001</v>
      </c>
      <c r="L51" s="102">
        <f t="shared" si="49"/>
        <v>60498555.329999998</v>
      </c>
      <c r="M51" s="20">
        <f t="shared" si="40"/>
        <v>50.361810550376404</v>
      </c>
      <c r="N51" s="27">
        <f t="shared" ref="N51:O51" si="50">SUM(N33:N37)</f>
        <v>126456785.48</v>
      </c>
      <c r="O51" s="102">
        <f t="shared" si="50"/>
        <v>91805015.090000004</v>
      </c>
      <c r="P51" s="20">
        <f t="shared" si="38"/>
        <v>72.59793512979941</v>
      </c>
      <c r="Q51" s="13">
        <f t="shared" si="23"/>
        <v>5.2685082877556653</v>
      </c>
      <c r="R51" s="13">
        <f t="shared" si="23"/>
        <v>51.747450148575325</v>
      </c>
    </row>
    <row r="52" spans="1:18" x14ac:dyDescent="0.3">
      <c r="A52" s="5" t="s">
        <v>64</v>
      </c>
      <c r="B52" s="27">
        <f t="shared" ref="B52:C52" si="51">SUM(B38:B41)</f>
        <v>48792585.859999999</v>
      </c>
      <c r="C52" s="27">
        <f t="shared" si="51"/>
        <v>48792585.859999999</v>
      </c>
      <c r="D52" s="20">
        <f t="shared" si="34"/>
        <v>100</v>
      </c>
      <c r="E52" s="27">
        <f t="shared" ref="E52:F52" si="52">SUM(E38:E41)</f>
        <v>18895354.25</v>
      </c>
      <c r="F52" s="102">
        <f t="shared" si="52"/>
        <v>18846091.140000001</v>
      </c>
      <c r="G52" s="20">
        <f t="shared" si="35"/>
        <v>99.739284538684956</v>
      </c>
      <c r="H52" s="27">
        <f t="shared" ref="H52:I52" si="53">SUM(H38:H41)</f>
        <v>75848166.319999993</v>
      </c>
      <c r="I52" s="102">
        <f t="shared" si="53"/>
        <v>75848166.319999993</v>
      </c>
      <c r="J52" s="20">
        <f t="shared" si="39"/>
        <v>100</v>
      </c>
      <c r="K52" s="27">
        <f t="shared" ref="K52:L52" si="54">SUM(K38:K41)</f>
        <v>89933145.790000007</v>
      </c>
      <c r="L52" s="102">
        <f t="shared" si="54"/>
        <v>89901264.790000007</v>
      </c>
      <c r="M52" s="20">
        <f t="shared" si="40"/>
        <v>99.964550333784118</v>
      </c>
      <c r="N52" s="27">
        <f t="shared" ref="N52:O52" si="55">SUM(N38:N41)</f>
        <v>83286217.969999999</v>
      </c>
      <c r="O52" s="102">
        <f t="shared" si="55"/>
        <v>83286217.969999999</v>
      </c>
      <c r="P52" s="20">
        <f t="shared" si="38"/>
        <v>100</v>
      </c>
      <c r="Q52" s="13">
        <f t="shared" si="23"/>
        <v>-7.3909655462525876</v>
      </c>
      <c r="R52" s="13">
        <f t="shared" si="23"/>
        <v>-7.3581243105445395</v>
      </c>
    </row>
    <row r="53" spans="1:18" x14ac:dyDescent="0.3">
      <c r="A53" s="5" t="s">
        <v>65</v>
      </c>
      <c r="B53" s="27">
        <f t="shared" ref="B53" si="56">SUM(B42:B46)</f>
        <v>45335547.960000001</v>
      </c>
      <c r="C53" s="29">
        <v>40809035.380000003</v>
      </c>
      <c r="D53" s="20">
        <f t="shared" si="34"/>
        <v>90.015533541154539</v>
      </c>
      <c r="E53" s="27">
        <f t="shared" ref="E53:F53" si="57">SUM(E42:E46)</f>
        <v>45917314.490000002</v>
      </c>
      <c r="F53" s="102">
        <f t="shared" si="57"/>
        <v>45917314.490000002</v>
      </c>
      <c r="G53" s="20">
        <f t="shared" si="35"/>
        <v>100</v>
      </c>
      <c r="H53" s="27">
        <f t="shared" ref="H53" si="58">SUM(H42:H46)</f>
        <v>42076618.68</v>
      </c>
      <c r="I53" s="102">
        <f>SUM(I42:I46)</f>
        <v>42076618.68</v>
      </c>
      <c r="J53" s="20">
        <f t="shared" si="39"/>
        <v>100</v>
      </c>
      <c r="K53" s="27">
        <f t="shared" ref="K53" si="59">SUM(K42:K46)</f>
        <v>15235221.5</v>
      </c>
      <c r="L53" s="102">
        <f>SUM(L42:L46)</f>
        <v>15235221.5</v>
      </c>
      <c r="M53" s="20">
        <f t="shared" si="40"/>
        <v>100</v>
      </c>
      <c r="N53" s="27">
        <f t="shared" ref="N53:O53" si="60">SUM(N42:N46)</f>
        <v>10077058.220000001</v>
      </c>
      <c r="O53" s="102">
        <f>SUM(O42:O46)</f>
        <v>10077058.220000001</v>
      </c>
      <c r="P53" s="20">
        <f t="shared" si="38"/>
        <v>100</v>
      </c>
      <c r="Q53" s="13">
        <f t="shared" si="23"/>
        <v>-33.856831553121822</v>
      </c>
      <c r="R53" s="13">
        <f t="shared" si="23"/>
        <v>-33.856831553121822</v>
      </c>
    </row>
    <row r="54" spans="1:18" x14ac:dyDescent="0.3">
      <c r="A54" s="5" t="s">
        <v>66</v>
      </c>
      <c r="B54" s="27">
        <f t="shared" ref="B54:C54" si="61">B47</f>
        <v>0</v>
      </c>
      <c r="C54" s="27">
        <f t="shared" si="61"/>
        <v>0</v>
      </c>
      <c r="D54" s="20" t="str">
        <f t="shared" si="34"/>
        <v>-</v>
      </c>
      <c r="E54" s="27">
        <f t="shared" ref="E54:F54" si="62">E47</f>
        <v>0</v>
      </c>
      <c r="F54" s="102">
        <f t="shared" si="62"/>
        <v>0</v>
      </c>
      <c r="G54" s="20" t="str">
        <f t="shared" si="35"/>
        <v>-</v>
      </c>
      <c r="H54" s="27">
        <f t="shared" ref="H54:I54" si="63">H47</f>
        <v>0</v>
      </c>
      <c r="I54" s="102">
        <f t="shared" si="63"/>
        <v>0</v>
      </c>
      <c r="J54" s="20" t="str">
        <f t="shared" si="39"/>
        <v>-</v>
      </c>
      <c r="K54" s="27">
        <f t="shared" ref="K54:L54" si="64">K47</f>
        <v>0</v>
      </c>
      <c r="L54" s="102">
        <f t="shared" si="64"/>
        <v>0</v>
      </c>
      <c r="M54" s="20" t="str">
        <f t="shared" si="40"/>
        <v>-</v>
      </c>
      <c r="N54" s="27">
        <f t="shared" ref="N54:O54" si="65">N47</f>
        <v>0</v>
      </c>
      <c r="O54" s="102">
        <f t="shared" si="65"/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440755092.63</v>
      </c>
      <c r="C55" s="29">
        <v>217055411.66</v>
      </c>
      <c r="D55" s="20">
        <f t="shared" si="34"/>
        <v>49.246262899612411</v>
      </c>
      <c r="E55" s="27">
        <f>SUM(E48:E49)</f>
        <v>392359697.11000001</v>
      </c>
      <c r="F55" s="29">
        <v>65934399.789999999</v>
      </c>
      <c r="G55" s="20">
        <f t="shared" si="35"/>
        <v>16.804580153275772</v>
      </c>
      <c r="H55" s="27">
        <f>SUM(H48:H49)</f>
        <v>410756028.29999995</v>
      </c>
      <c r="I55" s="29">
        <v>189437720.25999999</v>
      </c>
      <c r="J55" s="20">
        <f t="shared" si="39"/>
        <v>46.11927937954502</v>
      </c>
      <c r="K55" s="27">
        <f>SUM(K48:K49)</f>
        <v>278016483.59000003</v>
      </c>
      <c r="L55" s="29">
        <v>59252983.68</v>
      </c>
      <c r="M55" s="20">
        <f t="shared" si="40"/>
        <v>21.312759198617268</v>
      </c>
      <c r="N55" s="27">
        <f>SUM(N48:N49)</f>
        <v>434217998.06</v>
      </c>
      <c r="O55" s="29">
        <v>252149546.72999999</v>
      </c>
      <c r="P55" s="20">
        <f t="shared" si="38"/>
        <v>58.069805456373111</v>
      </c>
      <c r="Q55" s="13">
        <f t="shared" si="23"/>
        <v>56.184263772055857</v>
      </c>
      <c r="R55" s="13">
        <f t="shared" si="23"/>
        <v>325.54742574948079</v>
      </c>
    </row>
    <row r="56" spans="1:18" x14ac:dyDescent="0.3">
      <c r="A56" s="5" t="s">
        <v>68</v>
      </c>
      <c r="B56" s="19">
        <f t="shared" ref="B56:C56" si="66">SUM(B50:B55)</f>
        <v>2836936959.1299996</v>
      </c>
      <c r="C56" s="19">
        <f t="shared" si="66"/>
        <v>2367163628.5999999</v>
      </c>
      <c r="D56" s="20">
        <f t="shared" si="34"/>
        <v>83.440825887295546</v>
      </c>
      <c r="E56" s="19">
        <f t="shared" ref="E56:F56" si="67">SUM(E50:E55)</f>
        <v>2770257725.3200002</v>
      </c>
      <c r="F56" s="19">
        <f t="shared" si="67"/>
        <v>2254134211.3899999</v>
      </c>
      <c r="G56" s="20">
        <f t="shared" si="35"/>
        <v>81.369115616476392</v>
      </c>
      <c r="H56" s="24">
        <f t="shared" ref="H56:I56" si="68">SUM(H50:H55)</f>
        <v>2960375866.46</v>
      </c>
      <c r="I56" s="19">
        <f t="shared" si="68"/>
        <v>2539572164.2399998</v>
      </c>
      <c r="J56" s="20">
        <f t="shared" si="39"/>
        <v>85.785463697783925</v>
      </c>
      <c r="K56" s="24">
        <f t="shared" ref="K56:L56" si="69">SUM(K50:K55)</f>
        <v>2713057926.6400003</v>
      </c>
      <c r="L56" s="19">
        <f t="shared" si="69"/>
        <v>2319920901.0299997</v>
      </c>
      <c r="M56" s="20">
        <f t="shared" si="40"/>
        <v>85.509449623256558</v>
      </c>
      <c r="N56" s="24">
        <f t="shared" ref="N56:O56" si="70">SUM(N50:N55)</f>
        <v>3020417363.0100002</v>
      </c>
      <c r="O56" s="19">
        <f t="shared" si="70"/>
        <v>2643516184.1500001</v>
      </c>
      <c r="P56" s="20">
        <f t="shared" si="38"/>
        <v>87.521553031849919</v>
      </c>
      <c r="Q56" s="13">
        <f t="shared" si="23"/>
        <v>11.328893251853671</v>
      </c>
      <c r="R56" s="13">
        <f t="shared" si="23"/>
        <v>13.948548115426277</v>
      </c>
    </row>
    <row r="57" spans="1:18" x14ac:dyDescent="0.3">
      <c r="A57" s="14" t="s">
        <v>69</v>
      </c>
      <c r="B57" s="15">
        <f t="shared" ref="B57:C57" si="71">B56-B55</f>
        <v>2396181866.4999995</v>
      </c>
      <c r="C57" s="15">
        <f t="shared" si="71"/>
        <v>2150108216.9400001</v>
      </c>
      <c r="D57" s="21">
        <f t="shared" si="34"/>
        <v>89.730593783374673</v>
      </c>
      <c r="E57" s="15">
        <f t="shared" ref="E57:F57" si="72">E56-E55</f>
        <v>2377898028.21</v>
      </c>
      <c r="F57" s="15">
        <f t="shared" si="72"/>
        <v>2188199811.5999999</v>
      </c>
      <c r="G57" s="21">
        <f t="shared" si="35"/>
        <v>92.022441065195778</v>
      </c>
      <c r="H57" s="25">
        <f t="shared" ref="H57:I57" si="73">H56-H55</f>
        <v>2549619838.1599998</v>
      </c>
      <c r="I57" s="15">
        <f t="shared" si="73"/>
        <v>2350134443.9799995</v>
      </c>
      <c r="J57" s="21">
        <f t="shared" si="39"/>
        <v>92.17587692116625</v>
      </c>
      <c r="K57" s="25">
        <f t="shared" ref="K57:L57" si="74">K56-K55</f>
        <v>2435041443.0500002</v>
      </c>
      <c r="L57" s="15">
        <f t="shared" si="74"/>
        <v>2260667917.3499999</v>
      </c>
      <c r="M57" s="21">
        <f t="shared" si="40"/>
        <v>92.838991459562621</v>
      </c>
      <c r="N57" s="25">
        <f t="shared" ref="N57:O57" si="75">N56-N55</f>
        <v>2586199364.9500003</v>
      </c>
      <c r="O57" s="15">
        <f t="shared" si="75"/>
        <v>2391366637.4200001</v>
      </c>
      <c r="P57" s="21">
        <f t="shared" si="38"/>
        <v>92.466445929478184</v>
      </c>
      <c r="Q57" s="16">
        <f t="shared" si="23"/>
        <v>6.2076118799303686</v>
      </c>
      <c r="R57" s="16">
        <f t="shared" si="23"/>
        <v>5.7814205734032669</v>
      </c>
    </row>
    <row r="58" spans="1:18" x14ac:dyDescent="0.3">
      <c r="A58" s="5" t="s">
        <v>70</v>
      </c>
      <c r="B58" s="19">
        <f t="shared" ref="B58:F58" si="76">B21-B57</f>
        <v>18915221.670000553</v>
      </c>
      <c r="C58" s="19">
        <f t="shared" si="76"/>
        <v>-260121146.1500001</v>
      </c>
      <c r="D58" s="22"/>
      <c r="E58" s="24">
        <f t="shared" si="76"/>
        <v>136891511.52000046</v>
      </c>
      <c r="F58" s="19">
        <f t="shared" si="76"/>
        <v>-216045482.50999975</v>
      </c>
      <c r="G58" s="22"/>
      <c r="H58" s="24">
        <f t="shared" ref="H58:I58" si="77">H21-H57</f>
        <v>1313440.0799999237</v>
      </c>
      <c r="I58" s="19">
        <f t="shared" si="77"/>
        <v>-269314882.24999952</v>
      </c>
      <c r="J58" s="22"/>
      <c r="K58" s="24">
        <f t="shared" ref="K58:L58" si="78">K21-K57</f>
        <v>56437349.510000229</v>
      </c>
      <c r="L58" s="19">
        <f t="shared" si="78"/>
        <v>-263263283.61000013</v>
      </c>
      <c r="M58" s="22"/>
      <c r="N58" s="24">
        <f t="shared" ref="N58:O58" si="79">N21-N57</f>
        <v>-35072501.620000362</v>
      </c>
      <c r="O58" s="19">
        <f t="shared" si="79"/>
        <v>-195424766.09000063</v>
      </c>
      <c r="P58" s="22"/>
      <c r="Q58" s="13">
        <f t="shared" si="23"/>
        <v>-162.14413313967873</v>
      </c>
      <c r="R58" s="13" t="str">
        <f t="shared" si="23"/>
        <v>-</v>
      </c>
    </row>
    <row r="59" spans="1:18" x14ac:dyDescent="0.3">
      <c r="A59" s="5" t="s">
        <v>71</v>
      </c>
      <c r="B59" s="19">
        <f>B14-B50</f>
        <v>87672616.460000515</v>
      </c>
      <c r="C59" s="19">
        <f>C14-C50</f>
        <v>-121805238.54999995</v>
      </c>
      <c r="D59" s="22"/>
      <c r="E59" s="24">
        <f>E14-E50</f>
        <v>100765832.86999989</v>
      </c>
      <c r="F59" s="19">
        <f>F14-F50</f>
        <v>-189824716.5999999</v>
      </c>
      <c r="G59" s="22"/>
      <c r="H59" s="24">
        <f>H14-H50</f>
        <v>87175446.460000038</v>
      </c>
      <c r="I59" s="19">
        <f>I14-I50</f>
        <v>-83623971.470000267</v>
      </c>
      <c r="J59" s="22"/>
      <c r="K59" s="24">
        <f>K14-K50</f>
        <v>108843907.64000034</v>
      </c>
      <c r="L59" s="19">
        <f>L14-L50</f>
        <v>-122758292.00999999</v>
      </c>
      <c r="M59" s="22"/>
      <c r="N59" s="24">
        <f>N14-N50</f>
        <v>34583629.429999352</v>
      </c>
      <c r="O59" s="19">
        <f>O14-O50</f>
        <v>-42439649.940000534</v>
      </c>
      <c r="P59" s="22"/>
      <c r="Q59" s="13">
        <f t="shared" si="23"/>
        <v>-68.22639853726659</v>
      </c>
      <c r="R59" s="13" t="str">
        <f t="shared" si="23"/>
        <v>-</v>
      </c>
    </row>
    <row r="60" spans="1:18" x14ac:dyDescent="0.3">
      <c r="A60" s="5" t="s">
        <v>72</v>
      </c>
      <c r="B60" s="19">
        <f>B15-B51</f>
        <v>-28621076.449999988</v>
      </c>
      <c r="C60" s="19">
        <f>C15-C51</f>
        <v>-66416026.309999995</v>
      </c>
      <c r="D60" s="22"/>
      <c r="E60" s="24">
        <f>E15-E51</f>
        <v>-27137125.689999983</v>
      </c>
      <c r="F60" s="19">
        <f>F15-F51</f>
        <v>-66158983.930000007</v>
      </c>
      <c r="G60" s="22"/>
      <c r="H60" s="24">
        <f>H15-H51</f>
        <v>-40964381.789999992</v>
      </c>
      <c r="I60" s="19">
        <f>I15-I51</f>
        <v>-79295758.050000012</v>
      </c>
      <c r="J60" s="22"/>
      <c r="K60" s="24">
        <f>K15-K51</f>
        <v>-35136369.080000013</v>
      </c>
      <c r="L60" s="19">
        <f>L15-L51</f>
        <v>-45256293.359999999</v>
      </c>
      <c r="M60" s="22"/>
      <c r="N60" s="24">
        <f>N15-N51</f>
        <v>-34178848.060000002</v>
      </c>
      <c r="O60" s="19">
        <f>O15-O51</f>
        <v>-60935977.450000003</v>
      </c>
      <c r="P60" s="22"/>
      <c r="Q60" s="13" t="str">
        <f t="shared" si="23"/>
        <v>-</v>
      </c>
      <c r="R60" s="13" t="str">
        <f t="shared" si="23"/>
        <v>-</v>
      </c>
    </row>
    <row r="61" spans="1:18" x14ac:dyDescent="0.3">
      <c r="F61" s="6"/>
      <c r="I61" s="6"/>
      <c r="L61" s="6"/>
      <c r="O61" s="6"/>
    </row>
    <row r="62" spans="1:18" x14ac:dyDescent="0.3">
      <c r="F62" s="6"/>
      <c r="I62" s="6"/>
      <c r="L62" s="6"/>
      <c r="O62" s="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G1" sqref="G1:I1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309</v>
      </c>
      <c r="B1" s="74" t="s">
        <v>310</v>
      </c>
      <c r="C1" s="74" t="s">
        <v>320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311</v>
      </c>
      <c r="B2" s="75" t="s">
        <v>78</v>
      </c>
      <c r="C2" s="77" t="s">
        <v>319</v>
      </c>
      <c r="D2" s="89" t="s">
        <v>326</v>
      </c>
      <c r="E2" s="82">
        <f>Piano_indicatori!D3</f>
        <v>6.35</v>
      </c>
      <c r="F2" s="82">
        <f>Piano_indicatori!E3</f>
        <v>6.18</v>
      </c>
      <c r="G2" s="82">
        <f>Piano_indicatori!F3</f>
        <v>6.01</v>
      </c>
      <c r="H2" s="82">
        <f>Piano_indicatori!G3</f>
        <v>4.87</v>
      </c>
      <c r="I2" s="82">
        <f>Piano_indicatori!H3</f>
        <v>4.41</v>
      </c>
    </row>
    <row r="3" spans="1:9" ht="29.25" customHeight="1" x14ac:dyDescent="0.3">
      <c r="A3" s="76" t="s">
        <v>312</v>
      </c>
      <c r="B3" s="76" t="s">
        <v>95</v>
      </c>
      <c r="C3" s="78" t="s">
        <v>96</v>
      </c>
      <c r="D3" s="90" t="s">
        <v>327</v>
      </c>
      <c r="E3" s="83">
        <f>Piano_indicatori!D12</f>
        <v>80.900000000000006</v>
      </c>
      <c r="F3" s="83">
        <f>Piano_indicatori!E12</f>
        <v>62.62</v>
      </c>
      <c r="G3" s="83">
        <f>Piano_indicatori!F12</f>
        <v>58.64</v>
      </c>
      <c r="H3" s="83">
        <f>Piano_indicatori!G12</f>
        <v>57.52</v>
      </c>
      <c r="I3" s="83">
        <f>Piano_indicatori!H12</f>
        <v>59.86</v>
      </c>
    </row>
    <row r="4" spans="1:9" ht="29.25" customHeight="1" x14ac:dyDescent="0.3">
      <c r="A4" s="75" t="s">
        <v>313</v>
      </c>
      <c r="B4" s="75" t="s">
        <v>100</v>
      </c>
      <c r="C4" s="79" t="s">
        <v>322</v>
      </c>
      <c r="D4" s="89" t="s">
        <v>328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314</v>
      </c>
      <c r="B5" s="76" t="s">
        <v>165</v>
      </c>
      <c r="C5" s="80" t="s">
        <v>323</v>
      </c>
      <c r="D5" s="91" t="s">
        <v>329</v>
      </c>
      <c r="E5" s="85">
        <f>Piano_indicatori!D51</f>
        <v>3.72</v>
      </c>
      <c r="F5" s="85">
        <f>Piano_indicatori!E51</f>
        <v>3.56</v>
      </c>
      <c r="G5" s="85">
        <f>Piano_indicatori!F51</f>
        <v>3.4</v>
      </c>
      <c r="H5" s="85">
        <f>Piano_indicatori!G51</f>
        <v>2.21</v>
      </c>
      <c r="I5" s="85">
        <f>Piano_indicatori!H51</f>
        <v>1.9</v>
      </c>
    </row>
    <row r="6" spans="1:9" ht="29.25" customHeight="1" x14ac:dyDescent="0.3">
      <c r="A6" s="75" t="s">
        <v>315</v>
      </c>
      <c r="B6" s="75" t="s">
        <v>185</v>
      </c>
      <c r="C6" s="93" t="s">
        <v>186</v>
      </c>
      <c r="D6" s="92" t="s">
        <v>330</v>
      </c>
      <c r="E6" s="86">
        <f>Piano_indicatori!D62</f>
        <v>0</v>
      </c>
      <c r="F6" s="86">
        <f>Piano_indicatori!E62</f>
        <v>0.03</v>
      </c>
      <c r="G6" s="86">
        <f>Piano_indicatori!F62</f>
        <v>0</v>
      </c>
      <c r="H6" s="86">
        <f>Piano_indicatori!G62</f>
        <v>3.1007871538048897</v>
      </c>
      <c r="I6" s="86">
        <f>Piano_indicatori!H62</f>
        <v>2.6237510297127473</v>
      </c>
    </row>
    <row r="7" spans="1:9" ht="29.25" customHeight="1" x14ac:dyDescent="0.3">
      <c r="A7" s="76" t="s">
        <v>316</v>
      </c>
      <c r="B7" s="76" t="s">
        <v>188</v>
      </c>
      <c r="C7" s="80" t="s">
        <v>189</v>
      </c>
      <c r="D7" s="90" t="s">
        <v>331</v>
      </c>
      <c r="E7" s="87">
        <f>Piano_indicatori!D65</f>
        <v>0</v>
      </c>
      <c r="F7" s="87">
        <f>Piano_indicatori!E65</f>
        <v>0</v>
      </c>
      <c r="G7" s="87">
        <f>Piano_indicatori!F65</f>
        <v>0</v>
      </c>
      <c r="H7" s="87">
        <f>Piano_indicatori!G65</f>
        <v>0</v>
      </c>
      <c r="I7" s="87">
        <f>Piano_indicatori!H65</f>
        <v>0</v>
      </c>
    </row>
    <row r="8" spans="1:9" ht="29.25" customHeight="1" x14ac:dyDescent="0.3">
      <c r="A8" s="75" t="s">
        <v>317</v>
      </c>
      <c r="B8" s="75" t="s">
        <v>321</v>
      </c>
      <c r="C8" s="79" t="s">
        <v>324</v>
      </c>
      <c r="D8" s="89" t="s">
        <v>332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 x14ac:dyDescent="0.3">
      <c r="A9" s="76" t="s">
        <v>318</v>
      </c>
      <c r="B9" s="76"/>
      <c r="C9" s="81" t="s">
        <v>325</v>
      </c>
      <c r="D9" s="91" t="s">
        <v>333</v>
      </c>
      <c r="E9" s="88">
        <f>Piano_indicatori!D77</f>
        <v>70.261169285476313</v>
      </c>
      <c r="F9" s="88">
        <f>Piano_indicatori!E77</f>
        <v>64.921953285221562</v>
      </c>
      <c r="G9" s="88">
        <f>Piano_indicatori!F77</f>
        <v>71.960809454564085</v>
      </c>
      <c r="H9" s="88">
        <f>Piano_indicatori!G77</f>
        <v>65.993062470302888</v>
      </c>
      <c r="I9" s="88">
        <f>Piano_indicatori!H77</f>
        <v>68.770663663962978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I6" sqref="I6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1" ht="28.8" x14ac:dyDescent="0.3">
      <c r="A1" s="103" t="s">
        <v>362</v>
      </c>
      <c r="B1" s="103" t="s">
        <v>363</v>
      </c>
      <c r="C1" s="103" t="s">
        <v>233</v>
      </c>
      <c r="D1" s="103" t="s">
        <v>347</v>
      </c>
      <c r="E1" s="107" t="s">
        <v>348</v>
      </c>
      <c r="F1" s="107" t="s">
        <v>349</v>
      </c>
    </row>
    <row r="2" spans="1:21" x14ac:dyDescent="0.3">
      <c r="A2" s="31">
        <v>2021</v>
      </c>
      <c r="B2" s="95">
        <v>865452</v>
      </c>
      <c r="C2" s="104">
        <f>B2/B3*100-100</f>
        <v>-0.54162141662787633</v>
      </c>
    </row>
    <row r="3" spans="1:21" x14ac:dyDescent="0.3">
      <c r="A3" s="31">
        <v>2020</v>
      </c>
      <c r="B3" s="95">
        <v>870165</v>
      </c>
      <c r="C3" s="104">
        <f>B3/B4*100-100</f>
        <v>-0.40961654672307191</v>
      </c>
      <c r="D3" s="95">
        <v>-5777</v>
      </c>
      <c r="E3" s="1">
        <v>1064</v>
      </c>
      <c r="F3" s="1">
        <f t="shared" ref="F3:F8" si="0">B2-B3-D3-E3</f>
        <v>0</v>
      </c>
    </row>
    <row r="4" spans="1:21" x14ac:dyDescent="0.3">
      <c r="A4" s="31">
        <v>2019</v>
      </c>
      <c r="B4" s="95">
        <v>873744</v>
      </c>
      <c r="C4" s="104">
        <f>B4/B5*100-100</f>
        <v>-0.31181651087250373</v>
      </c>
      <c r="D4" s="95">
        <v>-4686</v>
      </c>
      <c r="E4" s="1">
        <v>1107</v>
      </c>
      <c r="F4" s="1">
        <f t="shared" si="0"/>
        <v>0</v>
      </c>
      <c r="L4" s="110"/>
      <c r="M4" s="111"/>
      <c r="N4" s="111"/>
      <c r="O4" s="111"/>
      <c r="P4" s="111"/>
      <c r="Q4" s="111"/>
      <c r="R4" s="111"/>
      <c r="S4" s="111"/>
      <c r="T4" s="111"/>
      <c r="U4" s="111"/>
    </row>
    <row r="5" spans="1:21" x14ac:dyDescent="0.3">
      <c r="A5" s="31">
        <v>2018</v>
      </c>
      <c r="B5" s="95">
        <v>876477</v>
      </c>
      <c r="C5" s="104">
        <f t="shared" ref="C5:C7" si="1">B5/B6*100-100</f>
        <v>-0.51249046529366638</v>
      </c>
      <c r="D5" s="95">
        <v>-4286</v>
      </c>
      <c r="E5" s="95">
        <v>1553</v>
      </c>
      <c r="F5" s="1">
        <f t="shared" si="0"/>
        <v>0</v>
      </c>
      <c r="L5" s="110"/>
      <c r="M5" s="111"/>
      <c r="N5" s="111"/>
      <c r="O5" s="111"/>
      <c r="P5" s="111"/>
      <c r="Q5" s="111"/>
      <c r="R5" s="111"/>
      <c r="S5" s="111"/>
      <c r="T5" s="111"/>
      <c r="U5" s="111"/>
    </row>
    <row r="6" spans="1:21" x14ac:dyDescent="0.3">
      <c r="A6" s="31">
        <v>2017</v>
      </c>
      <c r="B6" s="95">
        <v>880992</v>
      </c>
      <c r="C6" s="104">
        <f t="shared" si="1"/>
        <v>-0.35064224085276408</v>
      </c>
      <c r="D6" s="95">
        <v>-4673</v>
      </c>
      <c r="E6" s="95">
        <v>158</v>
      </c>
      <c r="F6" s="1">
        <f t="shared" si="0"/>
        <v>0</v>
      </c>
      <c r="L6" s="110"/>
      <c r="M6" s="111"/>
      <c r="N6" s="111"/>
      <c r="O6" s="111"/>
      <c r="P6" s="111"/>
      <c r="Q6" s="111"/>
      <c r="R6" s="111"/>
      <c r="S6" s="111"/>
      <c r="T6" s="111"/>
      <c r="U6" s="111"/>
    </row>
    <row r="7" spans="1:21" x14ac:dyDescent="0.3">
      <c r="A7" s="31">
        <v>2016</v>
      </c>
      <c r="B7" s="95">
        <v>884092</v>
      </c>
      <c r="C7" s="104">
        <f t="shared" si="1"/>
        <v>-0.47236932166144641</v>
      </c>
      <c r="D7" s="95">
        <v>-3899</v>
      </c>
      <c r="E7" s="95">
        <v>799</v>
      </c>
      <c r="F7" s="1">
        <f t="shared" si="0"/>
        <v>0</v>
      </c>
      <c r="L7" s="110"/>
      <c r="M7" s="111"/>
      <c r="N7" s="111"/>
      <c r="O7" s="111"/>
      <c r="P7" s="111"/>
      <c r="Q7" s="111"/>
      <c r="R7" s="111"/>
      <c r="S7" s="111"/>
      <c r="T7" s="111"/>
      <c r="U7" s="111"/>
    </row>
    <row r="8" spans="1:21" x14ac:dyDescent="0.3">
      <c r="A8" s="105">
        <v>2015</v>
      </c>
      <c r="B8" s="106">
        <v>888288</v>
      </c>
      <c r="C8" s="106"/>
      <c r="D8" s="106">
        <v>-4269</v>
      </c>
      <c r="E8" s="106">
        <v>73</v>
      </c>
      <c r="F8" s="1">
        <f t="shared" si="0"/>
        <v>0</v>
      </c>
    </row>
    <row r="9" spans="1:21" x14ac:dyDescent="0.3">
      <c r="A9" t="s">
        <v>364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2" width="15.33203125" bestFit="1" customWidth="1"/>
    <col min="3" max="6" width="14.33203125" bestFit="1" customWidth="1"/>
    <col min="7" max="7" width="8.44140625" customWidth="1"/>
    <col min="8" max="8" width="7.44140625" bestFit="1" customWidth="1"/>
    <col min="9" max="9" width="13.88671875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367</v>
      </c>
      <c r="J1" s="42" t="s">
        <v>268</v>
      </c>
    </row>
    <row r="2" spans="1:10" x14ac:dyDescent="0.3">
      <c r="A2" s="55" t="s">
        <v>19</v>
      </c>
      <c r="B2" s="56">
        <f>Entrate_Uscite!B3</f>
        <v>1958191513.76</v>
      </c>
      <c r="C2" s="56">
        <f>Entrate_Uscite!E3</f>
        <v>1935481870.1400001</v>
      </c>
      <c r="D2" s="56">
        <f>Entrate_Uscite!H3</f>
        <v>1946059081.01</v>
      </c>
      <c r="E2" s="56">
        <f>Entrate_Uscite!K3</f>
        <v>1972396869.4200001</v>
      </c>
      <c r="F2" s="56">
        <f>Entrate_Uscite!N3</f>
        <v>1966524706.1199999</v>
      </c>
      <c r="G2" s="56">
        <f>F2/F$21*100</f>
        <v>77.084551708772509</v>
      </c>
      <c r="H2" s="57">
        <f t="shared" ref="H2:H21" si="0">IF(E2&gt;0,F2/E2*100-100,"-")</f>
        <v>-0.29771712737137079</v>
      </c>
      <c r="I2" s="56">
        <f>Entrate_Uscite!O3</f>
        <v>1807536708.78</v>
      </c>
      <c r="J2" s="58">
        <f>IF(F2&gt;0,I2/F2*100,"-")</f>
        <v>91.915280960101072</v>
      </c>
    </row>
    <row r="3" spans="1:10" x14ac:dyDescent="0.3">
      <c r="A3" s="55" t="s">
        <v>20</v>
      </c>
      <c r="B3" s="56">
        <f>Entrate_Uscite!B4</f>
        <v>152408858.86000001</v>
      </c>
      <c r="C3" s="56">
        <f>Entrate_Uscite!E4</f>
        <v>190722167.03</v>
      </c>
      <c r="D3" s="56">
        <f>Entrate_Uscite!H4</f>
        <v>241568225.28</v>
      </c>
      <c r="E3" s="56">
        <f>Entrate_Uscite!K4</f>
        <v>201992936.91999999</v>
      </c>
      <c r="F3" s="56">
        <f>Entrate_Uscite!N4</f>
        <v>297232967.76999998</v>
      </c>
      <c r="G3" s="56">
        <f t="shared" ref="G3:G21" si="1">F3/F$21*100</f>
        <v>11.651046133472962</v>
      </c>
      <c r="H3" s="57">
        <f t="shared" si="0"/>
        <v>47.150178764775376</v>
      </c>
      <c r="I3" s="56">
        <f>Entrate_Uscite!O4</f>
        <v>223690111.80000001</v>
      </c>
      <c r="J3" s="58">
        <f t="shared" ref="J3:J21" si="2">IF(F3&gt;0,I3/F3*100,"-")</f>
        <v>75.257503727881314</v>
      </c>
    </row>
    <row r="4" spans="1:10" x14ac:dyDescent="0.3">
      <c r="A4" s="55" t="s">
        <v>21</v>
      </c>
      <c r="B4" s="56">
        <f>Entrate_Uscite!B5</f>
        <v>149380281.30000001</v>
      </c>
      <c r="C4" s="56">
        <f>Entrate_Uscite!E5</f>
        <v>169080263.83000001</v>
      </c>
      <c r="D4" s="56">
        <f>Entrate_Uscite!H5</f>
        <v>163164932.15000001</v>
      </c>
      <c r="E4" s="56">
        <f>Entrate_Uscite!K5</f>
        <v>144199336.80000001</v>
      </c>
      <c r="F4" s="56">
        <f>Entrate_Uscite!N5</f>
        <v>137205258.81999999</v>
      </c>
      <c r="G4" s="56">
        <f t="shared" si="1"/>
        <v>5.3782217102643504</v>
      </c>
      <c r="H4" s="57">
        <f t="shared" si="0"/>
        <v>-4.8502844293247875</v>
      </c>
      <c r="I4" s="56">
        <f>Entrate_Uscite!O5</f>
        <v>132531875.62</v>
      </c>
      <c r="J4" s="58">
        <f t="shared" si="2"/>
        <v>96.593874578720758</v>
      </c>
    </row>
    <row r="5" spans="1:10" x14ac:dyDescent="0.3">
      <c r="A5" s="4" t="s">
        <v>30</v>
      </c>
      <c r="B5" s="43">
        <f>SUM(B2:B4)</f>
        <v>2259980653.9200001</v>
      </c>
      <c r="C5" s="43">
        <f>SUM(C2:C4)</f>
        <v>2295284301</v>
      </c>
      <c r="D5" s="43">
        <f>SUM(D2:D4)</f>
        <v>2350792238.4400001</v>
      </c>
      <c r="E5" s="43">
        <f>SUM(E2:E4)</f>
        <v>2318589143.1400003</v>
      </c>
      <c r="F5" s="43">
        <f>SUM(F2:F4)</f>
        <v>2400962932.71</v>
      </c>
      <c r="G5" s="43">
        <f t="shared" si="1"/>
        <v>94.113819552509824</v>
      </c>
      <c r="H5" s="44">
        <f t="shared" si="0"/>
        <v>3.5527549076005442</v>
      </c>
      <c r="I5" s="43">
        <f>SUM(I2:I4)</f>
        <v>2163758696.1999998</v>
      </c>
      <c r="J5" s="45">
        <f>IF(F5&gt;0,I5/F5*100,"-")</f>
        <v>90.12045403623685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98750953.760000005</v>
      </c>
      <c r="C7" s="56">
        <f>Entrate_Uscite!E7</f>
        <v>89109721.840000004</v>
      </c>
      <c r="D7" s="56">
        <f>Entrate_Uscite!H7</f>
        <v>124592616.81999999</v>
      </c>
      <c r="E7" s="56">
        <f>Entrate_Uscite!K7</f>
        <v>82201446.950000003</v>
      </c>
      <c r="F7" s="56">
        <f>Entrate_Uscite!N7</f>
        <v>83631165.640000001</v>
      </c>
      <c r="G7" s="56">
        <f t="shared" si="1"/>
        <v>3.2782048922034313</v>
      </c>
      <c r="H7" s="57">
        <f t="shared" si="0"/>
        <v>1.7392865248097706</v>
      </c>
      <c r="I7" s="56">
        <f>Entrate_Uscite!O7</f>
        <v>23129597</v>
      </c>
      <c r="J7" s="58">
        <f t="shared" si="2"/>
        <v>27.656671795732251</v>
      </c>
    </row>
    <row r="8" spans="1:10" x14ac:dyDescent="0.3">
      <c r="A8" s="55" t="s">
        <v>24</v>
      </c>
      <c r="B8" s="56">
        <f>Entrate_Uscite!B8</f>
        <v>271394</v>
      </c>
      <c r="C8" s="56">
        <f>Entrate_Uscite!E8</f>
        <v>339872.6</v>
      </c>
      <c r="D8" s="56">
        <f>Entrate_Uscite!H8</f>
        <v>0</v>
      </c>
      <c r="E8" s="56">
        <f>Entrate_Uscite!K8</f>
        <v>46500</v>
      </c>
      <c r="F8" s="56">
        <f>Entrate_Uscite!N8</f>
        <v>4988339.9000000004</v>
      </c>
      <c r="G8" s="56">
        <f t="shared" si="1"/>
        <v>0.1955347643311118</v>
      </c>
      <c r="H8" s="57">
        <f t="shared" si="0"/>
        <v>10627.612688172045</v>
      </c>
      <c r="I8" s="56">
        <f>Entrate_Uscite!O8</f>
        <v>4965239.9000000004</v>
      </c>
      <c r="J8" s="58">
        <f t="shared" si="2"/>
        <v>99.53692008838452</v>
      </c>
    </row>
    <row r="9" spans="1:10" x14ac:dyDescent="0.3">
      <c r="A9" s="55" t="s">
        <v>25</v>
      </c>
      <c r="B9" s="56">
        <f>Entrate_Uscite!B9</f>
        <v>24101</v>
      </c>
      <c r="C9" s="56">
        <f>Entrate_Uscite!E9</f>
        <v>3377.93</v>
      </c>
      <c r="D9" s="56">
        <f>Entrate_Uscite!H9</f>
        <v>13620.66</v>
      </c>
      <c r="E9" s="56">
        <f>Entrate_Uscite!K9</f>
        <v>145129.63</v>
      </c>
      <c r="F9" s="56">
        <f>Entrate_Uscite!N9</f>
        <v>5700</v>
      </c>
      <c r="G9" s="56">
        <f t="shared" si="1"/>
        <v>2.2343067614284608E-4</v>
      </c>
      <c r="H9" s="57">
        <f t="shared" si="0"/>
        <v>-96.072476723050968</v>
      </c>
      <c r="I9" s="56">
        <f>Entrate_Uscite!O9</f>
        <v>5700</v>
      </c>
      <c r="J9" s="58">
        <f t="shared" si="2"/>
        <v>100</v>
      </c>
    </row>
    <row r="10" spans="1:10" x14ac:dyDescent="0.3">
      <c r="A10" s="55" t="s">
        <v>26</v>
      </c>
      <c r="B10" s="56">
        <f>Entrate_Uscite!B10</f>
        <v>2078170.01</v>
      </c>
      <c r="C10" s="56">
        <f>Entrate_Uscite!E10</f>
        <v>1976793.28</v>
      </c>
      <c r="D10" s="56">
        <f>Entrate_Uscite!H10</f>
        <v>2507641.91</v>
      </c>
      <c r="E10" s="56">
        <f>Entrate_Uscite!K10</f>
        <v>2598394.6</v>
      </c>
      <c r="F10" s="56">
        <f>Entrate_Uscite!N10</f>
        <v>3652731.88</v>
      </c>
      <c r="G10" s="56">
        <f t="shared" si="1"/>
        <v>0.14318111468718059</v>
      </c>
      <c r="H10" s="57">
        <f t="shared" si="0"/>
        <v>40.576488267024558</v>
      </c>
      <c r="I10" s="56">
        <f>Entrate_Uscite!O10</f>
        <v>2768500.74</v>
      </c>
      <c r="J10" s="58">
        <f t="shared" si="2"/>
        <v>75.792607586626389</v>
      </c>
    </row>
    <row r="11" spans="1:10" x14ac:dyDescent="0.3">
      <c r="A11" s="4" t="s">
        <v>31</v>
      </c>
      <c r="B11" s="46">
        <f>SUM(B6:B10)</f>
        <v>101124618.77000001</v>
      </c>
      <c r="C11" s="46">
        <f>SUM(C6:C10)</f>
        <v>91429765.650000006</v>
      </c>
      <c r="D11" s="46">
        <f>SUM(D6:D10)</f>
        <v>127113879.38999999</v>
      </c>
      <c r="E11" s="46">
        <f>SUM(E6:E10)</f>
        <v>84991471.179999992</v>
      </c>
      <c r="F11" s="46">
        <f>SUM(F6:F10)</f>
        <v>92277937.420000002</v>
      </c>
      <c r="G11" s="46">
        <f t="shared" si="1"/>
        <v>3.6171442018978666</v>
      </c>
      <c r="H11" s="44">
        <f t="shared" si="0"/>
        <v>8.5731734476842973</v>
      </c>
      <c r="I11" s="46">
        <f>SUM(I6:I10)</f>
        <v>30869037.640000001</v>
      </c>
      <c r="J11" s="45">
        <f>IF(F11&gt;0,I11/F11*100,"-")</f>
        <v>33.452240593003928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 t="shared" si="1"/>
        <v>0</v>
      </c>
      <c r="H12" s="57" t="str">
        <f t="shared" si="0"/>
        <v>-</v>
      </c>
      <c r="I12" s="56">
        <f>Entrate_Uscite!O11</f>
        <v>0</v>
      </c>
      <c r="J12" s="58" t="str">
        <f t="shared" si="2"/>
        <v>-</v>
      </c>
    </row>
    <row r="13" spans="1:10" x14ac:dyDescent="0.3">
      <c r="A13" s="55" t="s">
        <v>28</v>
      </c>
      <c r="B13" s="56">
        <f>Entrate_Uscite!B12</f>
        <v>4000000</v>
      </c>
      <c r="C13" s="56">
        <f>Entrate_Uscite!E12</f>
        <v>17465095.809999999</v>
      </c>
      <c r="D13" s="56">
        <f>Entrate_Uscite!H12</f>
        <v>4500000</v>
      </c>
      <c r="E13" s="56">
        <f>Entrate_Uscite!K12</f>
        <v>1355106.79</v>
      </c>
      <c r="F13" s="56">
        <f>Entrate_Uscite!N12</f>
        <v>1407593.97</v>
      </c>
      <c r="G13" s="56">
        <f t="shared" si="1"/>
        <v>5.5175381131875964E-2</v>
      </c>
      <c r="H13" s="57">
        <f t="shared" si="0"/>
        <v>3.8732873591460475</v>
      </c>
      <c r="I13" s="56">
        <f>Entrate_Uscite!O12</f>
        <v>1314137.49</v>
      </c>
      <c r="J13" s="58">
        <f t="shared" si="2"/>
        <v>93.360551267493705</v>
      </c>
    </row>
    <row r="14" spans="1:10" x14ac:dyDescent="0.3">
      <c r="A14" s="55" t="s">
        <v>29</v>
      </c>
      <c r="B14" s="56">
        <f>Entrate_Uscite!B13</f>
        <v>36773840.659999996</v>
      </c>
      <c r="C14" s="56">
        <f>Entrate_Uscite!E13</f>
        <v>8936468.6999999993</v>
      </c>
      <c r="D14" s="56">
        <f>Entrate_Uscite!H13</f>
        <v>60667160.409999996</v>
      </c>
      <c r="E14" s="56">
        <f>Entrate_Uscite!K13</f>
        <v>77683071.450000003</v>
      </c>
      <c r="F14" s="56">
        <f>Entrate_Uscite!N13</f>
        <v>56478399.229999997</v>
      </c>
      <c r="G14" s="56">
        <f t="shared" si="1"/>
        <v>2.2138608644604383</v>
      </c>
      <c r="H14" s="57">
        <f t="shared" si="0"/>
        <v>-27.296387519445858</v>
      </c>
      <c r="I14" s="56">
        <f>Entrate_Uscite!O13</f>
        <v>0</v>
      </c>
      <c r="J14" s="58">
        <f t="shared" si="2"/>
        <v>0</v>
      </c>
    </row>
    <row r="15" spans="1:10" x14ac:dyDescent="0.3">
      <c r="A15" s="4" t="s">
        <v>32</v>
      </c>
      <c r="B15" s="43">
        <f>SUM(B12:B14)</f>
        <v>40773840.659999996</v>
      </c>
      <c r="C15" s="43">
        <f>SUM(C12:C14)</f>
        <v>26401564.509999998</v>
      </c>
      <c r="D15" s="43">
        <f>SUM(D12:D14)</f>
        <v>65167160.409999996</v>
      </c>
      <c r="E15" s="43">
        <f>SUM(E12:E14)</f>
        <v>79038178.24000001</v>
      </c>
      <c r="F15" s="43">
        <f>SUM(F12:F14)</f>
        <v>57885993.199999996</v>
      </c>
      <c r="G15" s="43">
        <f t="shared" si="1"/>
        <v>2.2690362455923143</v>
      </c>
      <c r="H15" s="44">
        <f t="shared" si="0"/>
        <v>-26.761984538372388</v>
      </c>
      <c r="I15" s="43">
        <f>SUM(I12:I14)</f>
        <v>1314137.49</v>
      </c>
      <c r="J15" s="45">
        <f t="shared" si="2"/>
        <v>2.2702167093506831</v>
      </c>
    </row>
    <row r="16" spans="1:10" x14ac:dyDescent="0.3">
      <c r="A16" s="47" t="s">
        <v>344</v>
      </c>
      <c r="B16" s="48">
        <f>B5+B11+B15</f>
        <v>2401879113.3499999</v>
      </c>
      <c r="C16" s="48">
        <f t="shared" ref="C16:F16" si="3">C5+C11+C15</f>
        <v>2413115631.1600003</v>
      </c>
      <c r="D16" s="48">
        <f t="shared" si="3"/>
        <v>2543073278.2399998</v>
      </c>
      <c r="E16" s="48">
        <f t="shared" ref="E16" si="4">E5+E11+E15</f>
        <v>2482618792.5600004</v>
      </c>
      <c r="F16" s="48">
        <f t="shared" si="3"/>
        <v>2551126863.3299999</v>
      </c>
      <c r="G16" s="48">
        <f t="shared" si="1"/>
        <v>100</v>
      </c>
      <c r="H16" s="49">
        <f t="shared" si="0"/>
        <v>2.7595082650347678</v>
      </c>
      <c r="I16" s="48">
        <f t="shared" ref="I16" si="5">I5+I11+I15</f>
        <v>2195941871.3299994</v>
      </c>
      <c r="J16" s="50">
        <f t="shared" si="2"/>
        <v>86.077329312569915</v>
      </c>
    </row>
    <row r="17" spans="1:10" x14ac:dyDescent="0.3">
      <c r="A17" s="4" t="s">
        <v>33</v>
      </c>
      <c r="B17" s="43">
        <f>Entrate_Uscite!B17</f>
        <v>13217974.82</v>
      </c>
      <c r="C17" s="43">
        <f>Entrate_Uscite!E17</f>
        <v>101673908.56999999</v>
      </c>
      <c r="D17" s="43">
        <f>Entrate_Uscite!H17</f>
        <v>7860000</v>
      </c>
      <c r="E17" s="43">
        <f>Entrate_Uscite!K17</f>
        <v>8860000</v>
      </c>
      <c r="F17" s="43">
        <f>Entrate_Uscite!N17</f>
        <v>0</v>
      </c>
      <c r="G17" s="43">
        <f t="shared" si="1"/>
        <v>0</v>
      </c>
      <c r="H17" s="44">
        <f t="shared" si="0"/>
        <v>-100</v>
      </c>
      <c r="I17" s="43">
        <f>Entrate_Uscite!O17</f>
        <v>0</v>
      </c>
      <c r="J17" s="45" t="str">
        <f t="shared" si="2"/>
        <v>-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440755092.63</v>
      </c>
      <c r="C19" s="43">
        <f>Entrate_Uscite!E19</f>
        <v>392359697.11000001</v>
      </c>
      <c r="D19" s="43">
        <f>Entrate_Uscite!H19</f>
        <v>410756028.30000001</v>
      </c>
      <c r="E19" s="43">
        <f>Entrate_Uscite!K19</f>
        <v>278016483.58999997</v>
      </c>
      <c r="F19" s="43">
        <f>Entrate_Uscite!N19</f>
        <v>434217998.06</v>
      </c>
      <c r="G19" s="43"/>
      <c r="H19" s="44">
        <f t="shared" si="0"/>
        <v>56.184263772055886</v>
      </c>
      <c r="I19" s="43">
        <f>Entrate_Uscite!O19</f>
        <v>407673054.11000001</v>
      </c>
      <c r="J19" s="45">
        <f t="shared" si="2"/>
        <v>93.88672416422223</v>
      </c>
    </row>
    <row r="20" spans="1:10" x14ac:dyDescent="0.3">
      <c r="A20" s="47" t="s">
        <v>36</v>
      </c>
      <c r="B20" s="48">
        <f>B5+B11+B15+B17+B18+B19</f>
        <v>2855852180.8000002</v>
      </c>
      <c r="C20" s="48">
        <f>C5+C11+C15+C17+C18+C19</f>
        <v>2907149236.8400006</v>
      </c>
      <c r="D20" s="48">
        <f>D5+D11+D15+D17+D18+D19</f>
        <v>2961689306.54</v>
      </c>
      <c r="E20" s="48">
        <f>E5+E11+E15+E17+E18+E19</f>
        <v>2769495276.1500006</v>
      </c>
      <c r="F20" s="48">
        <f>F5+F11+F15+F17+F18+F19</f>
        <v>2985344861.3899999</v>
      </c>
      <c r="G20" s="48"/>
      <c r="H20" s="49">
        <f t="shared" si="0"/>
        <v>7.7938239179834028</v>
      </c>
      <c r="I20" s="48">
        <f>I5+I11+I15+I17+I18+I19</f>
        <v>2603614925.4399996</v>
      </c>
      <c r="J20" s="50">
        <f t="shared" si="2"/>
        <v>87.213204715911317</v>
      </c>
    </row>
    <row r="21" spans="1:10" x14ac:dyDescent="0.3">
      <c r="A21" s="38" t="s">
        <v>37</v>
      </c>
      <c r="B21" s="51">
        <f>B20-B19</f>
        <v>2415097088.1700001</v>
      </c>
      <c r="C21" s="51">
        <f>C20-C19</f>
        <v>2514789539.7300005</v>
      </c>
      <c r="D21" s="51">
        <f>D20-D19</f>
        <v>2550933278.2399998</v>
      </c>
      <c r="E21" s="51">
        <f>E20-E19</f>
        <v>2491478792.5600004</v>
      </c>
      <c r="F21" s="51">
        <f>F20-F19</f>
        <v>2551126863.3299999</v>
      </c>
      <c r="G21" s="51">
        <f t="shared" si="1"/>
        <v>100</v>
      </c>
      <c r="H21" s="52">
        <f t="shared" si="0"/>
        <v>2.3940830220236791</v>
      </c>
      <c r="I21" s="51">
        <f>I20-I19</f>
        <v>2195941871.3299994</v>
      </c>
      <c r="J21" s="53">
        <f t="shared" si="2"/>
        <v>86.077329312569915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I1" sqref="I1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6" width="14.3320312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368</v>
      </c>
      <c r="J1" s="42" t="s">
        <v>335</v>
      </c>
    </row>
    <row r="2" spans="1:10" x14ac:dyDescent="0.3">
      <c r="A2" s="59" t="s">
        <v>269</v>
      </c>
      <c r="B2" s="56">
        <f>Entrate_Uscite!B23</f>
        <v>57538083.719999999</v>
      </c>
      <c r="C2" s="56">
        <f>Entrate_Uscite!E23</f>
        <v>55980692.289999999</v>
      </c>
      <c r="D2" s="56">
        <f>Entrate_Uscite!H23</f>
        <v>59332973.68</v>
      </c>
      <c r="E2" s="56">
        <f>Entrate_Uscite!K23</f>
        <v>57092619.68</v>
      </c>
      <c r="F2" s="56">
        <f>Entrate_Uscite!N23</f>
        <v>57812948.229999997</v>
      </c>
      <c r="G2" s="56">
        <f>F2/F$31*100</f>
        <v>2.2354405083197331</v>
      </c>
      <c r="H2" s="57">
        <f>IF(E2&gt;0,F2/E2*100-100,"-")</f>
        <v>1.2616841792115707</v>
      </c>
      <c r="I2" s="56">
        <f>Entrate_Uscite!O23</f>
        <v>53012911.609999999</v>
      </c>
      <c r="J2" s="58">
        <f>IF(F2&gt;0,I2/F2*100,"-")</f>
        <v>91.697298326831927</v>
      </c>
    </row>
    <row r="3" spans="1:10" x14ac:dyDescent="0.3">
      <c r="A3" s="59" t="s">
        <v>270</v>
      </c>
      <c r="B3" s="56">
        <f>Entrate_Uscite!B24</f>
        <v>5179362.55</v>
      </c>
      <c r="C3" s="56">
        <f>Entrate_Uscite!E24</f>
        <v>5367918.4400000004</v>
      </c>
      <c r="D3" s="56">
        <f>Entrate_Uscite!H24</f>
        <v>5727444.9400000004</v>
      </c>
      <c r="E3" s="56">
        <f>Entrate_Uscite!K24</f>
        <v>5377753.5</v>
      </c>
      <c r="F3" s="56">
        <f>Entrate_Uscite!N24</f>
        <v>5275818.5199999996</v>
      </c>
      <c r="G3" s="56">
        <f t="shared" ref="G3:G31" si="0">F3/F$31*100</f>
        <v>0.20399891019623689</v>
      </c>
      <c r="H3" s="57">
        <f t="shared" ref="H3:H31" si="1">IF(E3&gt;0,F3/E3*100-100,"-")</f>
        <v>-1.8954937224251722</v>
      </c>
      <c r="I3" s="56">
        <f>Entrate_Uscite!O24</f>
        <v>4502133.87</v>
      </c>
      <c r="J3" s="58">
        <f>IF(F3&gt;0,I3/F3*100,"-")</f>
        <v>85.335267938670498</v>
      </c>
    </row>
    <row r="4" spans="1:10" x14ac:dyDescent="0.3">
      <c r="A4" s="59" t="s">
        <v>271</v>
      </c>
      <c r="B4" s="56">
        <f>Entrate_Uscite!B25</f>
        <v>89913453.890000001</v>
      </c>
      <c r="C4" s="56">
        <f>Entrate_Uscite!E25</f>
        <v>97965571.790000007</v>
      </c>
      <c r="D4" s="56">
        <f>Entrate_Uscite!H25</f>
        <v>94666804.930000007</v>
      </c>
      <c r="E4" s="56">
        <f>Entrate_Uscite!K25</f>
        <v>91339266.629999995</v>
      </c>
      <c r="F4" s="56">
        <f>Entrate_Uscite!N25</f>
        <v>94949514.530000001</v>
      </c>
      <c r="G4" s="56">
        <f t="shared" si="0"/>
        <v>3.6713919203918635</v>
      </c>
      <c r="H4" s="57">
        <f t="shared" si="1"/>
        <v>3.9525693967135851</v>
      </c>
      <c r="I4" s="56">
        <f>Entrate_Uscite!O25</f>
        <v>75067746.069999993</v>
      </c>
      <c r="J4" s="58">
        <f t="shared" ref="J4:J9" si="2">IF(F4&gt;0,I4/F4*100,"-")</f>
        <v>79.06069498257601</v>
      </c>
    </row>
    <row r="5" spans="1:10" x14ac:dyDescent="0.3">
      <c r="A5" s="59" t="s">
        <v>272</v>
      </c>
      <c r="B5" s="56">
        <f>Entrate_Uscite!B26</f>
        <v>1978374072</v>
      </c>
      <c r="C5" s="56">
        <f>Entrate_Uscite!E26</f>
        <v>1998103392.1099999</v>
      </c>
      <c r="D5" s="56">
        <f>Entrate_Uscite!H26</f>
        <v>2063850439.6600001</v>
      </c>
      <c r="E5" s="56">
        <f>Entrate_Uscite!K26</f>
        <v>2014364135.8499999</v>
      </c>
      <c r="F5" s="56">
        <f>Entrate_Uscite!N26</f>
        <v>2170957146.3200002</v>
      </c>
      <c r="G5" s="56">
        <f t="shared" si="0"/>
        <v>83.943920787482369</v>
      </c>
      <c r="H5" s="57">
        <f t="shared" si="1"/>
        <v>7.7738184314884506</v>
      </c>
      <c r="I5" s="56">
        <f>Entrate_Uscite!O26</f>
        <v>2036551465.1300001</v>
      </c>
      <c r="J5" s="58">
        <f t="shared" si="2"/>
        <v>93.808920575985027</v>
      </c>
    </row>
    <row r="6" spans="1:10" x14ac:dyDescent="0.3">
      <c r="A6" s="59" t="s">
        <v>273</v>
      </c>
      <c r="B6" s="56">
        <f>Entrate_Uscite!B29</f>
        <v>38813665.210000001</v>
      </c>
      <c r="C6" s="56">
        <f>Entrate_Uscite!E29</f>
        <v>35790786.159999996</v>
      </c>
      <c r="D6" s="56">
        <f>Entrate_Uscite!H29</f>
        <v>37949050.399999999</v>
      </c>
      <c r="E6" s="56">
        <f>Entrate_Uscite!K29</f>
        <v>36446136.609999999</v>
      </c>
      <c r="F6" s="56">
        <f>Entrate_Uscite!N29</f>
        <v>36005727.030000001</v>
      </c>
      <c r="G6" s="56">
        <f t="shared" si="0"/>
        <v>1.3922254996260164</v>
      </c>
      <c r="H6" s="57">
        <f t="shared" si="1"/>
        <v>-1.2083848137669548</v>
      </c>
      <c r="I6" s="56">
        <f>Entrate_Uscite!O29</f>
        <v>36005514.579999998</v>
      </c>
      <c r="J6" s="58">
        <f t="shared" si="2"/>
        <v>99.999409954977921</v>
      </c>
    </row>
    <row r="7" spans="1:10" x14ac:dyDescent="0.3">
      <c r="A7" s="59" t="s">
        <v>274</v>
      </c>
      <c r="B7" s="56">
        <f>Entrate_Uscite!B30</f>
        <v>649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275</v>
      </c>
      <c r="B8" s="56">
        <f>Entrate_Uscite!B31</f>
        <v>434071.89</v>
      </c>
      <c r="C8" s="56">
        <f>Entrate_Uscite!E31</f>
        <v>348487.96</v>
      </c>
      <c r="D8" s="56">
        <f>Entrate_Uscite!H31</f>
        <v>614749.38</v>
      </c>
      <c r="E8" s="56">
        <f>Entrate_Uscite!K31</f>
        <v>431620.39</v>
      </c>
      <c r="F8" s="56">
        <f>Entrate_Uscite!N31</f>
        <v>783121.85</v>
      </c>
      <c r="G8" s="56">
        <f t="shared" si="0"/>
        <v>3.0280799717663693E-2</v>
      </c>
      <c r="H8" s="57">
        <f t="shared" si="1"/>
        <v>81.437640144850434</v>
      </c>
      <c r="I8" s="56">
        <f>Entrate_Uscite!O31</f>
        <v>584755.37</v>
      </c>
      <c r="J8" s="58">
        <f t="shared" si="2"/>
        <v>74.669780954266571</v>
      </c>
    </row>
    <row r="9" spans="1:10" x14ac:dyDescent="0.3">
      <c r="A9" s="59" t="s">
        <v>276</v>
      </c>
      <c r="B9" s="56">
        <f>Entrate_Uscite!B32</f>
        <v>2054679.2</v>
      </c>
      <c r="C9" s="56">
        <f>Entrate_Uscite!E32</f>
        <v>961619.38</v>
      </c>
      <c r="D9" s="56">
        <f>Entrate_Uscite!H32</f>
        <v>1475328.99</v>
      </c>
      <c r="E9" s="56">
        <f>Entrate_Uscite!K32</f>
        <v>4693702.84</v>
      </c>
      <c r="F9" s="56">
        <f>Entrate_Uscite!N32</f>
        <v>595026.80000000005</v>
      </c>
      <c r="G9" s="56">
        <f t="shared" si="0"/>
        <v>2.3007769937005762E-2</v>
      </c>
      <c r="H9" s="57">
        <f t="shared" si="1"/>
        <v>-87.322870230958202</v>
      </c>
      <c r="I9" s="56">
        <f>Entrate_Uscite!O32</f>
        <v>473819.51</v>
      </c>
      <c r="J9" s="58">
        <f t="shared" si="2"/>
        <v>79.629944399143028</v>
      </c>
    </row>
    <row r="10" spans="1:10" x14ac:dyDescent="0.3">
      <c r="A10" s="4" t="s">
        <v>281</v>
      </c>
      <c r="B10" s="43">
        <f>SUM(B2:B9)</f>
        <v>2172308037.4599996</v>
      </c>
      <c r="C10" s="43">
        <f>SUM(C2:C9)</f>
        <v>2194518468.1300001</v>
      </c>
      <c r="D10" s="43">
        <f>SUM(D2:D9)</f>
        <v>2263616791.98</v>
      </c>
      <c r="E10" s="43">
        <f>SUM(E2:E9)</f>
        <v>2209745235.5</v>
      </c>
      <c r="F10" s="43">
        <f>SUM(F2:F9)</f>
        <v>2366379303.2800007</v>
      </c>
      <c r="G10" s="43">
        <f t="shared" si="0"/>
        <v>91.500266195670903</v>
      </c>
      <c r="H10" s="44">
        <f t="shared" si="1"/>
        <v>7.0883315082500502</v>
      </c>
      <c r="I10" s="43">
        <f>SUM(I2:I9)</f>
        <v>2206198346.1400003</v>
      </c>
      <c r="J10" s="45">
        <f t="shared" ref="J10:J17" si="3">IF(F10&gt;0,I10/F10*100,"-")</f>
        <v>93.2309686398129</v>
      </c>
    </row>
    <row r="11" spans="1:10" x14ac:dyDescent="0.3">
      <c r="A11" s="59" t="s">
        <v>277</v>
      </c>
      <c r="B11" s="56">
        <f>Entrate_Uscite!B34</f>
        <v>13865143</v>
      </c>
      <c r="C11" s="56">
        <f>Entrate_Uscite!E34</f>
        <v>9676136.1300000008</v>
      </c>
      <c r="D11" s="56">
        <f>Entrate_Uscite!H34</f>
        <v>8034776.4699999997</v>
      </c>
      <c r="E11" s="56">
        <f>Entrate_Uscite!K34</f>
        <v>5047655.95</v>
      </c>
      <c r="F11" s="56">
        <f>Entrate_Uscite!N34</f>
        <v>4765074.2</v>
      </c>
      <c r="G11" s="56">
        <f t="shared" si="0"/>
        <v>0.18425007230995608</v>
      </c>
      <c r="H11" s="57">
        <f t="shared" si="1"/>
        <v>-5.5982767605228645</v>
      </c>
      <c r="I11" s="56">
        <f>Entrate_Uscite!O34</f>
        <v>1428604.06</v>
      </c>
      <c r="J11" s="58">
        <f t="shared" si="3"/>
        <v>29.980730625348919</v>
      </c>
    </row>
    <row r="12" spans="1:10" x14ac:dyDescent="0.3">
      <c r="A12" s="59" t="s">
        <v>278</v>
      </c>
      <c r="B12" s="56">
        <f>Entrate_Uscite!B35</f>
        <v>103426497.81999999</v>
      </c>
      <c r="C12" s="56">
        <f>Entrate_Uscite!E35</f>
        <v>100174705.5</v>
      </c>
      <c r="D12" s="56">
        <f>Entrate_Uscite!H35</f>
        <v>155725409.81999999</v>
      </c>
      <c r="E12" s="56">
        <f>Entrate_Uscite!K35</f>
        <v>111707296.58</v>
      </c>
      <c r="F12" s="56">
        <f>Entrate_Uscite!N35</f>
        <v>117551165.48</v>
      </c>
      <c r="G12" s="56">
        <f t="shared" si="0"/>
        <v>4.5453249688765833</v>
      </c>
      <c r="H12" s="57">
        <f t="shared" si="1"/>
        <v>5.2314119837417081</v>
      </c>
      <c r="I12" s="56">
        <f>Entrate_Uscite!O35</f>
        <v>86284865.230000004</v>
      </c>
      <c r="J12" s="58">
        <f t="shared" si="3"/>
        <v>73.401964904108411</v>
      </c>
    </row>
    <row r="13" spans="1:10" x14ac:dyDescent="0.3">
      <c r="A13" s="59" t="s">
        <v>279</v>
      </c>
      <c r="B13" s="56">
        <f>Entrate_Uscite!B36</f>
        <v>12357402.98</v>
      </c>
      <c r="C13" s="56">
        <f>Entrate_Uscite!E36</f>
        <v>7975241</v>
      </c>
      <c r="D13" s="56">
        <f>Entrate_Uscite!H36</f>
        <v>4318074.8899999997</v>
      </c>
      <c r="E13" s="56">
        <f>Entrate_Uscite!K36</f>
        <v>1749741</v>
      </c>
      <c r="F13" s="56">
        <f>Entrate_Uscite!N36</f>
        <v>1774241</v>
      </c>
      <c r="G13" s="56">
        <f t="shared" si="0"/>
        <v>6.8604185123767591E-2</v>
      </c>
      <c r="H13" s="57">
        <f t="shared" si="1"/>
        <v>1.4002072306701336</v>
      </c>
      <c r="I13" s="56">
        <f>Entrate_Uscite!O36</f>
        <v>1725241</v>
      </c>
      <c r="J13" s="58">
        <f t="shared" si="3"/>
        <v>97.238255682288937</v>
      </c>
    </row>
    <row r="14" spans="1:10" x14ac:dyDescent="0.3">
      <c r="A14" s="59" t="s">
        <v>280</v>
      </c>
      <c r="B14" s="56">
        <f>Entrate_Uscite!B37</f>
        <v>96651.42</v>
      </c>
      <c r="C14" s="56">
        <f>Entrate_Uscite!E37</f>
        <v>740808.71</v>
      </c>
      <c r="D14" s="56">
        <f>Entrate_Uscite!H37</f>
        <v>0</v>
      </c>
      <c r="E14" s="56">
        <f>Entrate_Uscite!K37</f>
        <v>1623146.73</v>
      </c>
      <c r="F14" s="56">
        <f>Entrate_Uscite!N37</f>
        <v>2366304.7999999998</v>
      </c>
      <c r="G14" s="56">
        <f t="shared" si="0"/>
        <v>9.1497385393788003E-2</v>
      </c>
      <c r="H14" s="109">
        <f t="shared" si="1"/>
        <v>45.785020926604716</v>
      </c>
      <c r="I14" s="56">
        <f>Entrate_Uscite!O37</f>
        <v>2366304.7999999998</v>
      </c>
      <c r="J14" s="58">
        <f t="shared" si="3"/>
        <v>100</v>
      </c>
    </row>
    <row r="15" spans="1:10" x14ac:dyDescent="0.3">
      <c r="A15" s="4" t="s">
        <v>282</v>
      </c>
      <c r="B15" s="46">
        <f>SUM(B11:B14)</f>
        <v>129745695.22</v>
      </c>
      <c r="C15" s="46">
        <f>SUM(C11:C14)</f>
        <v>118566891.33999999</v>
      </c>
      <c r="D15" s="46">
        <f>SUM(D11:D14)</f>
        <v>168078261.17999998</v>
      </c>
      <c r="E15" s="46">
        <f>SUM(E11:E14)</f>
        <v>120127840.26000001</v>
      </c>
      <c r="F15" s="46">
        <f>SUM(F11:F14)</f>
        <v>126456785.48</v>
      </c>
      <c r="G15" s="46">
        <f t="shared" si="0"/>
        <v>4.8896766117040951</v>
      </c>
      <c r="H15" s="44">
        <f t="shared" si="1"/>
        <v>5.2685082877556653</v>
      </c>
      <c r="I15" s="46">
        <f>SUM(I11:I14)</f>
        <v>91805015.090000004</v>
      </c>
      <c r="J15" s="45">
        <f t="shared" si="3"/>
        <v>72.59793512979941</v>
      </c>
    </row>
    <row r="16" spans="1:10" x14ac:dyDescent="0.3">
      <c r="A16" s="59" t="s">
        <v>283</v>
      </c>
      <c r="B16" s="56">
        <f>Entrate_Uscite!B38</f>
        <v>0</v>
      </c>
      <c r="C16" s="56">
        <f>Entrate_Uscite!E38</f>
        <v>0</v>
      </c>
      <c r="D16" s="56">
        <f>Entrate_Uscite!H38</f>
        <v>53119</v>
      </c>
      <c r="E16" s="56">
        <f>Entrate_Uscite!K38</f>
        <v>78881</v>
      </c>
      <c r="F16" s="56">
        <f>Entrate_Uscite!N38</f>
        <v>0</v>
      </c>
      <c r="G16" s="56">
        <f t="shared" si="0"/>
        <v>0</v>
      </c>
      <c r="H16" s="57">
        <f t="shared" si="1"/>
        <v>-100</v>
      </c>
      <c r="I16" s="56">
        <f>Entrate_Uscite!O38</f>
        <v>0</v>
      </c>
      <c r="J16" s="58" t="str">
        <f t="shared" si="3"/>
        <v>-</v>
      </c>
    </row>
    <row r="17" spans="1:10" x14ac:dyDescent="0.3">
      <c r="A17" s="59" t="s">
        <v>284</v>
      </c>
      <c r="B17" s="56">
        <f>Entrate_Uscite!B39</f>
        <v>4000000</v>
      </c>
      <c r="C17" s="56">
        <f>Entrate_Uscite!E39</f>
        <v>5000000</v>
      </c>
      <c r="D17" s="56">
        <f>Entrate_Uscite!H39</f>
        <v>4500000</v>
      </c>
      <c r="E17" s="56">
        <f>Entrate_Uscite!K39</f>
        <v>0</v>
      </c>
      <c r="F17" s="56">
        <f>Entrate_Uscite!N39</f>
        <v>0</v>
      </c>
      <c r="G17" s="56">
        <f t="shared" si="0"/>
        <v>0</v>
      </c>
      <c r="H17" s="57" t="str">
        <f t="shared" si="1"/>
        <v>-</v>
      </c>
      <c r="I17" s="56">
        <f>Entrate_Uscite!O39</f>
        <v>0</v>
      </c>
      <c r="J17" s="58" t="str">
        <f t="shared" si="3"/>
        <v>-</v>
      </c>
    </row>
    <row r="18" spans="1:10" x14ac:dyDescent="0.3">
      <c r="A18" s="59" t="s">
        <v>285</v>
      </c>
      <c r="B18" s="56">
        <f>Entrate_Uscite!B40</f>
        <v>0</v>
      </c>
      <c r="C18" s="56">
        <f>Entrate_Uscite!E40</f>
        <v>0</v>
      </c>
      <c r="D18" s="56">
        <f>Entrate_Uscite!H40</f>
        <v>0</v>
      </c>
      <c r="E18" s="56">
        <f>Entrate_Uscite!K40</f>
        <v>0</v>
      </c>
      <c r="F18" s="56">
        <f>Entrate_Uscite!N40</f>
        <v>0</v>
      </c>
      <c r="G18" s="56">
        <f t="shared" si="0"/>
        <v>0</v>
      </c>
      <c r="H18" s="57" t="str">
        <f t="shared" si="1"/>
        <v>-</v>
      </c>
      <c r="I18" s="56">
        <f>Entrate_Uscite!O40</f>
        <v>0</v>
      </c>
      <c r="J18" s="58" t="str">
        <f t="shared" ref="J18:J26" si="4">IF(F18&gt;0,I18/F18*100,"-")</f>
        <v>-</v>
      </c>
    </row>
    <row r="19" spans="1:10" x14ac:dyDescent="0.3">
      <c r="A19" s="59" t="s">
        <v>286</v>
      </c>
      <c r="B19" s="56">
        <f>Entrate_Uscite!B41</f>
        <v>44792585.859999999</v>
      </c>
      <c r="C19" s="56">
        <f>Entrate_Uscite!E41</f>
        <v>13895354.25</v>
      </c>
      <c r="D19" s="56">
        <f>Entrate_Uscite!H41</f>
        <v>71295047.319999993</v>
      </c>
      <c r="E19" s="56">
        <f>Entrate_Uscite!K41</f>
        <v>89854264.790000007</v>
      </c>
      <c r="F19" s="56">
        <f>Entrate_Uscite!N41</f>
        <v>83286217.969999999</v>
      </c>
      <c r="G19" s="56">
        <f t="shared" si="0"/>
        <v>3.2204098067130329</v>
      </c>
      <c r="H19" s="57">
        <f t="shared" si="1"/>
        <v>-7.3096661970918291</v>
      </c>
      <c r="I19" s="56">
        <f>Entrate_Uscite!O41</f>
        <v>83286217.969999999</v>
      </c>
      <c r="J19" s="58">
        <f t="shared" si="4"/>
        <v>100</v>
      </c>
    </row>
    <row r="20" spans="1:10" x14ac:dyDescent="0.3">
      <c r="A20" s="4" t="s">
        <v>287</v>
      </c>
      <c r="B20" s="43">
        <f>SUM(B16:B19)</f>
        <v>48792585.859999999</v>
      </c>
      <c r="C20" s="43">
        <f>SUM(C16:C19)</f>
        <v>18895354.25</v>
      </c>
      <c r="D20" s="43">
        <f>SUM(D16:D19)</f>
        <v>75848166.319999993</v>
      </c>
      <c r="E20" s="43">
        <f>SUM(E16:E19)</f>
        <v>89933145.790000007</v>
      </c>
      <c r="F20" s="43">
        <f>SUM(F16:F19)</f>
        <v>83286217.969999999</v>
      </c>
      <c r="G20" s="43">
        <f t="shared" si="0"/>
        <v>3.2204098067130329</v>
      </c>
      <c r="H20" s="44">
        <f t="shared" si="1"/>
        <v>-7.3909655462525876</v>
      </c>
      <c r="I20" s="43">
        <f>SUM(I16:I19)</f>
        <v>83286217.969999999</v>
      </c>
      <c r="J20" s="40">
        <f t="shared" si="4"/>
        <v>100</v>
      </c>
    </row>
    <row r="21" spans="1:10" x14ac:dyDescent="0.3">
      <c r="A21" s="47" t="s">
        <v>345</v>
      </c>
      <c r="B21" s="48">
        <f>B10+B15+B20</f>
        <v>2350846318.5399995</v>
      </c>
      <c r="C21" s="48">
        <f>C10+C15+C20</f>
        <v>2331980713.7200003</v>
      </c>
      <c r="D21" s="48">
        <f>D10+D15+D20</f>
        <v>2507543219.48</v>
      </c>
      <c r="E21" s="48">
        <f>E10+E15+E20</f>
        <v>2419806221.5500002</v>
      </c>
      <c r="F21" s="48">
        <f>F10+F15+F20</f>
        <v>2576122306.7300005</v>
      </c>
      <c r="G21" s="48">
        <f>F21/F$31*100</f>
        <v>99.610352614088029</v>
      </c>
      <c r="H21" s="49">
        <f t="shared" si="1"/>
        <v>6.4598596279280827</v>
      </c>
      <c r="I21" s="48">
        <f>I10+I15+I20</f>
        <v>2381289579.2000003</v>
      </c>
      <c r="J21" s="50">
        <f>IF(F21&gt;0,I21/F21*100,"-")</f>
        <v>92.43697680731195</v>
      </c>
    </row>
    <row r="22" spans="1:10" x14ac:dyDescent="0.3">
      <c r="A22" s="59" t="s">
        <v>288</v>
      </c>
      <c r="B22" s="60">
        <f>Entrate_Uscite!B42</f>
        <v>7202060</v>
      </c>
      <c r="C22" s="60">
        <f>Entrate_Uscite!E42</f>
        <v>7202060</v>
      </c>
      <c r="D22" s="60">
        <f>Entrate_Uscite!H42</f>
        <v>7202060</v>
      </c>
      <c r="E22" s="60">
        <f>Entrate_Uscite!K42</f>
        <v>7202060</v>
      </c>
      <c r="F22" s="60">
        <f>Entrate_Uscite!N42</f>
        <v>7202060</v>
      </c>
      <c r="G22" s="60">
        <f t="shared" si="0"/>
        <v>0.2784804643295255</v>
      </c>
      <c r="H22" s="61">
        <f t="shared" si="1"/>
        <v>0</v>
      </c>
      <c r="I22" s="60">
        <f>Entrate_Uscite!O42</f>
        <v>7202060</v>
      </c>
      <c r="J22" s="58">
        <f t="shared" si="4"/>
        <v>100</v>
      </c>
    </row>
    <row r="23" spans="1:10" x14ac:dyDescent="0.3">
      <c r="A23" s="59" t="s">
        <v>289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290</v>
      </c>
      <c r="B24" s="60">
        <f>Entrate_Uscite!B44</f>
        <v>38133487.960000001</v>
      </c>
      <c r="C24" s="60">
        <f>Entrate_Uscite!E44</f>
        <v>38715254.490000002</v>
      </c>
      <c r="D24" s="60">
        <f>Entrate_Uscite!H44</f>
        <v>34874558.68</v>
      </c>
      <c r="E24" s="60">
        <f>Entrate_Uscite!K44</f>
        <v>8033161.5</v>
      </c>
      <c r="F24" s="60">
        <f>Entrate_Uscite!N44</f>
        <v>2874998.22</v>
      </c>
      <c r="G24" s="60">
        <f t="shared" si="0"/>
        <v>0.11116692158245826</v>
      </c>
      <c r="H24" s="61">
        <f t="shared" si="1"/>
        <v>-64.210874884066499</v>
      </c>
      <c r="I24" s="60">
        <f>Entrate_Uscite!O44</f>
        <v>2874998.22</v>
      </c>
      <c r="J24" s="58">
        <f t="shared" si="4"/>
        <v>100</v>
      </c>
    </row>
    <row r="25" spans="1:10" x14ac:dyDescent="0.3">
      <c r="A25" s="59" t="s">
        <v>291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292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293</v>
      </c>
      <c r="B27" s="43">
        <f>SUM(B22:B26)</f>
        <v>45335547.960000001</v>
      </c>
      <c r="C27" s="43">
        <f>SUM(C22:C26)</f>
        <v>45917314.490000002</v>
      </c>
      <c r="D27" s="43">
        <f>SUM(D22:D26)</f>
        <v>42076618.68</v>
      </c>
      <c r="E27" s="43">
        <f>SUM(E22:E26)</f>
        <v>15235221.5</v>
      </c>
      <c r="F27" s="43">
        <f>SUM(F22:F26)</f>
        <v>10077058.220000001</v>
      </c>
      <c r="G27" s="43">
        <f t="shared" si="0"/>
        <v>0.38964738591198372</v>
      </c>
      <c r="H27" s="44">
        <f t="shared" si="1"/>
        <v>-33.856831553121822</v>
      </c>
      <c r="I27" s="43">
        <f>SUM(I22:I26)</f>
        <v>10077058.220000001</v>
      </c>
      <c r="J27" s="45">
        <f>IF(F27&gt;0,I27/F27*100,"-")</f>
        <v>100</v>
      </c>
    </row>
    <row r="28" spans="1:10" x14ac:dyDescent="0.3">
      <c r="A28" s="4" t="s">
        <v>294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295</v>
      </c>
      <c r="B29" s="43">
        <f>Entrate_Uscite!B55</f>
        <v>440755092.63</v>
      </c>
      <c r="C29" s="43">
        <f>Entrate_Uscite!E55</f>
        <v>392359697.11000001</v>
      </c>
      <c r="D29" s="43">
        <f>Entrate_Uscite!H55</f>
        <v>410756028.29999995</v>
      </c>
      <c r="E29" s="43">
        <f>Entrate_Uscite!K55</f>
        <v>278016483.59000003</v>
      </c>
      <c r="F29" s="43">
        <f>Entrate_Uscite!N55</f>
        <v>434217998.06</v>
      </c>
      <c r="G29" s="43"/>
      <c r="H29" s="44">
        <f t="shared" si="1"/>
        <v>56.184263772055857</v>
      </c>
      <c r="I29" s="43">
        <f>Entrate_Uscite!O55</f>
        <v>252149546.72999999</v>
      </c>
      <c r="J29" s="45">
        <f>IF(F29&gt;0,I29/F29*100,"-")</f>
        <v>58.069805456373111</v>
      </c>
    </row>
    <row r="30" spans="1:10" x14ac:dyDescent="0.3">
      <c r="A30" s="47" t="s">
        <v>68</v>
      </c>
      <c r="B30" s="48">
        <f>B10+B15+B20+B27+B28+B29</f>
        <v>2836936959.1299996</v>
      </c>
      <c r="C30" s="48">
        <f>C10+C15+C20+C27+C28+C29</f>
        <v>2770257725.3200002</v>
      </c>
      <c r="D30" s="48">
        <f>D10+D15+D20+D27+D28+D29</f>
        <v>2960375866.46</v>
      </c>
      <c r="E30" s="48">
        <f>E10+E15+E20+E27+E28+E29</f>
        <v>2713057926.6400003</v>
      </c>
      <c r="F30" s="48">
        <f>F10+F15+F20+F27+F28+F29</f>
        <v>3020417363.0100002</v>
      </c>
      <c r="G30" s="48"/>
      <c r="H30" s="49">
        <f t="shared" si="1"/>
        <v>11.328893251853671</v>
      </c>
      <c r="I30" s="48">
        <f>I10+I15+I20+I27+I28+I29</f>
        <v>2643516184.1500001</v>
      </c>
      <c r="J30" s="50">
        <f>IF(F30&gt;0,I30/F30*100,"-")</f>
        <v>87.521553031849919</v>
      </c>
    </row>
    <row r="31" spans="1:10" x14ac:dyDescent="0.3">
      <c r="A31" s="38" t="s">
        <v>69</v>
      </c>
      <c r="B31" s="51">
        <f>B30-B29</f>
        <v>2396181866.4999995</v>
      </c>
      <c r="C31" s="51">
        <f>C30-C29</f>
        <v>2377898028.21</v>
      </c>
      <c r="D31" s="51">
        <f>D30-D29</f>
        <v>2549619838.1599998</v>
      </c>
      <c r="E31" s="51">
        <f>E30-E29</f>
        <v>2435041443.0500002</v>
      </c>
      <c r="F31" s="51">
        <f>F30-F29</f>
        <v>2586199364.9500003</v>
      </c>
      <c r="G31" s="51">
        <f t="shared" si="0"/>
        <v>100</v>
      </c>
      <c r="H31" s="52">
        <f t="shared" si="1"/>
        <v>6.2076118799303686</v>
      </c>
      <c r="I31" s="51">
        <f>I30-I29</f>
        <v>2391366637.4200001</v>
      </c>
      <c r="J31" s="53">
        <f>IF(F31&gt;0,I31/F31*100,"-")</f>
        <v>92.466445929478184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G3" sqref="G3:G6"/>
    </sheetView>
  </sheetViews>
  <sheetFormatPr defaultRowHeight="14.4" x14ac:dyDescent="0.3"/>
  <cols>
    <col min="1" max="1" width="50.6640625" bestFit="1" customWidth="1"/>
    <col min="2" max="8" width="12.5546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  <c r="H1" s="42" t="s">
        <v>336</v>
      </c>
    </row>
    <row r="2" spans="1:8" x14ac:dyDescent="0.3">
      <c r="A2" s="62" t="s">
        <v>297</v>
      </c>
      <c r="B2" s="64">
        <f>Entrate_Uscite!B59</f>
        <v>87672616.460000515</v>
      </c>
      <c r="C2" s="64">
        <f>Entrate_Uscite!E59</f>
        <v>100765832.86999989</v>
      </c>
      <c r="D2" s="64">
        <f>Entrate_Uscite!H59</f>
        <v>87175446.460000038</v>
      </c>
      <c r="E2" s="64">
        <f>Entrate_Uscite!K59</f>
        <v>108843907.64000034</v>
      </c>
      <c r="F2" s="64">
        <f>Entrate_Uscite!N59</f>
        <v>34583629.429999352</v>
      </c>
      <c r="G2" s="64">
        <f>F2-E2</f>
        <v>-74260278.210000992</v>
      </c>
      <c r="H2" s="64">
        <f>Entrate_Uscite!O59</f>
        <v>-42439649.940000534</v>
      </c>
    </row>
    <row r="3" spans="1:8" x14ac:dyDescent="0.3">
      <c r="A3" s="62" t="s">
        <v>72</v>
      </c>
      <c r="B3" s="65">
        <f>Entrate_Uscite!B60</f>
        <v>-28621076.449999988</v>
      </c>
      <c r="C3" s="65">
        <f>Entrate_Uscite!E60</f>
        <v>-27137125.689999983</v>
      </c>
      <c r="D3" s="65">
        <f>Entrate_Uscite!H60</f>
        <v>-40964381.789999992</v>
      </c>
      <c r="E3" s="65">
        <f>Entrate_Uscite!K60</f>
        <v>-35136369.080000013</v>
      </c>
      <c r="F3" s="65">
        <f>Entrate_Uscite!N60</f>
        <v>-34178848.060000002</v>
      </c>
      <c r="G3" s="64">
        <f t="shared" ref="G3:G6" si="0">F3-E3</f>
        <v>957521.02000001073</v>
      </c>
      <c r="H3" s="65">
        <f>Entrate_Uscite!O60</f>
        <v>-60935977.450000003</v>
      </c>
    </row>
    <row r="4" spans="1:8" x14ac:dyDescent="0.3">
      <c r="A4" s="62" t="s">
        <v>300</v>
      </c>
      <c r="B4" s="65">
        <f>Entrate_Uscite!B16-Entrate_Uscite!B52</f>
        <v>-8018745.200000003</v>
      </c>
      <c r="C4" s="65">
        <f>Entrate_Uscite!E16-Entrate_Uscite!E52</f>
        <v>7506210.2599999979</v>
      </c>
      <c r="D4" s="65">
        <f>Entrate_Uscite!H16-Entrate_Uscite!H52</f>
        <v>-10681005.909999996</v>
      </c>
      <c r="E4" s="65">
        <f>Entrate_Uscite!K16-Entrate_Uscite!K52</f>
        <v>-10894967.549999997</v>
      </c>
      <c r="F4" s="65">
        <f>Entrate_Uscite!N16-Entrate_Uscite!N52</f>
        <v>-25400224.770000003</v>
      </c>
      <c r="G4" s="64">
        <f t="shared" si="0"/>
        <v>-14505257.220000006</v>
      </c>
      <c r="H4" s="65">
        <f>Entrate_Uscite!O16-Entrate_Uscite!O52</f>
        <v>-81972080.480000004</v>
      </c>
    </row>
    <row r="5" spans="1:8" x14ac:dyDescent="0.3">
      <c r="A5" s="47" t="s">
        <v>298</v>
      </c>
      <c r="B5" s="66">
        <f>SUM(Entrate_Uscite!B14:B16)-SUM(Entrate_Uscite!B50:B52)</f>
        <v>51032794.81000042</v>
      </c>
      <c r="C5" s="66">
        <f>SUM(Entrate_Uscite!E14:E16)-SUM(Entrate_Uscite!E50:E52)</f>
        <v>81134917.440000057</v>
      </c>
      <c r="D5" s="66">
        <f>SUM(Entrate_Uscite!H14:H16)-SUM(Entrate_Uscite!H50:H52)</f>
        <v>35530058.759999752</v>
      </c>
      <c r="E5" s="66">
        <f>SUM(Entrate_Uscite!K14:K16)-SUM(Entrate_Uscite!K50:K52)</f>
        <v>62812571.010000229</v>
      </c>
      <c r="F5" s="66">
        <f>SUM(Entrate_Uscite!N14:N16)-SUM(Entrate_Uscite!N50:N52)</f>
        <v>-24995443.400000572</v>
      </c>
      <c r="G5" s="66">
        <f t="shared" si="0"/>
        <v>-87808014.410000801</v>
      </c>
      <c r="H5" s="66">
        <f>SUM(Entrate_Uscite!O14:O16)-SUM(Entrate_Uscite!O50:O52)</f>
        <v>-185347707.87000084</v>
      </c>
    </row>
    <row r="6" spans="1:8" x14ac:dyDescent="0.3">
      <c r="A6" s="38" t="s">
        <v>299</v>
      </c>
      <c r="B6" s="67">
        <f>Entrate_Uscite!B58</f>
        <v>18915221.670000553</v>
      </c>
      <c r="C6" s="67">
        <f>Entrate_Uscite!E58</f>
        <v>136891511.52000046</v>
      </c>
      <c r="D6" s="67">
        <f>Entrate_Uscite!H58</f>
        <v>1313440.0799999237</v>
      </c>
      <c r="E6" s="67">
        <f>Entrate_Uscite!K58</f>
        <v>56437349.510000229</v>
      </c>
      <c r="F6" s="67">
        <f>Entrate_Uscite!N58</f>
        <v>-35072501.620000362</v>
      </c>
      <c r="G6" s="67">
        <f t="shared" si="0"/>
        <v>-91509851.130000591</v>
      </c>
      <c r="H6" s="67">
        <f>Entrate_Uscite!O58</f>
        <v>-195424766.09000063</v>
      </c>
    </row>
    <row r="7" spans="1:8" x14ac:dyDescent="0.3">
      <c r="H7" s="6"/>
    </row>
    <row r="8" spans="1:8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G20" sqref="G20"/>
    </sheetView>
  </sheetViews>
  <sheetFormatPr defaultRowHeight="14.4" x14ac:dyDescent="0.3"/>
  <cols>
    <col min="1" max="1" width="36.44140625" bestFit="1" customWidth="1"/>
    <col min="2" max="7" width="13.5546875" bestFit="1" customWidth="1"/>
    <col min="8" max="8" width="13.88671875" bestFit="1" customWidth="1"/>
    <col min="9" max="9" width="13.5546875" bestFit="1" customWidth="1"/>
    <col min="10" max="10" width="10" bestFit="1" customWidth="1"/>
  </cols>
  <sheetData>
    <row r="1" spans="1:9" x14ac:dyDescent="0.3">
      <c r="A1" s="41"/>
      <c r="B1" s="96">
        <v>2015</v>
      </c>
      <c r="C1" s="96">
        <v>2016</v>
      </c>
      <c r="D1" s="96">
        <v>2017</v>
      </c>
      <c r="E1" s="69">
        <v>2018</v>
      </c>
      <c r="F1" s="96">
        <v>2019</v>
      </c>
      <c r="G1" s="69">
        <v>2020</v>
      </c>
    </row>
    <row r="2" spans="1:9" x14ac:dyDescent="0.3">
      <c r="A2" t="s">
        <v>5</v>
      </c>
      <c r="B2" s="1">
        <v>253701662.31999999</v>
      </c>
      <c r="C2" s="1">
        <v>211849396.31999999</v>
      </c>
      <c r="D2" s="1">
        <v>289090027.11000001</v>
      </c>
      <c r="E2" s="1">
        <v>306753725.38</v>
      </c>
      <c r="F2" s="1">
        <v>355926852.06999999</v>
      </c>
      <c r="G2" s="1">
        <v>391390901.56</v>
      </c>
    </row>
    <row r="3" spans="1:9" x14ac:dyDescent="0.3">
      <c r="A3" t="s">
        <v>6</v>
      </c>
      <c r="B3" s="1">
        <v>1213662362.01</v>
      </c>
      <c r="C3" s="1">
        <v>1213662269.5</v>
      </c>
      <c r="D3" s="1">
        <v>1447874440.55</v>
      </c>
      <c r="E3" s="1">
        <v>1232425847.4300001</v>
      </c>
      <c r="F3" s="1">
        <v>1362745997.3099999</v>
      </c>
      <c r="G3" s="1">
        <v>1357054327.6700001</v>
      </c>
    </row>
    <row r="4" spans="1:9" x14ac:dyDescent="0.3">
      <c r="A4" t="s">
        <v>7</v>
      </c>
      <c r="B4" s="1">
        <v>1193624634.1800001</v>
      </c>
      <c r="C4" s="1">
        <v>1129294787.9100001</v>
      </c>
      <c r="D4" s="1">
        <v>1301310945.9000001</v>
      </c>
      <c r="E4" s="1">
        <v>1114067146.3199999</v>
      </c>
      <c r="F4" s="1">
        <v>1223288975.5</v>
      </c>
      <c r="G4" s="1">
        <v>1286505992.3099999</v>
      </c>
    </row>
    <row r="5" spans="1:9" x14ac:dyDescent="0.3">
      <c r="A5" t="s">
        <v>8</v>
      </c>
      <c r="B5" s="1">
        <v>69769955.849999994</v>
      </c>
      <c r="C5" s="1">
        <v>52535539.380000003</v>
      </c>
      <c r="D5" s="1">
        <v>48636548.490000002</v>
      </c>
      <c r="E5" s="1">
        <v>40914606.93</v>
      </c>
      <c r="F5" s="1">
        <v>42927948.700000003</v>
      </c>
      <c r="G5" s="1">
        <v>65033967.200000003</v>
      </c>
    </row>
    <row r="6" spans="1:9" x14ac:dyDescent="0.3">
      <c r="A6" t="s">
        <v>356</v>
      </c>
      <c r="B6" s="1">
        <v>96659247.269999996</v>
      </c>
      <c r="C6" s="1">
        <v>103475847.3</v>
      </c>
      <c r="D6" s="1">
        <v>119716282.95999999</v>
      </c>
      <c r="E6" s="1">
        <v>100449292.09999999</v>
      </c>
      <c r="F6" s="1">
        <v>90132698.329999998</v>
      </c>
      <c r="G6" s="1">
        <v>92059814.439999998</v>
      </c>
    </row>
    <row r="7" spans="1:9" x14ac:dyDescent="0.3">
      <c r="A7" s="4" t="s">
        <v>0</v>
      </c>
      <c r="B7" s="3">
        <f t="shared" ref="B7:D7" si="0">B2+B3-B4-B5-B6</f>
        <v>107310187.02999987</v>
      </c>
      <c r="C7" s="3">
        <f t="shared" si="0"/>
        <v>140205491.22999984</v>
      </c>
      <c r="D7" s="3">
        <f t="shared" si="0"/>
        <v>267300690.30999976</v>
      </c>
      <c r="E7" s="3">
        <f>E2+E3-E4-E5-E6</f>
        <v>283748527.46000004</v>
      </c>
      <c r="F7" s="3">
        <f>F2+F3-F4-F5-F6</f>
        <v>362323226.8499999</v>
      </c>
      <c r="G7" s="3">
        <f>G2+G3-G4-G5-G6</f>
        <v>304845455.28000009</v>
      </c>
    </row>
    <row r="8" spans="1:9" x14ac:dyDescent="0.3">
      <c r="A8" t="s">
        <v>9</v>
      </c>
      <c r="B8" s="1">
        <v>1979147.59</v>
      </c>
      <c r="C8" s="1">
        <v>26615302.579999998</v>
      </c>
      <c r="D8" s="1">
        <v>53345318.210000001</v>
      </c>
      <c r="E8" s="1">
        <v>54516524.789999999</v>
      </c>
      <c r="F8" s="1">
        <v>71587291.219999999</v>
      </c>
      <c r="G8" s="1">
        <v>76283247.409999996</v>
      </c>
    </row>
    <row r="9" spans="1:9" x14ac:dyDescent="0.3">
      <c r="A9" t="s">
        <v>350</v>
      </c>
      <c r="B9" s="1">
        <v>4945219.4800000004</v>
      </c>
      <c r="C9" s="1">
        <v>2532630.31</v>
      </c>
      <c r="D9" s="1">
        <v>2334556.91</v>
      </c>
      <c r="E9" s="1">
        <v>1899841.74</v>
      </c>
      <c r="F9" s="1">
        <v>1866831.71</v>
      </c>
      <c r="G9" s="1">
        <v>1745561.91</v>
      </c>
    </row>
    <row r="10" spans="1:9" x14ac:dyDescent="0.3">
      <c r="A10" t="s">
        <v>10</v>
      </c>
      <c r="B10" s="1">
        <v>29089453.010000002</v>
      </c>
      <c r="C10" s="1">
        <v>28403022.600000001</v>
      </c>
      <c r="D10" s="1">
        <v>27699974.050000001</v>
      </c>
      <c r="E10" s="1">
        <v>27699974.050000001</v>
      </c>
      <c r="F10" s="1">
        <v>27699974.050000001</v>
      </c>
      <c r="G10" s="1">
        <v>27699974.050000001</v>
      </c>
    </row>
    <row r="11" spans="1:9" x14ac:dyDescent="0.3">
      <c r="A11" t="s">
        <v>11</v>
      </c>
      <c r="B11" s="1">
        <v>0</v>
      </c>
      <c r="C11" s="1">
        <v>12000000</v>
      </c>
      <c r="D11" s="1">
        <v>3000000</v>
      </c>
      <c r="E11" s="1">
        <v>3000000</v>
      </c>
      <c r="F11" s="1">
        <v>2278476.33</v>
      </c>
      <c r="G11" s="1">
        <v>2253222.4</v>
      </c>
    </row>
    <row r="12" spans="1:9" x14ac:dyDescent="0.3">
      <c r="A12" t="s">
        <v>12</v>
      </c>
      <c r="B12" s="1">
        <v>4320330.51</v>
      </c>
      <c r="C12" s="1">
        <v>14376451.77</v>
      </c>
      <c r="D12" s="1">
        <v>32343110.079999998</v>
      </c>
      <c r="E12" s="1">
        <v>31642988.280000001</v>
      </c>
      <c r="F12" s="1">
        <v>32156813.079999998</v>
      </c>
      <c r="G12" s="1">
        <v>34545536.380000003</v>
      </c>
    </row>
    <row r="13" spans="1:9" x14ac:dyDescent="0.3">
      <c r="A13" t="s">
        <v>13</v>
      </c>
      <c r="B13" s="1">
        <v>9920000.0000000075</v>
      </c>
      <c r="C13" s="1">
        <v>16868437.670000017</v>
      </c>
      <c r="D13" s="1">
        <v>22812348.849999994</v>
      </c>
      <c r="E13" s="1">
        <v>26788532.899999991</v>
      </c>
      <c r="F13" s="1">
        <v>66312341.380000025</v>
      </c>
      <c r="G13" s="1">
        <v>46258007.949999988</v>
      </c>
    </row>
    <row r="14" spans="1:9" x14ac:dyDescent="0.3">
      <c r="A14" s="4" t="s">
        <v>1</v>
      </c>
      <c r="B14" s="3">
        <f t="shared" ref="B14:D14" si="1">SUM(B8:B13)</f>
        <v>50254150.590000004</v>
      </c>
      <c r="C14" s="3">
        <f t="shared" si="1"/>
        <v>100795844.93000001</v>
      </c>
      <c r="D14" s="3">
        <f t="shared" si="1"/>
        <v>141535308.09999999</v>
      </c>
      <c r="E14" s="3">
        <f>SUM(E8:E13)</f>
        <v>145547861.75999999</v>
      </c>
      <c r="F14" s="3">
        <f>SUM(F8:F13)</f>
        <v>201901727.77000001</v>
      </c>
      <c r="G14" s="3">
        <f>SUM(G8:G13)</f>
        <v>188785550.09999999</v>
      </c>
      <c r="H14" s="99"/>
      <c r="I14" s="99"/>
    </row>
    <row r="15" spans="1:9" x14ac:dyDescent="0.3">
      <c r="A15" t="s">
        <v>15</v>
      </c>
      <c r="B15" s="1">
        <v>19186552.670000002</v>
      </c>
      <c r="C15" s="1">
        <v>2916547.97</v>
      </c>
      <c r="D15" s="1">
        <v>2665823.4</v>
      </c>
      <c r="E15" s="1">
        <v>2720682.12</v>
      </c>
      <c r="F15" s="1">
        <v>3074972.69</v>
      </c>
      <c r="G15" s="1">
        <v>25230428.420000002</v>
      </c>
    </row>
    <row r="16" spans="1:9" x14ac:dyDescent="0.3">
      <c r="A16" t="s">
        <v>14</v>
      </c>
      <c r="B16" s="1">
        <v>257980980.08000001</v>
      </c>
      <c r="C16" s="1">
        <v>255335824.11000001</v>
      </c>
      <c r="D16" s="1">
        <v>232803328.91999999</v>
      </c>
      <c r="E16" s="1">
        <v>231772185.56999999</v>
      </c>
      <c r="F16" s="1">
        <v>243996047.41999999</v>
      </c>
      <c r="G16" s="1">
        <v>171280895.19999999</v>
      </c>
    </row>
    <row r="17" spans="1:7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585107.30000000005</v>
      </c>
      <c r="G17" s="1">
        <v>437117.82</v>
      </c>
    </row>
    <row r="18" spans="1:7" x14ac:dyDescent="0.3">
      <c r="A18" t="s">
        <v>17</v>
      </c>
      <c r="B18" s="1">
        <v>2121345.9900000002</v>
      </c>
      <c r="C18" s="1">
        <v>2275343.62</v>
      </c>
      <c r="D18" s="1">
        <v>2486607.33</v>
      </c>
      <c r="E18" s="1">
        <v>3302286.36</v>
      </c>
      <c r="F18" s="1">
        <v>3460635.39</v>
      </c>
      <c r="G18" s="1">
        <v>2287797.1800000002</v>
      </c>
    </row>
    <row r="19" spans="1:7" x14ac:dyDescent="0.3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3">
      <c r="A20" s="4" t="s">
        <v>2</v>
      </c>
      <c r="B20" s="3">
        <f t="shared" ref="B20:D20" si="2">SUM(B15:B19)</f>
        <v>279288878.74000001</v>
      </c>
      <c r="C20" s="3">
        <f t="shared" si="2"/>
        <v>260527715.70000002</v>
      </c>
      <c r="D20" s="3">
        <f t="shared" si="2"/>
        <v>237955759.65000001</v>
      </c>
      <c r="E20" s="3">
        <f>SUM(E15:E19)</f>
        <v>237795154.05000001</v>
      </c>
      <c r="F20" s="3">
        <f>SUM(F15:F19)</f>
        <v>251116762.79999998</v>
      </c>
      <c r="G20" s="3">
        <f>SUM(G15:G19)</f>
        <v>199236238.62</v>
      </c>
    </row>
    <row r="21" spans="1:7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3">
      <c r="A22" s="70" t="s">
        <v>4</v>
      </c>
      <c r="B22" s="37">
        <f t="shared" ref="B22:C22" si="3">B7-B14-B20-B21</f>
        <v>-222232842.30000013</v>
      </c>
      <c r="C22" s="37">
        <f t="shared" si="3"/>
        <v>-221118069.40000018</v>
      </c>
      <c r="D22" s="37">
        <f>D7-D14-D20-D21</f>
        <v>-112190377.44000024</v>
      </c>
      <c r="E22" s="37">
        <f>E7-E14-E20-E21</f>
        <v>-99594488.349999964</v>
      </c>
      <c r="F22" s="37">
        <f>F7-F14-F20-F21</f>
        <v>-90695263.720000088</v>
      </c>
      <c r="G22" s="37">
        <f>G7-G14-G20-G21</f>
        <v>-83176333.439999908</v>
      </c>
    </row>
    <row r="23" spans="1:7" x14ac:dyDescent="0.3">
      <c r="B23" s="1"/>
      <c r="C23" s="1">
        <v>-2018210.45</v>
      </c>
      <c r="D23" s="1">
        <v>-1439623.58</v>
      </c>
      <c r="E23" s="1">
        <v>-14194895.65</v>
      </c>
      <c r="F23" s="1">
        <v>5337678.01</v>
      </c>
      <c r="G23" s="1">
        <v>-2643638.6</v>
      </c>
    </row>
    <row r="24" spans="1:7" x14ac:dyDescent="0.3">
      <c r="A24" t="s">
        <v>366</v>
      </c>
      <c r="B24" s="6">
        <f t="shared" ref="B24:E24" si="4">B8/B3*100</f>
        <v>0.16307233806956378</v>
      </c>
      <c r="C24" s="6">
        <f t="shared" si="4"/>
        <v>2.1929743758916449</v>
      </c>
      <c r="D24" s="6">
        <f t="shared" si="4"/>
        <v>3.6843884190493661</v>
      </c>
      <c r="E24" s="6">
        <f t="shared" si="4"/>
        <v>4.4235135853150354</v>
      </c>
      <c r="F24" s="6">
        <f t="shared" ref="F24:G24" si="5">F8/F3*100</f>
        <v>5.253164666145425</v>
      </c>
      <c r="G24" s="6">
        <f t="shared" si="5"/>
        <v>5.6212375477240348</v>
      </c>
    </row>
    <row r="25" spans="1:7" x14ac:dyDescent="0.3">
      <c r="A25" t="s">
        <v>357</v>
      </c>
    </row>
    <row r="52" spans="1:7" x14ac:dyDescent="0.3">
      <c r="A52" t="s">
        <v>13</v>
      </c>
      <c r="B52" s="1">
        <f t="shared" ref="B52:E52" si="6">SUM(B11:B13)</f>
        <v>14240330.510000007</v>
      </c>
      <c r="C52" s="1">
        <f t="shared" si="6"/>
        <v>43244889.440000013</v>
      </c>
      <c r="D52" s="1">
        <f t="shared" si="6"/>
        <v>58155458.929999992</v>
      </c>
      <c r="E52" s="1">
        <f t="shared" si="6"/>
        <v>61431521.179999992</v>
      </c>
      <c r="F52" s="1">
        <f t="shared" ref="F52:G52" si="7">SUM(F11:F13)</f>
        <v>100747630.79000002</v>
      </c>
      <c r="G52" s="1">
        <f t="shared" si="7"/>
        <v>83056766.729999989</v>
      </c>
    </row>
  </sheetData>
  <conditionalFormatting sqref="C22:E22 G22">
    <cfRule type="cellIs" dxfId="64" priority="18" operator="greaterThan">
      <formula>0</formula>
    </cfRule>
  </conditionalFormatting>
  <conditionalFormatting sqref="C22:E22 G22">
    <cfRule type="cellIs" dxfId="63" priority="15" operator="greaterThan">
      <formula>0</formula>
    </cfRule>
    <cfRule type="cellIs" dxfId="62" priority="16" operator="lessThan">
      <formula>0</formula>
    </cfRule>
  </conditionalFormatting>
  <conditionalFormatting sqref="B22">
    <cfRule type="cellIs" dxfId="61" priority="9" operator="greaterThan">
      <formula>0</formula>
    </cfRule>
  </conditionalFormatting>
  <conditionalFormatting sqref="B22">
    <cfRule type="cellIs" dxfId="60" priority="7" operator="greaterThan">
      <formula>0</formula>
    </cfRule>
    <cfRule type="cellIs" dxfId="59" priority="8" operator="lessThan">
      <formula>0</formula>
    </cfRule>
  </conditionalFormatting>
  <conditionalFormatting sqref="F22">
    <cfRule type="cellIs" dxfId="58" priority="3" operator="greaterThan">
      <formula>0</formula>
    </cfRule>
  </conditionalFormatting>
  <conditionalFormatting sqref="F22">
    <cfRule type="cellIs" dxfId="57" priority="1" operator="greaterThan">
      <formula>0</formula>
    </cfRule>
    <cfRule type="cellIs" dxfId="5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F27" sqref="F27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</cols>
  <sheetData>
    <row r="1" spans="1:8" x14ac:dyDescent="0.3">
      <c r="C1" s="98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265</v>
      </c>
    </row>
    <row r="2" spans="1:8" x14ac:dyDescent="0.3">
      <c r="A2" t="s">
        <v>235</v>
      </c>
      <c r="B2" s="26" t="s">
        <v>259</v>
      </c>
      <c r="C2" s="1">
        <v>1758474061.76</v>
      </c>
      <c r="D2" s="1">
        <v>1717218207.1099999</v>
      </c>
      <c r="E2" s="1">
        <v>1725064677.3499999</v>
      </c>
      <c r="F2" s="1">
        <v>1753720498.6500001</v>
      </c>
      <c r="G2" s="1">
        <v>1695900993.0999999</v>
      </c>
      <c r="H2" s="1">
        <f>G2-F2</f>
        <v>-57819505.550000191</v>
      </c>
    </row>
    <row r="3" spans="1:8" x14ac:dyDescent="0.3">
      <c r="A3" t="s">
        <v>236</v>
      </c>
      <c r="B3" s="26" t="s">
        <v>259</v>
      </c>
      <c r="C3" s="1">
        <v>199717452</v>
      </c>
      <c r="D3" s="1">
        <v>214867569.09999999</v>
      </c>
      <c r="E3" s="1">
        <v>220994403.66</v>
      </c>
      <c r="F3" s="1">
        <v>218676370.77000001</v>
      </c>
      <c r="G3" s="1">
        <v>247321862.18000001</v>
      </c>
      <c r="H3" s="1">
        <f t="shared" ref="H3:H28" si="0">G3-F3</f>
        <v>28645491.409999996</v>
      </c>
    </row>
    <row r="4" spans="1:8" x14ac:dyDescent="0.3">
      <c r="A4" t="s">
        <v>237</v>
      </c>
      <c r="B4" s="26" t="s">
        <v>259</v>
      </c>
      <c r="C4" s="1">
        <v>251286055.19999999</v>
      </c>
      <c r="D4" s="1">
        <v>265298621.86000001</v>
      </c>
      <c r="E4" s="1">
        <v>351253922.13</v>
      </c>
      <c r="F4" s="1">
        <v>276823745.62</v>
      </c>
      <c r="G4" s="1">
        <v>401189047.62</v>
      </c>
      <c r="H4" s="1">
        <f t="shared" si="0"/>
        <v>124365302</v>
      </c>
    </row>
    <row r="5" spans="1:8" x14ac:dyDescent="0.3">
      <c r="A5" t="s">
        <v>238</v>
      </c>
      <c r="B5" s="26" t="s">
        <v>259</v>
      </c>
      <c r="C5" s="1">
        <v>115305917.26000001</v>
      </c>
      <c r="D5" s="1">
        <v>133212738.77</v>
      </c>
      <c r="E5" s="1">
        <v>131906497.04000001</v>
      </c>
      <c r="F5" s="1">
        <v>111064852.34</v>
      </c>
      <c r="G5" s="1">
        <v>104586295.45999999</v>
      </c>
      <c r="H5" s="1">
        <f t="shared" si="0"/>
        <v>-6478556.8800000101</v>
      </c>
    </row>
    <row r="6" spans="1:8" x14ac:dyDescent="0.3">
      <c r="A6" t="s">
        <v>239</v>
      </c>
      <c r="B6" s="26" t="s">
        <v>259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240</v>
      </c>
      <c r="B7" s="26" t="s">
        <v>259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241</v>
      </c>
      <c r="B8" s="26" t="s">
        <v>259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242</v>
      </c>
      <c r="B9" s="33" t="s">
        <v>259</v>
      </c>
      <c r="C9" s="34">
        <v>51701398.539999999</v>
      </c>
      <c r="D9" s="34">
        <v>35928919.049999997</v>
      </c>
      <c r="E9" s="34">
        <v>37666636.299999997</v>
      </c>
      <c r="F9" s="34">
        <v>34380192.560000002</v>
      </c>
      <c r="G9" s="34">
        <v>18959961.52</v>
      </c>
      <c r="H9" s="1">
        <f t="shared" si="0"/>
        <v>-15420231.040000003</v>
      </c>
    </row>
    <row r="10" spans="1:8" x14ac:dyDescent="0.3">
      <c r="A10" s="35" t="s">
        <v>263</v>
      </c>
      <c r="B10" s="36" t="s">
        <v>259</v>
      </c>
      <c r="C10" s="94">
        <f t="shared" ref="C10" si="1">SUM(C2:C9)</f>
        <v>2376484884.7600002</v>
      </c>
      <c r="D10" s="94">
        <f t="shared" ref="D10:E10" si="2">SUM(D2:D9)</f>
        <v>2366526055.8899999</v>
      </c>
      <c r="E10" s="94">
        <f t="shared" si="2"/>
        <v>2466886136.48</v>
      </c>
      <c r="F10" s="94">
        <f t="shared" ref="F10:G10" si="3">SUM(F2:F9)</f>
        <v>2394665659.9400001</v>
      </c>
      <c r="G10" s="94">
        <f t="shared" si="3"/>
        <v>2467958159.8800001</v>
      </c>
      <c r="H10" s="11">
        <f t="shared" si="0"/>
        <v>73292499.940000057</v>
      </c>
    </row>
    <row r="11" spans="1:8" x14ac:dyDescent="0.3">
      <c r="A11" t="s">
        <v>243</v>
      </c>
      <c r="B11" s="26" t="s">
        <v>260</v>
      </c>
      <c r="C11" s="1">
        <v>538494.03</v>
      </c>
      <c r="D11" s="1">
        <v>517397.01</v>
      </c>
      <c r="E11" s="1">
        <v>520809.87</v>
      </c>
      <c r="F11" s="1">
        <v>734897.3</v>
      </c>
      <c r="G11" s="1">
        <v>388913.24</v>
      </c>
      <c r="H11" s="1">
        <f t="shared" si="0"/>
        <v>-345984.06000000006</v>
      </c>
    </row>
    <row r="12" spans="1:8" x14ac:dyDescent="0.3">
      <c r="A12" t="s">
        <v>244</v>
      </c>
      <c r="B12" s="26" t="s">
        <v>260</v>
      </c>
      <c r="C12" s="1">
        <v>88269376.230000004</v>
      </c>
      <c r="D12" s="1">
        <v>96052547.180000007</v>
      </c>
      <c r="E12" s="1">
        <v>93002245.060000002</v>
      </c>
      <c r="F12" s="1">
        <v>94711424.170000002</v>
      </c>
      <c r="G12" s="1">
        <v>98503654.969999999</v>
      </c>
      <c r="H12" s="1">
        <f t="shared" si="0"/>
        <v>3792230.799999997</v>
      </c>
    </row>
    <row r="13" spans="1:8" x14ac:dyDescent="0.3">
      <c r="A13" t="s">
        <v>245</v>
      </c>
      <c r="B13" s="26" t="s">
        <v>260</v>
      </c>
      <c r="C13" s="1">
        <v>1086528.6200000001</v>
      </c>
      <c r="D13" s="1">
        <v>1392075.06</v>
      </c>
      <c r="E13" s="1">
        <v>1120445.76</v>
      </c>
      <c r="F13" s="1">
        <v>1065515.94</v>
      </c>
      <c r="G13" s="1">
        <v>1228379.33</v>
      </c>
      <c r="H13" s="1">
        <f t="shared" si="0"/>
        <v>162863.39000000013</v>
      </c>
    </row>
    <row r="14" spans="1:8" x14ac:dyDescent="0.3">
      <c r="A14" t="s">
        <v>246</v>
      </c>
      <c r="B14" s="26" t="s">
        <v>260</v>
      </c>
      <c r="C14" s="1">
        <v>2093191870.1400001</v>
      </c>
      <c r="D14" s="1">
        <v>2104491926.8699999</v>
      </c>
      <c r="E14" s="1">
        <v>2201779766.5300002</v>
      </c>
      <c r="F14" s="1">
        <v>2112638105.5899999</v>
      </c>
      <c r="G14" s="1">
        <v>2264328336.73</v>
      </c>
      <c r="H14" s="1">
        <f t="shared" si="0"/>
        <v>151690231.1400001</v>
      </c>
    </row>
    <row r="15" spans="1:8" x14ac:dyDescent="0.3">
      <c r="A15" t="s">
        <v>247</v>
      </c>
      <c r="B15" s="26" t="s">
        <v>260</v>
      </c>
      <c r="C15" s="1">
        <v>57370765.390000001</v>
      </c>
      <c r="D15" s="1">
        <v>55865825.920000002</v>
      </c>
      <c r="E15" s="1">
        <v>58690927.479999997</v>
      </c>
      <c r="F15" s="1">
        <v>69568699.459999993</v>
      </c>
      <c r="G15" s="1">
        <v>61853580.770000003</v>
      </c>
      <c r="H15" s="1">
        <f t="shared" si="0"/>
        <v>-7715118.6899999902</v>
      </c>
    </row>
    <row r="16" spans="1:8" x14ac:dyDescent="0.3">
      <c r="A16" t="s">
        <v>248</v>
      </c>
      <c r="B16" s="26" t="s">
        <v>260</v>
      </c>
      <c r="C16" s="1">
        <v>5514394.2400000002</v>
      </c>
      <c r="D16" s="1">
        <v>23609710.780000001</v>
      </c>
      <c r="E16" s="1">
        <v>19737097.359999999</v>
      </c>
      <c r="F16" s="1">
        <v>24732719.07</v>
      </c>
      <c r="G16" s="1">
        <v>15707681.560000001</v>
      </c>
      <c r="H16" s="1">
        <f t="shared" si="0"/>
        <v>-9025037.5099999998</v>
      </c>
    </row>
    <row r="17" spans="1:8" x14ac:dyDescent="0.3">
      <c r="A17" t="s">
        <v>249</v>
      </c>
      <c r="B17" s="26" t="s">
        <v>260</v>
      </c>
      <c r="C17" s="1">
        <v>-12338.26</v>
      </c>
      <c r="D17" s="1">
        <v>-2939.8</v>
      </c>
      <c r="E17" s="1">
        <v>26631.24</v>
      </c>
      <c r="F17" s="1">
        <v>-1311.51</v>
      </c>
      <c r="G17" s="1">
        <v>-100.54</v>
      </c>
      <c r="H17" s="1">
        <f t="shared" si="0"/>
        <v>1210.97</v>
      </c>
    </row>
    <row r="18" spans="1:8" x14ac:dyDescent="0.3">
      <c r="A18" t="s">
        <v>250</v>
      </c>
      <c r="B18" s="26" t="s">
        <v>260</v>
      </c>
      <c r="C18" s="1">
        <v>22329903.789999999</v>
      </c>
      <c r="D18" s="1">
        <v>24305224.629999999</v>
      </c>
      <c r="E18" s="1">
        <v>4139184.05</v>
      </c>
      <c r="F18" s="1">
        <v>40375253.869999997</v>
      </c>
      <c r="G18" s="1">
        <v>6445002.2699999996</v>
      </c>
      <c r="H18" s="1">
        <f t="shared" si="0"/>
        <v>-33930251.599999994</v>
      </c>
    </row>
    <row r="19" spans="1:8" x14ac:dyDescent="0.3">
      <c r="A19" t="s">
        <v>13</v>
      </c>
      <c r="B19" s="26" t="s">
        <v>260</v>
      </c>
      <c r="C19" s="1">
        <v>31620850.129999999</v>
      </c>
      <c r="D19" s="1">
        <v>0</v>
      </c>
      <c r="E19" s="1">
        <v>0</v>
      </c>
      <c r="F19" s="1">
        <v>230879.92</v>
      </c>
      <c r="G19" s="1">
        <v>537862.16</v>
      </c>
      <c r="H19" s="1">
        <f t="shared" si="0"/>
        <v>306982.24</v>
      </c>
    </row>
    <row r="20" spans="1:8" x14ac:dyDescent="0.3">
      <c r="A20" s="32" t="s">
        <v>251</v>
      </c>
      <c r="B20" s="33" t="s">
        <v>260</v>
      </c>
      <c r="C20" s="34">
        <v>3745955.89</v>
      </c>
      <c r="D20" s="34">
        <v>2879681.27</v>
      </c>
      <c r="E20" s="34">
        <v>3684739.37</v>
      </c>
      <c r="F20" s="34">
        <v>7073458.5700000003</v>
      </c>
      <c r="G20" s="34">
        <v>2502066.65</v>
      </c>
      <c r="H20" s="1">
        <f t="shared" si="0"/>
        <v>-4571391.92</v>
      </c>
    </row>
    <row r="21" spans="1:8" x14ac:dyDescent="0.3">
      <c r="A21" s="35" t="s">
        <v>264</v>
      </c>
      <c r="B21" s="36" t="s">
        <v>260</v>
      </c>
      <c r="C21" s="94">
        <f>SUM(C11:C20)</f>
        <v>2303655800.1999993</v>
      </c>
      <c r="D21" s="94">
        <f t="shared" ref="D21:E21" si="4">SUM(D11:D20)</f>
        <v>2309111448.9200001</v>
      </c>
      <c r="E21" s="94">
        <f t="shared" si="4"/>
        <v>2382701846.7200003</v>
      </c>
      <c r="F21" s="94">
        <f t="shared" ref="F21:G21" si="5">SUM(F11:F20)</f>
        <v>2351129642.3800001</v>
      </c>
      <c r="G21" s="94">
        <f t="shared" si="5"/>
        <v>2451495377.1399999</v>
      </c>
      <c r="H21" s="11">
        <f t="shared" si="0"/>
        <v>100365734.75999975</v>
      </c>
    </row>
    <row r="22" spans="1:8" x14ac:dyDescent="0.3">
      <c r="A22" t="s">
        <v>252</v>
      </c>
      <c r="B22" s="26" t="s">
        <v>259</v>
      </c>
      <c r="C22" s="1">
        <v>16739025.380000001</v>
      </c>
      <c r="D22" s="1">
        <v>17280341.57</v>
      </c>
      <c r="E22" s="1">
        <v>17117964.27</v>
      </c>
      <c r="F22" s="1">
        <v>16892494.43</v>
      </c>
      <c r="G22" s="1">
        <v>16618230.33</v>
      </c>
      <c r="H22" s="1">
        <f t="shared" si="0"/>
        <v>-274264.09999999963</v>
      </c>
    </row>
    <row r="23" spans="1:8" x14ac:dyDescent="0.3">
      <c r="A23" t="s">
        <v>253</v>
      </c>
      <c r="B23" s="26" t="s">
        <v>260</v>
      </c>
      <c r="C23" s="1">
        <v>38752277.25</v>
      </c>
      <c r="D23" s="1">
        <v>35781994.189999998</v>
      </c>
      <c r="E23" s="1">
        <v>37970668.189999998</v>
      </c>
      <c r="F23" s="1">
        <v>36435946.280000001</v>
      </c>
      <c r="G23" s="1">
        <v>35995277.43</v>
      </c>
      <c r="H23" s="1">
        <f t="shared" si="0"/>
        <v>-440668.85000000149</v>
      </c>
    </row>
    <row r="24" spans="1:8" x14ac:dyDescent="0.3">
      <c r="A24" t="s">
        <v>254</v>
      </c>
      <c r="B24" s="26" t="s">
        <v>259</v>
      </c>
      <c r="C24" s="1">
        <v>-387992.48</v>
      </c>
      <c r="D24" s="1">
        <v>-2832064.56</v>
      </c>
      <c r="E24" s="1">
        <v>-4056245.76</v>
      </c>
      <c r="F24" s="1">
        <v>-990862.65</v>
      </c>
      <c r="G24" s="1">
        <v>1975534.99</v>
      </c>
      <c r="H24" s="1">
        <f t="shared" si="0"/>
        <v>2966397.64</v>
      </c>
    </row>
    <row r="25" spans="1:8" x14ac:dyDescent="0.3">
      <c r="A25" t="s">
        <v>255</v>
      </c>
      <c r="B25" s="26" t="s">
        <v>259</v>
      </c>
      <c r="C25" s="1">
        <v>18280077.940000001</v>
      </c>
      <c r="D25" s="1">
        <v>6739673.1600000001</v>
      </c>
      <c r="E25" s="1">
        <v>7625294.6900000004</v>
      </c>
      <c r="F25" s="1">
        <v>22191919.73</v>
      </c>
      <c r="G25" s="1">
        <v>39996040.329999998</v>
      </c>
      <c r="H25" s="1">
        <f t="shared" si="0"/>
        <v>17804120.599999998</v>
      </c>
    </row>
    <row r="26" spans="1:8" x14ac:dyDescent="0.3">
      <c r="A26" t="s">
        <v>256</v>
      </c>
      <c r="B26" s="26" t="s">
        <v>260</v>
      </c>
      <c r="C26" s="1">
        <v>10813217.539999999</v>
      </c>
      <c r="D26" s="1">
        <v>2273908.7999999998</v>
      </c>
      <c r="E26" s="1">
        <v>4100493.92</v>
      </c>
      <c r="F26" s="1">
        <v>11654474.560000001</v>
      </c>
      <c r="G26" s="1">
        <v>7765556.8300000001</v>
      </c>
      <c r="H26" s="1">
        <f t="shared" si="0"/>
        <v>-3888917.7300000004</v>
      </c>
    </row>
    <row r="27" spans="1:8" x14ac:dyDescent="0.3">
      <c r="A27" t="s">
        <v>257</v>
      </c>
      <c r="B27" s="26" t="s">
        <v>260</v>
      </c>
      <c r="C27" s="1">
        <v>3707376.66</v>
      </c>
      <c r="D27" s="1">
        <v>3652265.32</v>
      </c>
      <c r="E27" s="1">
        <v>3768536.86</v>
      </c>
      <c r="F27" s="1">
        <v>5127154.34</v>
      </c>
      <c r="G27" s="1">
        <v>4094004.06</v>
      </c>
      <c r="H27" s="1">
        <f t="shared" si="0"/>
        <v>-1033150.2799999998</v>
      </c>
    </row>
    <row r="28" spans="1:8" x14ac:dyDescent="0.3">
      <c r="A28" s="10" t="s">
        <v>258</v>
      </c>
      <c r="B28" s="36" t="s">
        <v>261</v>
      </c>
      <c r="C28" s="37">
        <f>C10-C21+C22-C23+C24+C25-C26-C27</f>
        <v>54187323.950000897</v>
      </c>
      <c r="D28" s="37">
        <f t="shared" ref="D28:E28" si="6">D10-D21+D22-D23+D24+D25-D26-D27</f>
        <v>36894388.829999782</v>
      </c>
      <c r="E28" s="37">
        <f t="shared" si="6"/>
        <v>59031603.989999749</v>
      </c>
      <c r="F28" s="37">
        <f t="shared" ref="F28:G28" si="7">F10-F21+F22-F23+F24+F25-F26-F27</f>
        <v>28411993.889999945</v>
      </c>
      <c r="G28" s="37">
        <f t="shared" si="7"/>
        <v>27197750.07000025</v>
      </c>
      <c r="H28" s="37">
        <f t="shared" si="0"/>
        <v>-1214243.8199996948</v>
      </c>
    </row>
  </sheetData>
  <conditionalFormatting sqref="C28:E28 G28:H28">
    <cfRule type="cellIs" dxfId="55" priority="16" operator="greaterThan">
      <formula>0</formula>
    </cfRule>
  </conditionalFormatting>
  <conditionalFormatting sqref="C28:E28 G28">
    <cfRule type="cellIs" dxfId="54" priority="13" operator="greaterThan">
      <formula>0</formula>
    </cfRule>
  </conditionalFormatting>
  <conditionalFormatting sqref="F28">
    <cfRule type="cellIs" dxfId="53" priority="2" operator="greaterThan">
      <formula>0</formula>
    </cfRule>
  </conditionalFormatting>
  <conditionalFormatting sqref="F28">
    <cfRule type="cellIs" dxfId="5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G5" sqref="G5"/>
    </sheetView>
  </sheetViews>
  <sheetFormatPr defaultRowHeight="14.4" x14ac:dyDescent="0.3"/>
  <cols>
    <col min="1" max="1" width="50.6640625" bestFit="1" customWidth="1"/>
    <col min="2" max="6" width="13.33203125" bestFit="1" customWidth="1"/>
    <col min="7" max="7" width="12.3320312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</row>
    <row r="2" spans="1:7" x14ac:dyDescent="0.3">
      <c r="A2" s="71" t="s">
        <v>342</v>
      </c>
      <c r="B2" s="64">
        <f>Conto_economico!C10</f>
        <v>2376484884.7600002</v>
      </c>
      <c r="C2" s="64">
        <f>Conto_economico!D10</f>
        <v>2366526055.8899999</v>
      </c>
      <c r="D2" s="64">
        <f>Conto_economico!E10</f>
        <v>2466886136.48</v>
      </c>
      <c r="E2" s="64">
        <f>Conto_economico!F10</f>
        <v>2394665659.9400001</v>
      </c>
      <c r="F2" s="64">
        <f>Conto_economico!G10</f>
        <v>2467958159.8800001</v>
      </c>
      <c r="G2" s="64">
        <f>F2-E2</f>
        <v>73292499.940000057</v>
      </c>
    </row>
    <row r="3" spans="1:7" x14ac:dyDescent="0.3">
      <c r="A3" s="71" t="s">
        <v>337</v>
      </c>
      <c r="B3" s="64">
        <f>Conto_economico!C2</f>
        <v>1758474061.76</v>
      </c>
      <c r="C3" s="64">
        <f>Conto_economico!D2</f>
        <v>1717218207.1099999</v>
      </c>
      <c r="D3" s="64">
        <f>Conto_economico!E2</f>
        <v>1725064677.3499999</v>
      </c>
      <c r="E3" s="64">
        <f>Conto_economico!F2</f>
        <v>1753720498.6500001</v>
      </c>
      <c r="F3" s="64">
        <f>Conto_economico!G2</f>
        <v>1695900993.0999999</v>
      </c>
      <c r="G3" s="64">
        <f t="shared" ref="G3:G15" si="0">F3-E3</f>
        <v>-57819505.550000191</v>
      </c>
    </row>
    <row r="4" spans="1:7" x14ac:dyDescent="0.3">
      <c r="A4" s="71" t="s">
        <v>338</v>
      </c>
      <c r="B4" s="64">
        <f>Conto_economico!C4</f>
        <v>251286055.19999999</v>
      </c>
      <c r="C4" s="64">
        <f>Conto_economico!D4</f>
        <v>265298621.86000001</v>
      </c>
      <c r="D4" s="64">
        <f>Conto_economico!E4</f>
        <v>351253922.13</v>
      </c>
      <c r="E4" s="64">
        <f>Conto_economico!F4</f>
        <v>276823745.62</v>
      </c>
      <c r="F4" s="64">
        <f>Conto_economico!G4</f>
        <v>401189047.62</v>
      </c>
      <c r="G4" s="64">
        <f t="shared" si="0"/>
        <v>124365302</v>
      </c>
    </row>
    <row r="5" spans="1:7" x14ac:dyDescent="0.3">
      <c r="A5" s="71" t="s">
        <v>343</v>
      </c>
      <c r="B5" s="65">
        <f>Conto_economico!C21</f>
        <v>2303655800.1999993</v>
      </c>
      <c r="C5" s="65">
        <f>Conto_economico!D21</f>
        <v>2309111448.9200001</v>
      </c>
      <c r="D5" s="65">
        <f>Conto_economico!E21</f>
        <v>2382701846.7200003</v>
      </c>
      <c r="E5" s="65">
        <f>Conto_economico!F21</f>
        <v>2351129642.3800001</v>
      </c>
      <c r="F5" s="65">
        <f>Conto_economico!G21</f>
        <v>2451495377.1399999</v>
      </c>
      <c r="G5" s="64">
        <f t="shared" si="0"/>
        <v>100365734.75999975</v>
      </c>
    </row>
    <row r="6" spans="1:7" x14ac:dyDescent="0.3">
      <c r="A6" s="71" t="s">
        <v>339</v>
      </c>
      <c r="B6" s="64">
        <f>Conto_economico!C12</f>
        <v>88269376.230000004</v>
      </c>
      <c r="C6" s="64">
        <f>Conto_economico!D12</f>
        <v>96052547.180000007</v>
      </c>
      <c r="D6" s="64">
        <f>Conto_economico!E12</f>
        <v>93002245.060000002</v>
      </c>
      <c r="E6" s="64">
        <f>Conto_economico!F12</f>
        <v>94711424.170000002</v>
      </c>
      <c r="F6" s="64">
        <f>Conto_economico!G12</f>
        <v>98503654.969999999</v>
      </c>
      <c r="G6" s="64">
        <f t="shared" si="0"/>
        <v>3792230.799999997</v>
      </c>
    </row>
    <row r="7" spans="1:7" x14ac:dyDescent="0.3">
      <c r="A7" s="71" t="s">
        <v>340</v>
      </c>
      <c r="B7" s="64">
        <f>Conto_economico!C15</f>
        <v>57370765.390000001</v>
      </c>
      <c r="C7" s="64">
        <f>Conto_economico!D15</f>
        <v>55865825.920000002</v>
      </c>
      <c r="D7" s="64">
        <f>Conto_economico!E15</f>
        <v>58690927.479999997</v>
      </c>
      <c r="E7" s="64">
        <f>Conto_economico!F15</f>
        <v>69568699.459999993</v>
      </c>
      <c r="F7" s="64">
        <f>Conto_economico!G15</f>
        <v>61853580.770000003</v>
      </c>
      <c r="G7" s="64">
        <f t="shared" si="0"/>
        <v>-7715118.6899999902</v>
      </c>
    </row>
    <row r="8" spans="1:7" x14ac:dyDescent="0.3">
      <c r="A8" s="71" t="s">
        <v>341</v>
      </c>
      <c r="B8" s="64">
        <f>Conto_economico!C16</f>
        <v>5514394.2400000002</v>
      </c>
      <c r="C8" s="64">
        <f>Conto_economico!D16</f>
        <v>23609710.780000001</v>
      </c>
      <c r="D8" s="64">
        <f>Conto_economico!E16</f>
        <v>19737097.359999999</v>
      </c>
      <c r="E8" s="64">
        <f>Conto_economico!F16</f>
        <v>24732719.07</v>
      </c>
      <c r="F8" s="64">
        <f>Conto_economico!G16</f>
        <v>15707681.560000001</v>
      </c>
      <c r="G8" s="64">
        <f t="shared" si="0"/>
        <v>-9025037.5099999998</v>
      </c>
    </row>
    <row r="9" spans="1:7" x14ac:dyDescent="0.3">
      <c r="A9" s="47" t="s">
        <v>305</v>
      </c>
      <c r="B9" s="66">
        <f t="shared" ref="B9:D9" si="1">B2-B5</f>
        <v>72829084.560000896</v>
      </c>
      <c r="C9" s="66">
        <f t="shared" si="1"/>
        <v>57414606.96999979</v>
      </c>
      <c r="D9" s="66">
        <f t="shared" si="1"/>
        <v>84184289.759999752</v>
      </c>
      <c r="E9" s="66">
        <f t="shared" ref="E9:F9" si="2">E2-E5</f>
        <v>43536017.559999943</v>
      </c>
      <c r="F9" s="66">
        <f t="shared" si="2"/>
        <v>16462782.740000248</v>
      </c>
      <c r="G9" s="66">
        <f t="shared" si="0"/>
        <v>-27073234.819999695</v>
      </c>
    </row>
    <row r="10" spans="1:7" x14ac:dyDescent="0.3">
      <c r="A10" s="71" t="s">
        <v>306</v>
      </c>
      <c r="B10" s="64">
        <f>Conto_economico!C22-Conto_economico!C23</f>
        <v>-22013251.869999997</v>
      </c>
      <c r="C10" s="64">
        <f>Conto_economico!D22-Conto_economico!D23</f>
        <v>-18501652.619999997</v>
      </c>
      <c r="D10" s="64">
        <f>Conto_economico!E22-Conto_economico!E23</f>
        <v>-20852703.919999998</v>
      </c>
      <c r="E10" s="64">
        <f>Conto_economico!F22-Conto_economico!F23</f>
        <v>-19543451.850000001</v>
      </c>
      <c r="F10" s="64">
        <f>Conto_economico!G22-Conto_economico!G23</f>
        <v>-19377047.100000001</v>
      </c>
      <c r="G10" s="64">
        <f t="shared" si="0"/>
        <v>166404.75</v>
      </c>
    </row>
    <row r="11" spans="1:7" x14ac:dyDescent="0.3">
      <c r="A11" s="71" t="s">
        <v>307</v>
      </c>
      <c r="B11" s="65">
        <f>Conto_economico!C25-Conto_economico!C26</f>
        <v>7466860.4000000022</v>
      </c>
      <c r="C11" s="65">
        <f>Conto_economico!D25-Conto_economico!D26</f>
        <v>4465764.3600000003</v>
      </c>
      <c r="D11" s="65">
        <f>Conto_economico!E25-Conto_economico!E26</f>
        <v>3524800.7700000005</v>
      </c>
      <c r="E11" s="65">
        <f>Conto_economico!F25-Conto_economico!F26</f>
        <v>10537445.17</v>
      </c>
      <c r="F11" s="65">
        <f>Conto_economico!G25-Conto_economico!G26</f>
        <v>32230483.5</v>
      </c>
      <c r="G11" s="64">
        <f t="shared" si="0"/>
        <v>21693038.329999998</v>
      </c>
    </row>
    <row r="12" spans="1:7" x14ac:dyDescent="0.3">
      <c r="A12" s="71" t="s">
        <v>254</v>
      </c>
      <c r="B12" s="65">
        <f>Conto_economico!C24</f>
        <v>-387992.48</v>
      </c>
      <c r="C12" s="65">
        <f>Conto_economico!D24</f>
        <v>-2832064.56</v>
      </c>
      <c r="D12" s="65">
        <f>Conto_economico!E24</f>
        <v>-4056245.76</v>
      </c>
      <c r="E12" s="65">
        <f>Conto_economico!F24</f>
        <v>-990862.65</v>
      </c>
      <c r="F12" s="65">
        <f>Conto_economico!G24</f>
        <v>1975534.99</v>
      </c>
      <c r="G12" s="64">
        <f t="shared" si="0"/>
        <v>2966397.64</v>
      </c>
    </row>
    <row r="13" spans="1:7" x14ac:dyDescent="0.3">
      <c r="A13" s="47" t="s">
        <v>308</v>
      </c>
      <c r="B13" s="66">
        <f t="shared" ref="B13:D13" si="3">SUM(B9:B12)</f>
        <v>57894700.610000901</v>
      </c>
      <c r="C13" s="66">
        <f t="shared" si="3"/>
        <v>40546654.14999979</v>
      </c>
      <c r="D13" s="66">
        <f t="shared" si="3"/>
        <v>62800140.849999756</v>
      </c>
      <c r="E13" s="66">
        <f t="shared" ref="E13:F13" si="4">SUM(E9:E12)</f>
        <v>33539148.229999945</v>
      </c>
      <c r="F13" s="66">
        <f t="shared" si="4"/>
        <v>31291754.130000245</v>
      </c>
      <c r="G13" s="66">
        <f t="shared" si="0"/>
        <v>-2247394.0999996997</v>
      </c>
    </row>
    <row r="14" spans="1:7" x14ac:dyDescent="0.3">
      <c r="A14" s="71" t="s">
        <v>257</v>
      </c>
      <c r="B14" s="64">
        <f>Conto_economico!C27</f>
        <v>3707376.66</v>
      </c>
      <c r="C14" s="64">
        <f>Conto_economico!D27</f>
        <v>3652265.32</v>
      </c>
      <c r="D14" s="64">
        <f>Conto_economico!E27</f>
        <v>3768536.86</v>
      </c>
      <c r="E14" s="64">
        <f>Conto_economico!F27</f>
        <v>5127154.34</v>
      </c>
      <c r="F14" s="64">
        <f>Conto_economico!G27</f>
        <v>4094004.06</v>
      </c>
      <c r="G14" s="64">
        <f t="shared" si="0"/>
        <v>-1033150.2799999998</v>
      </c>
    </row>
    <row r="15" spans="1:7" x14ac:dyDescent="0.3">
      <c r="A15" s="70" t="s">
        <v>258</v>
      </c>
      <c r="B15" s="67">
        <f t="shared" ref="B15:D15" si="5">B13-B14</f>
        <v>54187323.950000897</v>
      </c>
      <c r="C15" s="67">
        <f t="shared" si="5"/>
        <v>36894388.82999979</v>
      </c>
      <c r="D15" s="67">
        <f t="shared" si="5"/>
        <v>59031603.989999756</v>
      </c>
      <c r="E15" s="67">
        <f t="shared" ref="E15:F15" si="6">E13-E14</f>
        <v>28411993.889999945</v>
      </c>
      <c r="F15" s="67">
        <f t="shared" si="6"/>
        <v>27197750.070000246</v>
      </c>
      <c r="G15" s="67">
        <f t="shared" si="0"/>
        <v>-1214243.8199996985</v>
      </c>
    </row>
  </sheetData>
  <conditionalFormatting sqref="B15:D15 F15:G15">
    <cfRule type="cellIs" dxfId="51" priority="15" operator="greaterThan">
      <formula>0</formula>
    </cfRule>
  </conditionalFormatting>
  <conditionalFormatting sqref="B9:D9 B13:D13 F13:G13 F9:G9">
    <cfRule type="cellIs" dxfId="50" priority="14" operator="lessThan">
      <formula>0</formula>
    </cfRule>
  </conditionalFormatting>
  <conditionalFormatting sqref="E15">
    <cfRule type="cellIs" dxfId="49" priority="2" operator="greaterThan">
      <formula>0</formula>
    </cfRule>
  </conditionalFormatting>
  <conditionalFormatting sqref="E13 E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7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3.88671875" bestFit="1" customWidth="1"/>
    <col min="8" max="9" width="12.6640625" bestFit="1" customWidth="1"/>
  </cols>
  <sheetData>
    <row r="1" spans="1:7" x14ac:dyDescent="0.3">
      <c r="A1" s="73"/>
      <c r="B1" s="96">
        <v>2015</v>
      </c>
      <c r="C1" s="96">
        <v>2016</v>
      </c>
      <c r="D1" s="69">
        <v>2017</v>
      </c>
      <c r="E1" s="69">
        <v>2018</v>
      </c>
      <c r="F1" s="69">
        <v>2019</v>
      </c>
      <c r="G1" s="69">
        <v>2020</v>
      </c>
    </row>
    <row r="2" spans="1:7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 x14ac:dyDescent="0.3">
      <c r="A3" s="32" t="s">
        <v>213</v>
      </c>
      <c r="B3" s="1">
        <v>980605.66</v>
      </c>
      <c r="C3" s="1">
        <v>1684607.22</v>
      </c>
      <c r="D3" s="1">
        <v>8869243.0199999996</v>
      </c>
      <c r="E3" s="1">
        <v>10475255.710000001</v>
      </c>
      <c r="F3" s="1">
        <v>12333711.34</v>
      </c>
      <c r="G3" s="1">
        <v>13853705.15</v>
      </c>
    </row>
    <row r="4" spans="1:7" x14ac:dyDescent="0.3">
      <c r="A4" s="32" t="s">
        <v>214</v>
      </c>
      <c r="B4" s="1">
        <v>257748649.06999999</v>
      </c>
      <c r="C4" s="1">
        <v>263852515.03999999</v>
      </c>
      <c r="D4" s="1">
        <v>356848606.5</v>
      </c>
      <c r="E4" s="1">
        <v>364445386.35000002</v>
      </c>
      <c r="F4" s="1">
        <v>362757953.56</v>
      </c>
      <c r="G4" s="1">
        <v>371094611.45999998</v>
      </c>
    </row>
    <row r="5" spans="1:7" x14ac:dyDescent="0.3">
      <c r="A5" s="32" t="s">
        <v>228</v>
      </c>
      <c r="B5" s="1">
        <v>26642901.030000001</v>
      </c>
      <c r="C5" s="1">
        <v>26891859.050000001</v>
      </c>
      <c r="D5" s="1">
        <v>594966823.72000003</v>
      </c>
      <c r="E5" s="1">
        <v>589300210.71000004</v>
      </c>
      <c r="F5" s="1">
        <v>588658422.25</v>
      </c>
      <c r="G5" s="1">
        <v>590584447.12</v>
      </c>
    </row>
    <row r="6" spans="1:7" x14ac:dyDescent="0.3">
      <c r="A6" s="32" t="s">
        <v>229</v>
      </c>
      <c r="B6" s="1">
        <v>67396348.459999993</v>
      </c>
      <c r="C6" s="1">
        <v>72739506.030000001</v>
      </c>
      <c r="D6" s="1">
        <v>82286152.709999993</v>
      </c>
      <c r="E6" s="1">
        <v>95707757.079999998</v>
      </c>
      <c r="F6" s="1">
        <v>108003154.78</v>
      </c>
      <c r="G6" s="1">
        <v>134780225.63999999</v>
      </c>
    </row>
    <row r="7" spans="1:7" x14ac:dyDescent="0.3">
      <c r="A7" s="32" t="s">
        <v>230</v>
      </c>
      <c r="B7" s="1">
        <v>828</v>
      </c>
      <c r="C7" s="1">
        <v>828</v>
      </c>
      <c r="D7" s="1">
        <v>828</v>
      </c>
      <c r="E7" s="1">
        <v>828</v>
      </c>
      <c r="F7" s="1">
        <v>828</v>
      </c>
      <c r="G7" s="1">
        <v>0</v>
      </c>
    </row>
    <row r="8" spans="1:7" x14ac:dyDescent="0.3">
      <c r="A8" s="32" t="s">
        <v>231</v>
      </c>
      <c r="B8" s="1">
        <v>13955.12</v>
      </c>
      <c r="C8" s="1">
        <v>26293.38</v>
      </c>
      <c r="D8" s="1">
        <v>29233.18</v>
      </c>
      <c r="E8" s="1">
        <v>2601.94</v>
      </c>
      <c r="F8" s="1">
        <v>3913.45</v>
      </c>
      <c r="G8" s="1">
        <v>4013.99</v>
      </c>
    </row>
    <row r="9" spans="1:7" x14ac:dyDescent="0.3">
      <c r="A9" s="32" t="s">
        <v>215</v>
      </c>
      <c r="B9" s="1">
        <v>1136676360.4100001</v>
      </c>
      <c r="C9" s="1">
        <v>1077618163.8900001</v>
      </c>
      <c r="D9" s="1">
        <v>1290981665.74</v>
      </c>
      <c r="E9" s="1">
        <v>1004227806</v>
      </c>
      <c r="F9" s="1">
        <v>1080881137.8499999</v>
      </c>
      <c r="G9" s="1">
        <v>1031555756.97</v>
      </c>
    </row>
    <row r="10" spans="1:7" x14ac:dyDescent="0.3">
      <c r="A10" s="100" t="s">
        <v>359</v>
      </c>
      <c r="B10" s="1">
        <v>270717464.83999997</v>
      </c>
      <c r="C10" s="1">
        <v>187221616.90000001</v>
      </c>
      <c r="D10" s="1">
        <v>207482474.56999999</v>
      </c>
      <c r="E10" s="1">
        <v>171875477.56</v>
      </c>
      <c r="F10" s="1">
        <v>265756243.22999999</v>
      </c>
      <c r="G10" s="1">
        <v>297615092.97000003</v>
      </c>
    </row>
    <row r="11" spans="1:7" x14ac:dyDescent="0.3">
      <c r="A11" s="100" t="s">
        <v>365</v>
      </c>
      <c r="B11" s="1">
        <v>213496108.47999999</v>
      </c>
      <c r="C11" s="1">
        <v>276254469.06999999</v>
      </c>
      <c r="D11" s="1">
        <v>352473058.26999998</v>
      </c>
      <c r="E11" s="1">
        <v>288430457.92000002</v>
      </c>
      <c r="F11" s="1">
        <v>244060059.90000001</v>
      </c>
      <c r="G11" s="1">
        <v>223156517.59</v>
      </c>
    </row>
    <row r="12" spans="1:7" x14ac:dyDescent="0.3">
      <c r="A12" s="32" t="s">
        <v>232</v>
      </c>
      <c r="B12" s="1">
        <v>921221.39</v>
      </c>
      <c r="C12" s="1">
        <v>533228.91</v>
      </c>
      <c r="D12" s="1">
        <v>275816.68</v>
      </c>
      <c r="E12" s="1">
        <v>2035723</v>
      </c>
      <c r="F12" s="1">
        <v>1807546.32</v>
      </c>
      <c r="G12" s="1">
        <v>1807546.32</v>
      </c>
    </row>
    <row r="13" spans="1:7" x14ac:dyDescent="0.3">
      <c r="A13" s="32" t="s">
        <v>216</v>
      </c>
      <c r="B13" s="1">
        <v>319873574.12</v>
      </c>
      <c r="C13" s="1">
        <v>321278199.35000002</v>
      </c>
      <c r="D13" s="1">
        <v>388252957.89999998</v>
      </c>
      <c r="E13" s="1">
        <v>480435264.16000003</v>
      </c>
      <c r="F13" s="1">
        <v>575609904.58000004</v>
      </c>
      <c r="G13" s="1">
        <v>601321264.66999996</v>
      </c>
    </row>
    <row r="14" spans="1:7" x14ac:dyDescent="0.3">
      <c r="A14" s="32" t="s">
        <v>217</v>
      </c>
      <c r="B14" s="1">
        <v>0</v>
      </c>
      <c r="C14" s="1">
        <v>0</v>
      </c>
      <c r="D14" s="1">
        <v>0</v>
      </c>
      <c r="E14" s="1">
        <v>0</v>
      </c>
      <c r="F14" s="1">
        <v>3324.32</v>
      </c>
      <c r="G14" s="1">
        <v>749.1</v>
      </c>
    </row>
    <row r="15" spans="1:7" x14ac:dyDescent="0.3">
      <c r="A15" s="10" t="s">
        <v>218</v>
      </c>
      <c r="B15" s="11">
        <f t="shared" ref="B15:D15" si="0">SUM(B2:B9)+SUM(B12:B14)</f>
        <v>1810254443.26</v>
      </c>
      <c r="C15" s="11">
        <f t="shared" si="0"/>
        <v>1764625200.8700001</v>
      </c>
      <c r="D15" s="11">
        <f t="shared" si="0"/>
        <v>2722511327.4499998</v>
      </c>
      <c r="E15" s="11">
        <f>SUM(E2:E9)+SUM(E12:E14)</f>
        <v>2546630832.9499998</v>
      </c>
      <c r="F15" s="11">
        <f>SUM(F2:F9)+SUM(F12:F14)</f>
        <v>2730059896.4500003</v>
      </c>
      <c r="G15" s="11">
        <f>SUM(G2:G9)+SUM(G12:G14)</f>
        <v>2745002320.4200001</v>
      </c>
    </row>
    <row r="16" spans="1:7" x14ac:dyDescent="0.3">
      <c r="A16" s="32" t="s">
        <v>219</v>
      </c>
      <c r="B16" s="1">
        <v>13371249.66</v>
      </c>
      <c r="C16" s="1">
        <v>13371249.66</v>
      </c>
      <c r="D16" s="1">
        <v>9360304.9499999993</v>
      </c>
      <c r="E16" s="1">
        <v>9360304.9499999993</v>
      </c>
      <c r="F16" s="1">
        <v>10050599.58</v>
      </c>
      <c r="G16" s="1">
        <v>10050599.58</v>
      </c>
    </row>
    <row r="17" spans="1:9" x14ac:dyDescent="0.3">
      <c r="A17" s="32" t="s">
        <v>220</v>
      </c>
      <c r="B17" s="1">
        <v>-389453444.74000001</v>
      </c>
      <c r="C17" s="1">
        <v>-389204486.72000003</v>
      </c>
      <c r="D17" s="1">
        <v>335988560.43000001</v>
      </c>
      <c r="E17" s="1">
        <v>363330257.88999999</v>
      </c>
      <c r="F17" s="1">
        <v>336607662.10000002</v>
      </c>
      <c r="G17" s="1">
        <v>459483215.41000003</v>
      </c>
    </row>
    <row r="18" spans="1:9" x14ac:dyDescent="0.3">
      <c r="A18" s="32" t="s">
        <v>221</v>
      </c>
      <c r="B18" s="1">
        <v>0</v>
      </c>
      <c r="C18" s="1">
        <v>54187323.950000003</v>
      </c>
      <c r="D18" s="1">
        <v>36894388.829999998</v>
      </c>
      <c r="E18" s="1">
        <v>59031603.990000002</v>
      </c>
      <c r="F18" s="1">
        <v>38234134.280000001</v>
      </c>
      <c r="G18" s="1">
        <v>27197750.07</v>
      </c>
    </row>
    <row r="19" spans="1:9" x14ac:dyDescent="0.3">
      <c r="A19" s="32" t="s">
        <v>222</v>
      </c>
      <c r="B19" s="1">
        <v>7920330.5099999998</v>
      </c>
      <c r="C19" s="1">
        <v>30250234.300000001</v>
      </c>
      <c r="D19" s="1">
        <v>54555458.93</v>
      </c>
      <c r="E19" s="1">
        <v>57994521.18</v>
      </c>
      <c r="F19" s="1">
        <v>59375090.109999999</v>
      </c>
      <c r="G19" s="1">
        <v>84526339.069999993</v>
      </c>
    </row>
    <row r="20" spans="1:9" x14ac:dyDescent="0.3">
      <c r="A20" s="32" t="s">
        <v>209</v>
      </c>
      <c r="B20" s="1">
        <v>1265025500.1300001</v>
      </c>
      <c r="C20" s="1">
        <v>1212518160.8900001</v>
      </c>
      <c r="D20" s="1">
        <v>1483863796.46</v>
      </c>
      <c r="E20" s="1">
        <v>1229060127.1700001</v>
      </c>
      <c r="F20" s="1">
        <v>1483860774.72</v>
      </c>
      <c r="G20" s="1">
        <v>1287644196.9100001</v>
      </c>
    </row>
    <row r="21" spans="1:9" x14ac:dyDescent="0.3">
      <c r="A21" s="32" t="s">
        <v>223</v>
      </c>
      <c r="B21" s="1">
        <v>47508157.729999997</v>
      </c>
      <c r="C21" s="1">
        <v>27603865.41</v>
      </c>
      <c r="D21" s="1">
        <v>38105187.549999997</v>
      </c>
      <c r="E21" s="1">
        <v>30333315.699999999</v>
      </c>
      <c r="F21" s="1">
        <v>38665353.549999997</v>
      </c>
      <c r="G21" s="1">
        <v>27193433.59</v>
      </c>
    </row>
    <row r="22" spans="1:9" x14ac:dyDescent="0.3">
      <c r="A22" s="32" t="s">
        <v>224</v>
      </c>
      <c r="B22" s="1">
        <v>436449373.99000001</v>
      </c>
      <c r="C22" s="1">
        <v>405682133.72000003</v>
      </c>
      <c r="D22" s="1">
        <v>349076270.58999997</v>
      </c>
      <c r="E22" s="1">
        <v>389142104.93000001</v>
      </c>
      <c r="F22" s="1">
        <v>349166244.70999998</v>
      </c>
      <c r="G22" s="1">
        <v>451066178.69</v>
      </c>
    </row>
    <row r="23" spans="1:9" x14ac:dyDescent="0.3">
      <c r="A23" s="100" t="s">
        <v>360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9" x14ac:dyDescent="0.3">
      <c r="A24" s="100" t="s">
        <v>361</v>
      </c>
      <c r="B24" s="1">
        <v>416921584.92000002</v>
      </c>
      <c r="C24" s="1">
        <v>385986228.32999998</v>
      </c>
      <c r="D24" s="1">
        <v>321926349.92000002</v>
      </c>
      <c r="E24" s="1">
        <v>345504710.56</v>
      </c>
      <c r="F24" s="1">
        <v>321992254.04000002</v>
      </c>
      <c r="G24" s="1">
        <v>406865850.19</v>
      </c>
    </row>
    <row r="25" spans="1:9" x14ac:dyDescent="0.3">
      <c r="A25" s="32" t="s">
        <v>225</v>
      </c>
      <c r="B25" s="1">
        <v>16761908.869999999</v>
      </c>
      <c r="C25" s="1">
        <f>29915831.15+3235</f>
        <v>29919066.149999999</v>
      </c>
      <c r="D25" s="1">
        <f>32249298.42+6064.67</f>
        <v>32255363.090000004</v>
      </c>
      <c r="E25" s="1">
        <v>32913352.550000001</v>
      </c>
      <c r="F25" s="1">
        <f>32938206.33+6064.67</f>
        <v>32944271</v>
      </c>
      <c r="G25" s="1">
        <v>24385254.539999999</v>
      </c>
      <c r="H25" s="1"/>
      <c r="I25" s="1"/>
    </row>
    <row r="26" spans="1:9" x14ac:dyDescent="0.3">
      <c r="A26" s="32" t="s">
        <v>226</v>
      </c>
      <c r="B26" s="1">
        <v>412671367.11000001</v>
      </c>
      <c r="C26" s="1">
        <v>380297653.50999999</v>
      </c>
      <c r="D26" s="1">
        <v>382411996.62</v>
      </c>
      <c r="E26" s="1">
        <v>375465244.58999997</v>
      </c>
      <c r="F26" s="1">
        <v>382758724.58999997</v>
      </c>
      <c r="G26" s="1">
        <v>373455352.56</v>
      </c>
    </row>
    <row r="27" spans="1:9" x14ac:dyDescent="0.3">
      <c r="A27" s="72" t="s">
        <v>227</v>
      </c>
      <c r="B27" s="3">
        <f t="shared" ref="B27:D27" si="1">SUM(B16:B26)-B23-B24</f>
        <v>1810254443.2600002</v>
      </c>
      <c r="C27" s="3">
        <f t="shared" si="1"/>
        <v>1764625200.8699999</v>
      </c>
      <c r="D27" s="3">
        <f t="shared" si="1"/>
        <v>2722511327.4499998</v>
      </c>
      <c r="E27" s="3">
        <f>SUM(E16:E26)-E23-E24</f>
        <v>2546630832.9500008</v>
      </c>
      <c r="F27" s="118">
        <f>SUM(F16:F26)-F23-F24</f>
        <v>2731662854.6399999</v>
      </c>
      <c r="G27" s="3">
        <f>SUM(G16:G26)-G23-G24</f>
        <v>2745002320.4199996</v>
      </c>
    </row>
    <row r="28" spans="1:9" x14ac:dyDescent="0.3">
      <c r="A28" s="10" t="s">
        <v>266</v>
      </c>
      <c r="B28" s="11">
        <f>B16+B17+B18</f>
        <v>-376082195.07999998</v>
      </c>
      <c r="C28" s="11">
        <f>C16+C17+C18</f>
        <v>-321645913.11000001</v>
      </c>
      <c r="D28" s="11">
        <f>D16+D17+D18</f>
        <v>382243254.20999998</v>
      </c>
      <c r="E28" s="11">
        <f>E16+E17+E18</f>
        <v>431722166.82999998</v>
      </c>
      <c r="F28" s="11">
        <f>F16+F17+F18</f>
        <v>384892395.96000004</v>
      </c>
      <c r="G28" s="11">
        <f>G16+G17+G18</f>
        <v>496731565.06</v>
      </c>
    </row>
    <row r="29" spans="1:9" x14ac:dyDescent="0.3">
      <c r="E29" s="6">
        <f>E28/E27*100</f>
        <v>16.95267964418289</v>
      </c>
      <c r="F29" s="6">
        <f>F28/F27*100</f>
        <v>14.090040259039368</v>
      </c>
      <c r="G29" s="6">
        <f>G28/G27*100</f>
        <v>18.095852282703991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0" workbookViewId="0">
      <selection activeCell="F146" sqref="F146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7" t="s">
        <v>210</v>
      </c>
      <c r="B1" s="117"/>
      <c r="C1" s="2" t="s">
        <v>211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 x14ac:dyDescent="0.3">
      <c r="A2" t="s">
        <v>77</v>
      </c>
    </row>
    <row r="3" spans="1:8" x14ac:dyDescent="0.3">
      <c r="A3" s="8" t="s">
        <v>78</v>
      </c>
      <c r="B3" s="8" t="s">
        <v>79</v>
      </c>
      <c r="C3" s="9">
        <v>48</v>
      </c>
      <c r="D3" s="7">
        <v>6.35</v>
      </c>
      <c r="E3" s="7">
        <v>6.18</v>
      </c>
      <c r="F3" s="7">
        <v>6.01</v>
      </c>
      <c r="G3" s="7">
        <v>4.87</v>
      </c>
      <c r="H3" s="7">
        <v>4.41</v>
      </c>
    </row>
    <row r="4" spans="1:8" x14ac:dyDescent="0.3">
      <c r="A4" t="s">
        <v>80</v>
      </c>
      <c r="D4" s="7"/>
      <c r="E4" s="7"/>
      <c r="F4" s="7"/>
      <c r="G4" s="7"/>
      <c r="H4" s="7"/>
    </row>
    <row r="5" spans="1:8" x14ac:dyDescent="0.3">
      <c r="A5" t="s">
        <v>81</v>
      </c>
      <c r="B5" t="s">
        <v>82</v>
      </c>
      <c r="D5" s="7">
        <v>99.78</v>
      </c>
      <c r="E5" s="7">
        <v>109.91</v>
      </c>
      <c r="F5" s="7">
        <v>109.6</v>
      </c>
      <c r="G5" s="7">
        <v>103.72</v>
      </c>
      <c r="H5" s="7">
        <v>106.07</v>
      </c>
    </row>
    <row r="6" spans="1:8" x14ac:dyDescent="0.3">
      <c r="A6" t="s">
        <v>83</v>
      </c>
      <c r="B6" t="s">
        <v>84</v>
      </c>
      <c r="D6" s="7">
        <v>97.49</v>
      </c>
      <c r="E6" s="7">
        <v>97.74</v>
      </c>
      <c r="F6" s="7">
        <v>97.64</v>
      </c>
      <c r="G6" s="7">
        <v>98.74</v>
      </c>
      <c r="H6" s="7">
        <v>95.92</v>
      </c>
    </row>
    <row r="7" spans="1:8" x14ac:dyDescent="0.3">
      <c r="A7" t="s">
        <v>85</v>
      </c>
      <c r="B7" t="s">
        <v>86</v>
      </c>
      <c r="D7" s="7">
        <v>79.819999999999993</v>
      </c>
      <c r="E7" s="7">
        <v>85.83</v>
      </c>
      <c r="F7" s="7">
        <v>83.4</v>
      </c>
      <c r="G7" s="7">
        <v>80.430000000000007</v>
      </c>
      <c r="H7" s="7">
        <v>77.7</v>
      </c>
    </row>
    <row r="8" spans="1:8" x14ac:dyDescent="0.3">
      <c r="A8" t="s">
        <v>87</v>
      </c>
      <c r="B8" t="s">
        <v>88</v>
      </c>
      <c r="D8" s="7">
        <v>77.989999999999995</v>
      </c>
      <c r="E8" s="7">
        <v>76.33</v>
      </c>
      <c r="F8" s="7">
        <v>74.3</v>
      </c>
      <c r="G8" s="7">
        <v>76.569999999999993</v>
      </c>
      <c r="H8" s="7">
        <v>70.260000000000005</v>
      </c>
    </row>
    <row r="9" spans="1:8" x14ac:dyDescent="0.3">
      <c r="A9" t="s">
        <v>89</v>
      </c>
      <c r="B9" t="s">
        <v>90</v>
      </c>
      <c r="D9" s="7">
        <v>104.74</v>
      </c>
      <c r="E9" s="7">
        <v>78.599999999999994</v>
      </c>
      <c r="F9" s="7">
        <v>89.75</v>
      </c>
      <c r="G9" s="7">
        <v>76.73</v>
      </c>
      <c r="H9" s="7">
        <v>95.4</v>
      </c>
    </row>
    <row r="10" spans="1:8" x14ac:dyDescent="0.3">
      <c r="A10" t="s">
        <v>91</v>
      </c>
      <c r="B10" t="s">
        <v>92</v>
      </c>
      <c r="D10" s="7">
        <v>103.24</v>
      </c>
      <c r="E10" s="7">
        <v>72.77</v>
      </c>
      <c r="F10" s="7">
        <v>85.31</v>
      </c>
      <c r="G10" s="7">
        <v>74.959999999999994</v>
      </c>
      <c r="H10" s="7">
        <v>83.95</v>
      </c>
    </row>
    <row r="11" spans="1:8" x14ac:dyDescent="0.3">
      <c r="A11" t="s">
        <v>93</v>
      </c>
      <c r="B11" t="s">
        <v>94</v>
      </c>
      <c r="D11" s="7">
        <v>82.07</v>
      </c>
      <c r="E11" s="7">
        <v>67.64</v>
      </c>
      <c r="F11" s="7">
        <v>61.69</v>
      </c>
      <c r="G11" s="7">
        <v>58.88</v>
      </c>
      <c r="H11" s="7">
        <v>68.03</v>
      </c>
    </row>
    <row r="12" spans="1:8" x14ac:dyDescent="0.3">
      <c r="A12" s="8" t="s">
        <v>95</v>
      </c>
      <c r="B12" s="8" t="s">
        <v>96</v>
      </c>
      <c r="C12" s="9">
        <v>22</v>
      </c>
      <c r="D12" s="7">
        <v>80.900000000000006</v>
      </c>
      <c r="E12" s="7">
        <v>62.62</v>
      </c>
      <c r="F12" s="7">
        <v>58.64</v>
      </c>
      <c r="G12" s="7">
        <v>57.52</v>
      </c>
      <c r="H12" s="7">
        <v>59.86</v>
      </c>
    </row>
    <row r="13" spans="1:8" x14ac:dyDescent="0.3">
      <c r="A13" t="s">
        <v>97</v>
      </c>
      <c r="D13" s="7"/>
      <c r="E13" s="7"/>
      <c r="F13" s="7"/>
      <c r="G13" s="7"/>
      <c r="H13" s="7"/>
    </row>
    <row r="14" spans="1:8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102</v>
      </c>
      <c r="D16" s="7"/>
      <c r="E16" s="7"/>
      <c r="F16" s="7"/>
      <c r="G16" s="7"/>
      <c r="H16" s="7"/>
    </row>
    <row r="17" spans="1:8" x14ac:dyDescent="0.3">
      <c r="A17" t="s">
        <v>103</v>
      </c>
      <c r="B17" t="s">
        <v>104</v>
      </c>
      <c r="D17" s="7">
        <v>2.8</v>
      </c>
      <c r="E17" s="7">
        <v>2.79</v>
      </c>
      <c r="F17" s="7">
        <v>2.78</v>
      </c>
      <c r="G17" s="7">
        <v>2.83</v>
      </c>
      <c r="H17" s="7">
        <v>2.58</v>
      </c>
    </row>
    <row r="18" spans="1:8" x14ac:dyDescent="0.3">
      <c r="A18" t="s">
        <v>105</v>
      </c>
      <c r="B18" t="s">
        <v>106</v>
      </c>
      <c r="D18" s="7">
        <v>15.84</v>
      </c>
      <c r="E18" s="7">
        <v>18.96</v>
      </c>
      <c r="F18" s="7">
        <v>16.850000000000001</v>
      </c>
      <c r="G18" s="7">
        <v>19.760000000000002</v>
      </c>
      <c r="H18" s="7">
        <v>17.079999999999998</v>
      </c>
    </row>
    <row r="19" spans="1:8" x14ac:dyDescent="0.3">
      <c r="A19" t="s">
        <v>107</v>
      </c>
      <c r="B19" t="s">
        <v>108</v>
      </c>
      <c r="D19" s="7">
        <v>2.92</v>
      </c>
      <c r="E19" s="7">
        <v>2.0099999999999998</v>
      </c>
      <c r="F19" s="7">
        <v>0.99</v>
      </c>
      <c r="G19" s="7">
        <v>0.87</v>
      </c>
      <c r="H19" s="7">
        <v>0.84</v>
      </c>
    </row>
    <row r="20" spans="1:8" x14ac:dyDescent="0.3">
      <c r="A20" t="s">
        <v>109</v>
      </c>
      <c r="B20" t="s">
        <v>110</v>
      </c>
      <c r="D20" s="7">
        <v>67.819999999999993</v>
      </c>
      <c r="E20" s="7">
        <v>68.709999999999994</v>
      </c>
      <c r="F20" s="7">
        <v>71.010000000000005</v>
      </c>
      <c r="G20" s="7">
        <v>70.930000000000007</v>
      </c>
      <c r="H20" s="7">
        <v>70.12</v>
      </c>
    </row>
    <row r="21" spans="1:8" x14ac:dyDescent="0.3">
      <c r="A21" t="s">
        <v>111</v>
      </c>
      <c r="D21" s="7"/>
      <c r="E21" s="7"/>
      <c r="F21" s="7"/>
      <c r="G21" s="7"/>
      <c r="H21" s="7"/>
    </row>
    <row r="22" spans="1:8" x14ac:dyDescent="0.3">
      <c r="A22" t="s">
        <v>112</v>
      </c>
      <c r="B22" t="s">
        <v>113</v>
      </c>
      <c r="D22" s="7">
        <v>2.78</v>
      </c>
      <c r="E22" s="7">
        <v>3.07</v>
      </c>
      <c r="F22" s="7">
        <v>3</v>
      </c>
      <c r="G22" s="7">
        <v>3.04</v>
      </c>
      <c r="H22" s="7">
        <v>3</v>
      </c>
    </row>
    <row r="23" spans="1:8" x14ac:dyDescent="0.3">
      <c r="A23" t="s">
        <v>114</v>
      </c>
      <c r="D23" s="7"/>
      <c r="E23" s="7"/>
      <c r="F23" s="7"/>
      <c r="G23" s="7"/>
      <c r="H23" s="7"/>
    </row>
    <row r="24" spans="1:8" x14ac:dyDescent="0.3">
      <c r="A24" t="s">
        <v>115</v>
      </c>
      <c r="B24" t="s">
        <v>116</v>
      </c>
      <c r="D24" s="7">
        <v>1.72</v>
      </c>
      <c r="E24" s="7">
        <v>1.56</v>
      </c>
      <c r="F24" s="7">
        <v>1.61</v>
      </c>
      <c r="G24" s="7">
        <v>1.57</v>
      </c>
      <c r="H24" s="7">
        <v>1.5</v>
      </c>
    </row>
    <row r="25" spans="1:8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3">
      <c r="A27" t="s">
        <v>121</v>
      </c>
      <c r="D27" s="7"/>
      <c r="E27" s="7"/>
      <c r="F27" s="7"/>
      <c r="G27" s="7"/>
      <c r="H27" s="7"/>
    </row>
    <row r="28" spans="1:8" x14ac:dyDescent="0.3">
      <c r="A28" t="s">
        <v>122</v>
      </c>
      <c r="B28" t="s">
        <v>123</v>
      </c>
      <c r="D28" s="7">
        <v>5.0999999999999996</v>
      </c>
      <c r="E28" s="7">
        <v>4.75</v>
      </c>
      <c r="F28" s="7">
        <v>6.73</v>
      </c>
      <c r="G28" s="7">
        <v>5.01</v>
      </c>
      <c r="H28" s="7">
        <v>4.91</v>
      </c>
    </row>
    <row r="29" spans="1:8" x14ac:dyDescent="0.3">
      <c r="A29" t="s">
        <v>124</v>
      </c>
      <c r="B29" t="s">
        <v>125</v>
      </c>
      <c r="D29" s="7">
        <v>15.56</v>
      </c>
      <c r="E29" s="7">
        <v>10.89</v>
      </c>
      <c r="F29" s="7">
        <v>9.08</v>
      </c>
      <c r="G29" s="7">
        <v>5.72</v>
      </c>
      <c r="H29" s="7">
        <v>5.48</v>
      </c>
    </row>
    <row r="30" spans="1:8" x14ac:dyDescent="0.3">
      <c r="A30" t="s">
        <v>126</v>
      </c>
      <c r="B30" t="s">
        <v>127</v>
      </c>
      <c r="D30" s="7">
        <v>116.06</v>
      </c>
      <c r="E30" s="7">
        <v>112.69</v>
      </c>
      <c r="F30" s="7">
        <v>176.03</v>
      </c>
      <c r="G30" s="7">
        <v>126.65</v>
      </c>
      <c r="H30" s="7">
        <v>135.09</v>
      </c>
    </row>
    <row r="31" spans="1:8" x14ac:dyDescent="0.3">
      <c r="A31" t="s">
        <v>128</v>
      </c>
      <c r="B31" t="s">
        <v>129</v>
      </c>
      <c r="D31" s="7">
        <v>131.61000000000001</v>
      </c>
      <c r="E31" s="7">
        <v>123.58</v>
      </c>
      <c r="F31" s="7">
        <v>185.12</v>
      </c>
      <c r="G31" s="7">
        <v>132.37</v>
      </c>
      <c r="H31" s="7">
        <v>140.57</v>
      </c>
    </row>
    <row r="32" spans="1:8" x14ac:dyDescent="0.3">
      <c r="A32" t="s">
        <v>130</v>
      </c>
      <c r="B32" t="s">
        <v>131</v>
      </c>
      <c r="D32" s="7">
        <v>28.2</v>
      </c>
      <c r="E32" s="7">
        <v>48.63</v>
      </c>
      <c r="F32" s="7">
        <v>26.77</v>
      </c>
      <c r="G32" s="7">
        <v>76.92</v>
      </c>
      <c r="H32" s="7">
        <v>0</v>
      </c>
    </row>
    <row r="33" spans="1:8" x14ac:dyDescent="0.3">
      <c r="A33" t="s">
        <v>132</v>
      </c>
      <c r="B33" t="s">
        <v>133</v>
      </c>
      <c r="D33" s="7">
        <v>-6.44</v>
      </c>
      <c r="E33" s="7">
        <v>0</v>
      </c>
      <c r="F33" s="7">
        <v>0</v>
      </c>
      <c r="G33" s="7">
        <v>0</v>
      </c>
      <c r="H33" s="7">
        <v>0</v>
      </c>
    </row>
    <row r="34" spans="1:8" x14ac:dyDescent="0.3">
      <c r="A34" t="s">
        <v>134</v>
      </c>
      <c r="B34" t="s">
        <v>135</v>
      </c>
      <c r="D34" s="7">
        <v>10.61</v>
      </c>
      <c r="E34" s="7">
        <v>0</v>
      </c>
      <c r="F34" s="7">
        <v>5.41</v>
      </c>
      <c r="G34" s="7">
        <v>8.3000000000000007</v>
      </c>
      <c r="H34" s="7">
        <v>0</v>
      </c>
    </row>
    <row r="35" spans="1:8" x14ac:dyDescent="0.3">
      <c r="A35" t="s">
        <v>136</v>
      </c>
      <c r="D35" s="7"/>
      <c r="E35" s="7"/>
      <c r="F35" s="7"/>
      <c r="G35" s="7"/>
      <c r="H35" s="7"/>
    </row>
    <row r="36" spans="1:8" x14ac:dyDescent="0.3">
      <c r="A36" t="s">
        <v>137</v>
      </c>
      <c r="B36" t="s">
        <v>138</v>
      </c>
      <c r="D36" s="7">
        <v>67.930000000000007</v>
      </c>
      <c r="E36" s="7">
        <v>59.63</v>
      </c>
      <c r="F36" s="7">
        <v>54.17</v>
      </c>
      <c r="G36" s="7">
        <v>45.66</v>
      </c>
      <c r="H36" s="7">
        <v>49.59</v>
      </c>
    </row>
    <row r="37" spans="1:8" x14ac:dyDescent="0.3">
      <c r="A37" t="s">
        <v>139</v>
      </c>
      <c r="B37" t="s">
        <v>140</v>
      </c>
      <c r="D37" s="7">
        <v>24.13</v>
      </c>
      <c r="E37" s="7">
        <v>24.92</v>
      </c>
      <c r="F37" s="7">
        <v>32.24</v>
      </c>
      <c r="G37" s="7">
        <v>34.68</v>
      </c>
      <c r="H37" s="7">
        <v>20.49</v>
      </c>
    </row>
    <row r="38" spans="1:8" x14ac:dyDescent="0.3">
      <c r="A38" t="s">
        <v>141</v>
      </c>
      <c r="B38" t="s">
        <v>142</v>
      </c>
      <c r="D38" s="7">
        <v>0</v>
      </c>
      <c r="E38" s="7">
        <v>100</v>
      </c>
      <c r="F38" s="7">
        <v>0</v>
      </c>
      <c r="G38" s="7">
        <v>100</v>
      </c>
      <c r="H38" s="7">
        <v>0</v>
      </c>
    </row>
    <row r="39" spans="1:8" x14ac:dyDescent="0.3">
      <c r="A39" t="s">
        <v>143</v>
      </c>
      <c r="B39" t="s">
        <v>144</v>
      </c>
      <c r="D39" s="7">
        <v>42.04</v>
      </c>
      <c r="E39" s="7">
        <v>38.340000000000003</v>
      </c>
      <c r="F39" s="7">
        <v>35.22</v>
      </c>
      <c r="G39" s="7">
        <v>32.5</v>
      </c>
      <c r="H39" s="7">
        <v>23.8</v>
      </c>
    </row>
    <row r="40" spans="1:8" x14ac:dyDescent="0.3">
      <c r="A40" t="s">
        <v>145</v>
      </c>
      <c r="B40" t="s">
        <v>146</v>
      </c>
      <c r="D40" s="7">
        <v>40.39</v>
      </c>
      <c r="E40" s="7">
        <v>30.5</v>
      </c>
      <c r="F40" s="7">
        <v>37.64</v>
      </c>
      <c r="G40" s="7">
        <v>36.22</v>
      </c>
      <c r="H40" s="7">
        <v>28.91</v>
      </c>
    </row>
    <row r="41" spans="1:8" x14ac:dyDescent="0.3">
      <c r="A41" t="s">
        <v>147</v>
      </c>
      <c r="B41" t="s">
        <v>148</v>
      </c>
      <c r="D41" s="7">
        <v>100</v>
      </c>
      <c r="E41" s="7">
        <v>64.36</v>
      </c>
      <c r="F41" s="7">
        <v>75.760000000000005</v>
      </c>
      <c r="G41" s="7">
        <v>77.8</v>
      </c>
      <c r="H41" s="7">
        <v>46.56</v>
      </c>
    </row>
    <row r="42" spans="1:8" x14ac:dyDescent="0.3">
      <c r="A42" t="s">
        <v>149</v>
      </c>
      <c r="D42" s="7"/>
      <c r="E42" s="7"/>
      <c r="F42" s="7"/>
      <c r="G42" s="7"/>
      <c r="H42" s="7"/>
    </row>
    <row r="43" spans="1:8" x14ac:dyDescent="0.3">
      <c r="A43" t="s">
        <v>150</v>
      </c>
      <c r="B43" t="s">
        <v>151</v>
      </c>
      <c r="D43" s="7">
        <v>75.72</v>
      </c>
      <c r="E43" s="7">
        <v>67.849999999999994</v>
      </c>
      <c r="F43" s="7">
        <v>74.77</v>
      </c>
      <c r="G43" s="7">
        <v>76.16</v>
      </c>
      <c r="H43" s="7">
        <v>76.72</v>
      </c>
    </row>
    <row r="44" spans="1:8" x14ac:dyDescent="0.3">
      <c r="A44" t="s">
        <v>152</v>
      </c>
      <c r="B44" t="s">
        <v>153</v>
      </c>
      <c r="D44" s="7">
        <v>85.45</v>
      </c>
      <c r="E44" s="7">
        <v>72.17</v>
      </c>
      <c r="F44" s="7">
        <v>76.45</v>
      </c>
      <c r="G44" s="7">
        <v>70.02</v>
      </c>
      <c r="H44" s="7">
        <v>68.849999999999994</v>
      </c>
    </row>
    <row r="45" spans="1:8" x14ac:dyDescent="0.3">
      <c r="A45" t="s">
        <v>154</v>
      </c>
      <c r="B45" t="s">
        <v>155</v>
      </c>
      <c r="D45" s="7">
        <v>90.33</v>
      </c>
      <c r="E45" s="7">
        <v>93.6</v>
      </c>
      <c r="F45" s="7">
        <v>93.43</v>
      </c>
      <c r="G45" s="7">
        <v>93.89</v>
      </c>
      <c r="H45" s="7">
        <v>93.72</v>
      </c>
    </row>
    <row r="46" spans="1:8" x14ac:dyDescent="0.3">
      <c r="A46" t="s">
        <v>156</v>
      </c>
      <c r="B46" t="s">
        <v>157</v>
      </c>
      <c r="D46" s="7">
        <v>54.43</v>
      </c>
      <c r="E46" s="7">
        <v>49.73</v>
      </c>
      <c r="F46" s="7">
        <v>34.979999999999997</v>
      </c>
      <c r="G46" s="7">
        <v>35.06</v>
      </c>
      <c r="H46" s="7">
        <v>21.76</v>
      </c>
    </row>
    <row r="47" spans="1:8" x14ac:dyDescent="0.3">
      <c r="A47" t="s">
        <v>158</v>
      </c>
      <c r="B47" t="s">
        <v>159</v>
      </c>
      <c r="D47" s="7">
        <v>-9.0399999999999991</v>
      </c>
      <c r="E47" s="7">
        <v>-11.38</v>
      </c>
      <c r="F47" s="7">
        <v>-6.95</v>
      </c>
      <c r="G47" s="7">
        <v>-18.47</v>
      </c>
      <c r="H47" s="7">
        <v>-20.149999999999999</v>
      </c>
    </row>
    <row r="48" spans="1:8" x14ac:dyDescent="0.3">
      <c r="A48" t="s">
        <v>160</v>
      </c>
      <c r="D48" s="7"/>
      <c r="E48" s="7"/>
      <c r="F48" s="7"/>
      <c r="G48" s="7"/>
      <c r="H48" s="7"/>
    </row>
    <row r="49" spans="1:8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3">
      <c r="A50" t="s">
        <v>163</v>
      </c>
      <c r="B50" t="s">
        <v>164</v>
      </c>
      <c r="D50" s="7">
        <v>3.76</v>
      </c>
      <c r="E50" s="7">
        <v>3.79</v>
      </c>
      <c r="F50" s="7">
        <v>2.84</v>
      </c>
      <c r="G50" s="7">
        <v>2.69</v>
      </c>
      <c r="H50" s="7">
        <v>1.8</v>
      </c>
    </row>
    <row r="51" spans="1:8" x14ac:dyDescent="0.3">
      <c r="A51" s="8" t="s">
        <v>165</v>
      </c>
      <c r="B51" s="8" t="s">
        <v>166</v>
      </c>
      <c r="C51" s="9">
        <v>16</v>
      </c>
      <c r="D51" s="7">
        <v>3.72</v>
      </c>
      <c r="E51" s="7">
        <v>3.56</v>
      </c>
      <c r="F51" s="7">
        <v>3.4</v>
      </c>
      <c r="G51" s="7">
        <v>2.21</v>
      </c>
      <c r="H51" s="7">
        <v>1.9</v>
      </c>
    </row>
    <row r="52" spans="1:8" x14ac:dyDescent="0.3">
      <c r="A52" t="s">
        <v>167</v>
      </c>
      <c r="B52" t="s">
        <v>168</v>
      </c>
      <c r="D52" s="7">
        <v>1360.57</v>
      </c>
      <c r="E52" s="7">
        <v>1669.31</v>
      </c>
      <c r="F52" s="7">
        <v>1389.33</v>
      </c>
      <c r="G52" s="7">
        <v>633.84</v>
      </c>
      <c r="H52" s="7">
        <v>630.89</v>
      </c>
    </row>
    <row r="53" spans="1:8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170</v>
      </c>
      <c r="B54" t="s">
        <v>171</v>
      </c>
      <c r="D54" s="7">
        <v>0</v>
      </c>
      <c r="E54" s="7">
        <v>0</v>
      </c>
      <c r="F54" s="7">
        <v>0</v>
      </c>
      <c r="G54" s="7">
        <v>-25.03158975164115</v>
      </c>
      <c r="H54" s="7">
        <v>-27.284754290859471</v>
      </c>
    </row>
    <row r="55" spans="1:8" x14ac:dyDescent="0.3">
      <c r="A55" t="s">
        <v>172</v>
      </c>
      <c r="B55" t="s">
        <v>173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174</v>
      </c>
      <c r="B56" t="s">
        <v>175</v>
      </c>
      <c r="D56" s="7">
        <v>0</v>
      </c>
      <c r="E56" s="7">
        <v>0</v>
      </c>
      <c r="F56" s="7">
        <v>0</v>
      </c>
      <c r="G56" s="7">
        <v>55.724202261420672</v>
      </c>
      <c r="H56" s="7">
        <v>61.928280979816719</v>
      </c>
    </row>
    <row r="57" spans="1:8" x14ac:dyDescent="0.3">
      <c r="A57" t="s">
        <v>176</v>
      </c>
      <c r="B57" t="s">
        <v>177</v>
      </c>
      <c r="D57" s="7">
        <v>0</v>
      </c>
      <c r="E57" s="7">
        <v>0</v>
      </c>
      <c r="F57" s="7">
        <v>0</v>
      </c>
      <c r="G57" s="7">
        <v>69.307387490220478</v>
      </c>
      <c r="H57" s="7">
        <v>65.356473311042734</v>
      </c>
    </row>
    <row r="58" spans="1:8" x14ac:dyDescent="0.3">
      <c r="A58" t="s">
        <v>178</v>
      </c>
      <c r="D58" s="7"/>
      <c r="E58" s="7"/>
      <c r="F58" s="7"/>
      <c r="G58" s="7"/>
      <c r="H58" s="7"/>
    </row>
    <row r="59" spans="1:8" x14ac:dyDescent="0.3">
      <c r="A59" t="s">
        <v>179</v>
      </c>
      <c r="B59" t="s">
        <v>180</v>
      </c>
      <c r="D59" s="7">
        <v>2.36</v>
      </c>
      <c r="E59" s="7">
        <v>2.48</v>
      </c>
      <c r="F59" s="7">
        <v>0</v>
      </c>
      <c r="G59" s="7">
        <v>8.9354589570516918</v>
      </c>
      <c r="H59" s="7">
        <v>8.2903229690285443</v>
      </c>
    </row>
    <row r="60" spans="1:8" x14ac:dyDescent="0.3">
      <c r="A60" t="s">
        <v>181</v>
      </c>
      <c r="B60" t="s">
        <v>182</v>
      </c>
      <c r="D60" s="7"/>
      <c r="E60" s="7"/>
      <c r="F60" s="7"/>
      <c r="G60" s="7">
        <v>-8.9354589570516918</v>
      </c>
      <c r="H60" s="7">
        <v>-8.2903229690285443</v>
      </c>
    </row>
    <row r="61" spans="1:8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19.565804572572016</v>
      </c>
      <c r="H61" s="7">
        <v>16.744724775030768</v>
      </c>
    </row>
    <row r="62" spans="1:8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0.03</v>
      </c>
      <c r="F62" s="7">
        <v>0</v>
      </c>
      <c r="G62" s="7">
        <v>3.1007871538048897</v>
      </c>
      <c r="H62" s="7">
        <v>2.6237510297127473</v>
      </c>
    </row>
    <row r="63" spans="1:8" x14ac:dyDescent="0.3">
      <c r="A63" t="s">
        <v>353</v>
      </c>
      <c r="B63" t="s">
        <v>354</v>
      </c>
      <c r="C63" s="7"/>
      <c r="D63" s="7">
        <v>87.15</v>
      </c>
      <c r="E63" s="7">
        <v>75.31</v>
      </c>
      <c r="F63" s="7">
        <v>72.19</v>
      </c>
      <c r="G63" s="7">
        <v>69.459999999999994</v>
      </c>
      <c r="H63" s="7">
        <v>66.7</v>
      </c>
    </row>
    <row r="64" spans="1:8" x14ac:dyDescent="0.3">
      <c r="A64" t="s">
        <v>187</v>
      </c>
      <c r="D64" s="7"/>
      <c r="E64" s="7"/>
      <c r="F64" s="7"/>
      <c r="G64" s="7"/>
      <c r="H64" s="7"/>
    </row>
    <row r="65" spans="1:8" x14ac:dyDescent="0.3">
      <c r="A65" s="8" t="s">
        <v>188</v>
      </c>
      <c r="B65" s="8" t="s">
        <v>189</v>
      </c>
      <c r="C65" s="9">
        <v>1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1:8" x14ac:dyDescent="0.3">
      <c r="A66" s="8" t="s">
        <v>190</v>
      </c>
      <c r="B66" s="8" t="s">
        <v>191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192</v>
      </c>
      <c r="B67" s="8" t="s">
        <v>193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194</v>
      </c>
      <c r="D68" s="7"/>
      <c r="E68" s="7"/>
      <c r="F68" s="7"/>
      <c r="G68" s="7"/>
      <c r="H68" s="7"/>
    </row>
    <row r="69" spans="1:8" x14ac:dyDescent="0.3">
      <c r="A69" t="s">
        <v>195</v>
      </c>
      <c r="B69" t="s">
        <v>196</v>
      </c>
      <c r="D69" s="7">
        <v>43.99</v>
      </c>
      <c r="E69" s="7">
        <v>30.84</v>
      </c>
      <c r="F69" s="30">
        <v>43.76</v>
      </c>
      <c r="G69" s="30">
        <v>33.729999999999997</v>
      </c>
      <c r="H69" s="30">
        <v>33.56</v>
      </c>
    </row>
    <row r="70" spans="1:8" x14ac:dyDescent="0.3">
      <c r="A70" t="s">
        <v>197</v>
      </c>
      <c r="D70" s="7"/>
      <c r="E70" s="7"/>
      <c r="F70" s="7"/>
      <c r="G70" s="7"/>
      <c r="H70" s="7"/>
    </row>
    <row r="71" spans="1:8" x14ac:dyDescent="0.3">
      <c r="A71" t="s">
        <v>198</v>
      </c>
      <c r="B71" t="s">
        <v>199</v>
      </c>
      <c r="D71" s="7">
        <v>1.22</v>
      </c>
      <c r="E71" s="30">
        <v>1.0900000000000001</v>
      </c>
      <c r="F71" s="7">
        <v>1.1399999999999999</v>
      </c>
      <c r="G71" s="7">
        <v>1.1499999999999999</v>
      </c>
      <c r="H71" s="7">
        <v>1.01</v>
      </c>
    </row>
    <row r="72" spans="1:8" x14ac:dyDescent="0.3">
      <c r="A72" t="s">
        <v>200</v>
      </c>
      <c r="B72" t="s">
        <v>201</v>
      </c>
      <c r="D72" s="7">
        <v>1.27</v>
      </c>
      <c r="E72" s="30">
        <v>1.1399999999999999</v>
      </c>
      <c r="F72" s="7">
        <v>1.18</v>
      </c>
      <c r="G72" s="7">
        <v>1.21</v>
      </c>
      <c r="H72" s="7">
        <v>1.03</v>
      </c>
    </row>
    <row r="73" spans="1:8" x14ac:dyDescent="0.3">
      <c r="A73" t="s">
        <v>304</v>
      </c>
      <c r="D73" s="7"/>
      <c r="E73" s="7"/>
      <c r="F73" s="7"/>
      <c r="G73" s="7"/>
      <c r="H73" s="7"/>
    </row>
    <row r="74" spans="1:8" x14ac:dyDescent="0.3">
      <c r="B74" t="s">
        <v>202</v>
      </c>
      <c r="D74" s="7">
        <v>73.95</v>
      </c>
      <c r="E74" s="7">
        <v>65.13</v>
      </c>
      <c r="F74" s="7">
        <v>75.040000000000006</v>
      </c>
      <c r="G74" s="7">
        <v>67.16</v>
      </c>
      <c r="H74" s="7">
        <v>71.599999999999994</v>
      </c>
    </row>
    <row r="75" spans="1:8" x14ac:dyDescent="0.3">
      <c r="B75" t="s">
        <v>203</v>
      </c>
      <c r="D75" s="7">
        <v>86.72</v>
      </c>
      <c r="E75" s="7">
        <v>83.11</v>
      </c>
      <c r="F75" s="7">
        <v>88.13</v>
      </c>
      <c r="G75" s="7">
        <v>86.01</v>
      </c>
      <c r="H75" s="7">
        <v>91.92</v>
      </c>
    </row>
    <row r="76" spans="1:8" x14ac:dyDescent="0.3">
      <c r="B76" t="s">
        <v>204</v>
      </c>
      <c r="D76" s="7">
        <v>41.32</v>
      </c>
      <c r="E76" s="7">
        <v>16.95</v>
      </c>
      <c r="F76" s="7">
        <v>47.59</v>
      </c>
      <c r="G76" s="7">
        <v>15.34</v>
      </c>
      <c r="H76" s="7">
        <v>26.83</v>
      </c>
    </row>
    <row r="77" spans="1:8" x14ac:dyDescent="0.3">
      <c r="A77" s="8" t="s">
        <v>36</v>
      </c>
      <c r="B77" s="8"/>
      <c r="C77" s="9">
        <v>47</v>
      </c>
      <c r="D77" s="7">
        <v>70.261169285476313</v>
      </c>
      <c r="E77" s="7">
        <v>64.921953285221562</v>
      </c>
      <c r="F77" s="30">
        <v>71.960809454564085</v>
      </c>
      <c r="G77" s="30">
        <v>65.993062470302888</v>
      </c>
      <c r="H77" s="30">
        <v>68.770663663962978</v>
      </c>
    </row>
    <row r="78" spans="1:8" x14ac:dyDescent="0.3">
      <c r="A78" s="31" t="s">
        <v>334</v>
      </c>
      <c r="B78" s="31"/>
      <c r="C78" s="63"/>
      <c r="D78" s="30">
        <v>66.760934164190701</v>
      </c>
      <c r="E78" s="30">
        <v>61.374376101160067</v>
      </c>
      <c r="F78" s="30">
        <v>69.187059641714569</v>
      </c>
      <c r="G78" s="30">
        <v>63.502791111552135</v>
      </c>
      <c r="H78" s="30">
        <v>65.947141345946221</v>
      </c>
    </row>
    <row r="79" spans="1:8" x14ac:dyDescent="0.3">
      <c r="A79" t="s">
        <v>267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205</v>
      </c>
      <c r="D80" s="7">
        <v>1.5597513779758416</v>
      </c>
      <c r="E80" s="7">
        <v>1.1888273314866113</v>
      </c>
      <c r="F80" s="30">
        <v>1.4290653451653799</v>
      </c>
      <c r="G80" s="30">
        <v>1.3079139880292618</v>
      </c>
      <c r="H80" s="30">
        <v>1.3552646820340555</v>
      </c>
    </row>
    <row r="81" spans="1:8" x14ac:dyDescent="0.3">
      <c r="A81">
        <v>9</v>
      </c>
      <c r="B81" t="s">
        <v>346</v>
      </c>
      <c r="D81" s="7">
        <v>1.8060279113404483</v>
      </c>
      <c r="E81" s="7">
        <v>2.4238227146814406</v>
      </c>
      <c r="F81" s="30">
        <v>2.512389074564942</v>
      </c>
      <c r="G81" s="30">
        <v>1.7623586787851919</v>
      </c>
      <c r="H81" s="30">
        <v>1.5521834819877216</v>
      </c>
    </row>
    <row r="82" spans="1:8" x14ac:dyDescent="0.3">
      <c r="A82">
        <v>10</v>
      </c>
      <c r="B82" t="s">
        <v>206</v>
      </c>
      <c r="D82" s="7">
        <v>5.8637269848715849</v>
      </c>
      <c r="E82" s="7">
        <v>6.9482917820867947</v>
      </c>
      <c r="F82" s="30">
        <v>7.4910683415927171</v>
      </c>
      <c r="G82" s="30">
        <v>6.251385502105963</v>
      </c>
      <c r="H82" s="30">
        <v>7.8651685393258424</v>
      </c>
    </row>
    <row r="83" spans="1:8" x14ac:dyDescent="0.3">
      <c r="A83">
        <v>12</v>
      </c>
      <c r="B83" t="s">
        <v>207</v>
      </c>
      <c r="D83" s="7">
        <v>1.5362964700363553</v>
      </c>
      <c r="E83" s="7">
        <v>1.3504155124653738</v>
      </c>
      <c r="F83" s="30">
        <v>1.5788867119972343</v>
      </c>
      <c r="G83" s="30">
        <v>1.3855021059632011</v>
      </c>
      <c r="H83" s="30">
        <v>1.8186030348662112</v>
      </c>
    </row>
    <row r="84" spans="1:8" x14ac:dyDescent="0.3">
      <c r="A84">
        <v>13</v>
      </c>
      <c r="B84" t="s">
        <v>355</v>
      </c>
      <c r="D84" s="7">
        <v>69.426527500879558</v>
      </c>
      <c r="E84" s="7">
        <v>71.456602031394269</v>
      </c>
      <c r="F84" s="30">
        <v>68.364642157427696</v>
      </c>
      <c r="G84" s="30">
        <v>72.467302150299261</v>
      </c>
      <c r="H84" s="30">
        <v>70.635931889262125</v>
      </c>
    </row>
    <row r="85" spans="1:8" x14ac:dyDescent="0.3">
      <c r="A85" t="s">
        <v>208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205</v>
      </c>
      <c r="D86" s="7">
        <v>82.84</v>
      </c>
      <c r="E86" s="7">
        <v>91.55</v>
      </c>
      <c r="F86" s="7">
        <v>75.260000000000005</v>
      </c>
      <c r="G86" s="7">
        <v>80.05</v>
      </c>
      <c r="H86" s="7">
        <v>82.66</v>
      </c>
    </row>
    <row r="87" spans="1:8" x14ac:dyDescent="0.3">
      <c r="A87">
        <v>9</v>
      </c>
      <c r="B87" t="s">
        <v>346</v>
      </c>
      <c r="D87" s="7">
        <v>76.14</v>
      </c>
      <c r="E87" s="7">
        <v>84.07</v>
      </c>
      <c r="F87" s="7">
        <v>74.42</v>
      </c>
      <c r="G87" s="7">
        <v>70.16</v>
      </c>
      <c r="H87" s="7">
        <v>73.92</v>
      </c>
    </row>
    <row r="88" spans="1:8" x14ac:dyDescent="0.3">
      <c r="A88">
        <v>10</v>
      </c>
      <c r="B88" t="s">
        <v>206</v>
      </c>
      <c r="D88" s="7">
        <v>77.2</v>
      </c>
      <c r="E88" s="7">
        <v>71.38</v>
      </c>
      <c r="F88" s="7">
        <v>78.37</v>
      </c>
      <c r="G88" s="7">
        <v>69.44</v>
      </c>
      <c r="H88" s="7">
        <v>69.16</v>
      </c>
    </row>
    <row r="89" spans="1:8" x14ac:dyDescent="0.3">
      <c r="A89">
        <v>12</v>
      </c>
      <c r="B89" t="s">
        <v>207</v>
      </c>
      <c r="D89" s="7">
        <v>87.55</v>
      </c>
      <c r="E89" s="7">
        <v>80.77</v>
      </c>
      <c r="F89" s="7">
        <v>76.900000000000006</v>
      </c>
      <c r="G89" s="7">
        <v>68.97</v>
      </c>
      <c r="H89" s="7">
        <v>87.41</v>
      </c>
    </row>
    <row r="90" spans="1:8" x14ac:dyDescent="0.3">
      <c r="A90">
        <v>13</v>
      </c>
      <c r="B90" t="s">
        <v>355</v>
      </c>
      <c r="D90" s="7">
        <v>85.46</v>
      </c>
      <c r="E90" s="7">
        <v>87.08</v>
      </c>
      <c r="F90" s="7">
        <v>87.04</v>
      </c>
      <c r="G90" s="7">
        <v>86.73</v>
      </c>
      <c r="H90" s="7">
        <v>84.6</v>
      </c>
    </row>
    <row r="91" spans="1:8" x14ac:dyDescent="0.3">
      <c r="B91" s="68" t="s">
        <v>358</v>
      </c>
      <c r="D91" s="7"/>
      <c r="E91" s="7"/>
      <c r="F91" s="7"/>
      <c r="G91" s="7"/>
      <c r="H91" s="7"/>
    </row>
    <row r="92" spans="1:8" x14ac:dyDescent="0.3">
      <c r="B92" t="s">
        <v>110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129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159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168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302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303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159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168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301</v>
      </c>
    </row>
    <row r="182" spans="2:8" x14ac:dyDescent="0.3">
      <c r="E182" s="31"/>
    </row>
    <row r="202" spans="2:2" x14ac:dyDescent="0.3">
      <c r="B202" s="39" t="s">
        <v>267</v>
      </c>
    </row>
    <row r="221" spans="2:2" x14ac:dyDescent="0.3">
      <c r="B221" s="39" t="s">
        <v>208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2022-06-11T10:32:13Z</dcterms:modified>
</cp:coreProperties>
</file>