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N55" i="2"/>
  <c r="O54" i="2"/>
  <c r="N54" i="2"/>
  <c r="O53" i="2"/>
  <c r="R53" i="2" s="1"/>
  <c r="N53" i="2"/>
  <c r="O52" i="2"/>
  <c r="N52" i="2"/>
  <c r="O51" i="2"/>
  <c r="N51" i="2"/>
  <c r="O50" i="2"/>
  <c r="N50" i="2"/>
  <c r="O16" i="2"/>
  <c r="R16" i="2" s="1"/>
  <c r="O15" i="2"/>
  <c r="N15" i="2"/>
  <c r="N20" i="2" s="1"/>
  <c r="O14" i="2"/>
  <c r="R14" i="2" s="1"/>
  <c r="N14" i="2"/>
  <c r="O12" i="2"/>
  <c r="N12" i="2"/>
  <c r="N16" i="2" s="1"/>
  <c r="Q16" i="2" s="1"/>
  <c r="R59" i="2"/>
  <c r="Q59" i="2"/>
  <c r="R55" i="2"/>
  <c r="Q55" i="2"/>
  <c r="R54" i="2"/>
  <c r="Q54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5" i="2"/>
  <c r="Q15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10" i="8" l="1"/>
  <c r="E27" i="8"/>
  <c r="E20" i="8"/>
  <c r="E30" i="8"/>
  <c r="E31" i="8" s="1"/>
  <c r="E21" i="8"/>
  <c r="E5" i="7"/>
  <c r="E15" i="7"/>
  <c r="E11" i="7"/>
  <c r="E20" i="7" s="1"/>
  <c r="E21" i="7" s="1"/>
  <c r="E16" i="7"/>
  <c r="N21" i="2"/>
  <c r="Q21" i="2" s="1"/>
  <c r="Q20" i="2"/>
  <c r="O20" i="2"/>
  <c r="O21" i="2" l="1"/>
  <c r="R21" i="2" s="1"/>
  <c r="R20" i="2"/>
  <c r="L59" i="2" l="1"/>
  <c r="K55" i="2"/>
  <c r="M55" i="2" s="1"/>
  <c r="L54" i="2"/>
  <c r="K54" i="2"/>
  <c r="M54" i="2" s="1"/>
  <c r="L53" i="2"/>
  <c r="L56" i="2" s="1"/>
  <c r="L57" i="2" s="1"/>
  <c r="K53" i="2"/>
  <c r="M53" i="2" s="1"/>
  <c r="L52" i="2"/>
  <c r="K52" i="2"/>
  <c r="M52" i="2" s="1"/>
  <c r="L51" i="2"/>
  <c r="K51" i="2"/>
  <c r="M51" i="2" s="1"/>
  <c r="M50" i="2"/>
  <c r="L50" i="2"/>
  <c r="L63" i="2" s="1"/>
  <c r="K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K16" i="2"/>
  <c r="M16" i="2" s="1"/>
  <c r="M15" i="2"/>
  <c r="L15" i="2"/>
  <c r="K15" i="2"/>
  <c r="K59" i="2" s="1"/>
  <c r="L14" i="2"/>
  <c r="L58" i="2" s="1"/>
  <c r="K14" i="2"/>
  <c r="M14" i="2" s="1"/>
  <c r="M13" i="2"/>
  <c r="L12" i="2"/>
  <c r="L16" i="2" s="1"/>
  <c r="L20" i="2" s="1"/>
  <c r="L21" i="2" s="1"/>
  <c r="K12" i="2"/>
  <c r="M11" i="2"/>
  <c r="M10" i="2"/>
  <c r="M9" i="2"/>
  <c r="M8" i="2"/>
  <c r="M7" i="2"/>
  <c r="M6" i="2"/>
  <c r="M5" i="2"/>
  <c r="M4" i="2"/>
  <c r="M3" i="2"/>
  <c r="F25" i="5"/>
  <c r="E28" i="5"/>
  <c r="E25" i="5"/>
  <c r="E27" i="5" s="1"/>
  <c r="E15" i="5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E14" i="10"/>
  <c r="E12" i="10"/>
  <c r="E11" i="10"/>
  <c r="E10" i="10"/>
  <c r="E9" i="10"/>
  <c r="E13" i="10" s="1"/>
  <c r="E15" i="10" s="1"/>
  <c r="E8" i="10"/>
  <c r="E7" i="10"/>
  <c r="E6" i="10"/>
  <c r="E5" i="10"/>
  <c r="E4" i="10"/>
  <c r="E3" i="10"/>
  <c r="E2" i="10"/>
  <c r="L61" i="2" l="1"/>
  <c r="K20" i="2"/>
  <c r="K56" i="2"/>
  <c r="K60" i="2"/>
  <c r="L60" i="2"/>
  <c r="M12" i="2"/>
  <c r="K58" i="2"/>
  <c r="L62" i="2"/>
  <c r="E29" i="5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8" i="6"/>
  <c r="F21" i="6"/>
  <c r="F10" i="6"/>
  <c r="F52" i="1"/>
  <c r="F24" i="1"/>
  <c r="F20" i="1"/>
  <c r="F14" i="1"/>
  <c r="F7" i="1"/>
  <c r="F22" i="1" s="1"/>
  <c r="F3" i="13"/>
  <c r="C2" i="13"/>
  <c r="K57" i="2" l="1"/>
  <c r="M57" i="2" s="1"/>
  <c r="M56" i="2"/>
  <c r="K21" i="2"/>
  <c r="M20" i="2"/>
  <c r="G9" i="12"/>
  <c r="G8" i="12"/>
  <c r="G7" i="12"/>
  <c r="G6" i="12"/>
  <c r="G5" i="12"/>
  <c r="G4" i="12"/>
  <c r="G3" i="12"/>
  <c r="G2" i="12"/>
  <c r="M21" i="2" l="1"/>
  <c r="K61" i="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H4" i="9"/>
  <c r="F4" i="9"/>
  <c r="O58" i="2"/>
  <c r="H2" i="9" l="1"/>
  <c r="R58" i="2"/>
  <c r="D15" i="7"/>
  <c r="D27" i="8"/>
  <c r="D5" i="7"/>
  <c r="D20" i="7" s="1"/>
  <c r="O59" i="2"/>
  <c r="H3" i="9" s="1"/>
  <c r="H5" i="9"/>
  <c r="D10" i="8"/>
  <c r="D20" i="8"/>
  <c r="D15" i="8"/>
  <c r="D11" i="7"/>
  <c r="O62" i="2"/>
  <c r="O60" i="2"/>
  <c r="R60" i="2" s="1"/>
  <c r="O63" i="2"/>
  <c r="N58" i="2"/>
  <c r="Q58" i="2" s="1"/>
  <c r="N59" i="2"/>
  <c r="F3" i="9" s="1"/>
  <c r="N60" i="2"/>
  <c r="Q60" i="2" s="1"/>
  <c r="D16" i="7" l="1"/>
  <c r="F2" i="9"/>
  <c r="D21" i="7"/>
  <c r="F5" i="9"/>
  <c r="D21" i="8"/>
  <c r="H55" i="2" l="1"/>
  <c r="I54" i="2"/>
  <c r="H54" i="2"/>
  <c r="I53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7" i="5"/>
  <c r="F28" i="5"/>
  <c r="F15" i="5"/>
  <c r="F14" i="10"/>
  <c r="F12" i="10"/>
  <c r="F11" i="10"/>
  <c r="F10" i="10"/>
  <c r="F8" i="10"/>
  <c r="F7" i="10"/>
  <c r="F6" i="10"/>
  <c r="F4" i="10"/>
  <c r="F3" i="10"/>
  <c r="G21" i="6"/>
  <c r="G10" i="6"/>
  <c r="G52" i="1"/>
  <c r="G24" i="1"/>
  <c r="G20" i="1"/>
  <c r="G14" i="1"/>
  <c r="G7" i="1"/>
  <c r="F4" i="13"/>
  <c r="C3" i="13"/>
  <c r="E52" i="1"/>
  <c r="D52" i="1"/>
  <c r="C52" i="1"/>
  <c r="B52" i="1"/>
  <c r="E24" i="1"/>
  <c r="D24" i="1"/>
  <c r="C24" i="1"/>
  <c r="B24" i="1"/>
  <c r="F8" i="13"/>
  <c r="F7" i="13"/>
  <c r="C7" i="13"/>
  <c r="F6" i="13"/>
  <c r="C6" i="13"/>
  <c r="F5" i="13"/>
  <c r="C5" i="13"/>
  <c r="C4" i="13"/>
  <c r="B55" i="2"/>
  <c r="C54" i="2"/>
  <c r="B54" i="2"/>
  <c r="C53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J14" i="2" l="1"/>
  <c r="F5" i="10"/>
  <c r="H21" i="6"/>
  <c r="F2" i="10"/>
  <c r="H10" i="6"/>
  <c r="J52" i="2"/>
  <c r="B4" i="9"/>
  <c r="J15" i="2"/>
  <c r="H59" i="2"/>
  <c r="H56" i="2"/>
  <c r="I59" i="2"/>
  <c r="I63" i="2"/>
  <c r="J53" i="2"/>
  <c r="I58" i="2"/>
  <c r="I62" i="2"/>
  <c r="I60" i="2"/>
  <c r="C63" i="2"/>
  <c r="J16" i="2"/>
  <c r="D4" i="9"/>
  <c r="J51" i="2"/>
  <c r="J54" i="2"/>
  <c r="D28" i="8"/>
  <c r="I56" i="2"/>
  <c r="I57" i="2" s="1"/>
  <c r="B60" i="2"/>
  <c r="B5" i="9" s="1"/>
  <c r="B58" i="2"/>
  <c r="B2" i="9" s="1"/>
  <c r="C58" i="2"/>
  <c r="C60" i="2"/>
  <c r="C62" i="2"/>
  <c r="D29" i="8"/>
  <c r="C20" i="2"/>
  <c r="C21" i="2" s="1"/>
  <c r="C59" i="2"/>
  <c r="B20" i="2"/>
  <c r="B21" i="2" s="1"/>
  <c r="B59" i="2"/>
  <c r="B3" i="9" s="1"/>
  <c r="H58" i="2"/>
  <c r="H60" i="2"/>
  <c r="J55" i="2"/>
  <c r="J56" i="2"/>
  <c r="H57" i="2"/>
  <c r="J57" i="2" s="1"/>
  <c r="I20" i="2"/>
  <c r="J50" i="2"/>
  <c r="H20" i="2"/>
  <c r="F29" i="5"/>
  <c r="G28" i="6"/>
  <c r="H28" i="6" s="1"/>
  <c r="G22" i="1"/>
  <c r="B25" i="5"/>
  <c r="B27" i="5" s="1"/>
  <c r="E55" i="2"/>
  <c r="F54" i="2"/>
  <c r="E54" i="2"/>
  <c r="F53" i="2"/>
  <c r="E53" i="2"/>
  <c r="F52" i="2"/>
  <c r="E52" i="2"/>
  <c r="F51" i="2"/>
  <c r="E51" i="2"/>
  <c r="F50" i="2"/>
  <c r="F63" i="2" s="1"/>
  <c r="E50" i="2"/>
  <c r="F16" i="2"/>
  <c r="F15" i="2"/>
  <c r="E15" i="2"/>
  <c r="F14" i="2"/>
  <c r="E14" i="2"/>
  <c r="E12" i="2"/>
  <c r="E16" i="2" s="1"/>
  <c r="C4" i="9" s="1"/>
  <c r="F9" i="10" l="1"/>
  <c r="F13" i="10" s="1"/>
  <c r="F15" i="10" s="1"/>
  <c r="F20" i="2"/>
  <c r="F21" i="2" s="1"/>
  <c r="F62" i="2"/>
  <c r="F58" i="2"/>
  <c r="F60" i="2"/>
  <c r="E59" i="2"/>
  <c r="C3" i="9" s="1"/>
  <c r="D3" i="9"/>
  <c r="I21" i="2"/>
  <c r="E20" i="2"/>
  <c r="E21" i="2" s="1"/>
  <c r="E60" i="2"/>
  <c r="C5" i="9" s="1"/>
  <c r="E58" i="2"/>
  <c r="C2" i="9" s="1"/>
  <c r="F59" i="2"/>
  <c r="D5" i="9"/>
  <c r="D2" i="9"/>
  <c r="D30" i="8"/>
  <c r="J20" i="2"/>
  <c r="H21" i="2"/>
  <c r="C25" i="5"/>
  <c r="C27" i="5" s="1"/>
  <c r="D25" i="5"/>
  <c r="D27" i="5" s="1"/>
  <c r="D31" i="8" l="1"/>
  <c r="H61" i="2"/>
  <c r="D6" i="9" s="1"/>
  <c r="I61" i="2"/>
  <c r="J21" i="2"/>
  <c r="B15" i="5"/>
  <c r="C15" i="5"/>
  <c r="D15" i="5"/>
  <c r="D7" i="1" l="1"/>
  <c r="B28" i="5"/>
  <c r="B7" i="1"/>
  <c r="C7" i="1"/>
  <c r="E7" i="1"/>
  <c r="C10" i="6"/>
  <c r="C21" i="6"/>
  <c r="F56" i="2"/>
  <c r="F57" i="2" s="1"/>
  <c r="F61" i="2" s="1"/>
  <c r="E56" i="2"/>
  <c r="E57" i="2" s="1"/>
  <c r="E61" i="2" s="1"/>
  <c r="C6" i="9" s="1"/>
  <c r="C28" i="6" l="1"/>
  <c r="B14" i="1" l="1"/>
  <c r="B20" i="1"/>
  <c r="B22" i="1" l="1"/>
  <c r="D21" i="6" l="1"/>
  <c r="E21" i="6"/>
  <c r="E10" i="6"/>
  <c r="D10" i="6"/>
  <c r="D20" i="1" l="1"/>
  <c r="C20" i="1"/>
  <c r="E20" i="1"/>
  <c r="C14" i="1"/>
  <c r="D14" i="1"/>
  <c r="E14" i="1"/>
  <c r="D28" i="5" l="1"/>
  <c r="C28" i="5"/>
  <c r="D28" i="6"/>
  <c r="E28" i="6"/>
  <c r="D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I2" i="8" l="1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J19" i="8" s="1"/>
  <c r="F18" i="8"/>
  <c r="F17" i="8"/>
  <c r="J17" i="8" s="1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9" i="8" l="1"/>
  <c r="J5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G8" i="7" s="1"/>
  <c r="J21" i="8"/>
  <c r="J16" i="7"/>
  <c r="J20" i="7"/>
  <c r="I28" i="8"/>
  <c r="I30" i="8" s="1"/>
  <c r="I31" i="8" s="1"/>
  <c r="G2" i="7" l="1"/>
  <c r="G9" i="7"/>
  <c r="G3" i="7"/>
  <c r="G6" i="7"/>
  <c r="G10" i="7"/>
  <c r="G5" i="7"/>
  <c r="G13" i="7"/>
  <c r="G16" i="7"/>
  <c r="G4" i="7"/>
  <c r="G12" i="7"/>
  <c r="G7" i="7"/>
  <c r="G14" i="7"/>
  <c r="J21" i="7"/>
  <c r="G21" i="7"/>
  <c r="G15" i="7"/>
  <c r="G18" i="7"/>
  <c r="G17" i="7"/>
  <c r="G11" i="7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P55" i="2" l="1"/>
  <c r="F29" i="8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F30" i="8" l="1"/>
  <c r="O57" i="2"/>
  <c r="R57" i="2" s="1"/>
  <c r="J29" i="8"/>
  <c r="P21" i="2"/>
  <c r="P20" i="2"/>
  <c r="N57" i="2"/>
  <c r="Q57" i="2" s="1"/>
  <c r="P56" i="2"/>
  <c r="G12" i="2"/>
  <c r="D55" i="2"/>
  <c r="D54" i="2"/>
  <c r="J30" i="8" l="1"/>
  <c r="F31" i="8"/>
  <c r="G13" i="8" s="1"/>
  <c r="G21" i="8"/>
  <c r="P57" i="2"/>
  <c r="N61" i="2"/>
  <c r="F6" i="9" s="1"/>
  <c r="O61" i="2"/>
  <c r="H6" i="9" s="1"/>
  <c r="G17" i="8"/>
  <c r="G31" i="8"/>
  <c r="G16" i="8"/>
  <c r="G12" i="8"/>
  <c r="G8" i="8"/>
  <c r="G24" i="8"/>
  <c r="G26" i="8"/>
  <c r="G11" i="8"/>
  <c r="G3" i="8"/>
  <c r="G6" i="8"/>
  <c r="G5" i="8"/>
  <c r="G25" i="8"/>
  <c r="G7" i="8"/>
  <c r="G2" i="8"/>
  <c r="G15" i="8"/>
  <c r="G4" i="8"/>
  <c r="G19" i="8"/>
  <c r="G20" i="8"/>
  <c r="G10" i="8"/>
  <c r="J31" i="8"/>
  <c r="G28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14" i="8" l="1"/>
  <c r="G18" i="8"/>
  <c r="G23" i="8"/>
  <c r="G27" i="8"/>
  <c r="G22" i="8"/>
  <c r="G9" i="8"/>
  <c r="G20" i="2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<sst xmlns="http://schemas.openxmlformats.org/spreadsheetml/2006/main" count="475" uniqueCount="372">
  <si>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</si>
  <si>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</si>
  <si>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</si>
  <si>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</si>
  <si>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</si>
  <si>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</si>
  <si>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</si>
  <si>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</si>
  <si>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</si>
  <si>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</si>
  <si>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</si>
  <si>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</si>
  <si>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</si>
  <si>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</si>
  <si>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</si>
  <si>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</si>
  <si>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</si>
  <si>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</si>
  <si>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</si>
  <si>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</si>
  <si>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</si>
  <si>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</si>
  <si>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</si>
  <si>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</si>
  <si>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</si>
  <si>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</si>
  <si>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</si>
  <si>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</si>
  <si>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</si>
  <si>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</si>
  <si>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</si>
  <si>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</si>
  <si>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</si>
  <si>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</si>
  <si>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</si>
  <si>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</si>
  <si>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</si>
  <si>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</si>
  <si>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</si>
  <si>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</si>
  <si>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</si>
  <si>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</si>
  <si>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</si>
  <si>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</si>
  <si>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</si>
  <si>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</si>
  <si>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</si>
  <si>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</si>
  <si>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</si>
  <si>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</si>
  <si>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</si>
  <si>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</si>
  <si>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</si>
  <si>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</si>
  <si>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</si>
  <si>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</si>
  <si>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</si>
  <si>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</si>
  <si>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</si>
  <si>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</si>
  <si>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</si>
  <si>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</si>
  <si>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</si>
  <si>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</si>
  <si>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</si>
  <si>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</si>
  <si>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</si>
  <si>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</si>
  <si>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</si>
  <si>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</si>
  <si>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</si>
  <si>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</si>
  <si>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</si>
  <si>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</si>
  <si>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</si>
  <si>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</si>
  <si>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</si>
  <si>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</si>
  <si>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</si>
  <si>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</si>
  <si>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</si>
  <si>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</si>
  <si>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</si>
  <si>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</si>
  <si>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</si>
  <si>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</si>
  <si>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</si>
  <si>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</si>
  <si>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</si>
  <si>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</si>
  <si>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</si>
  <si>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</si>
  <si>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</si>
  <si>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</si>
  <si>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</si>
  <si>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</si>
  <si>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</si>
  <si>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</si>
  <si>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</si>
  <si>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</si>
  <si>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</si>
  <si>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</si>
  <si>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</si>
  <si>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</si>
  <si>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</si>
  <si>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</si>
  <si>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</si>
  <si>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</si>
  <si>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</si>
  <si>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</si>
  <si>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</si>
  <si>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</si>
  <si>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</si>
  <si>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</si>
  <si>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</si>
  <si>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</si>
  <si>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</si>
  <si>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</si>
  <si>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</si>
  <si>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</si>
  <si>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</si>
  <si>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</si>
  <si>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</si>
  <si>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</si>
  <si>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</si>
  <si>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</si>
  <si>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</si>
  <si>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</si>
  <si>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</si>
  <si>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</si>
  <si>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</si>
  <si>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</si>
  <si>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</si>
  <si>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</si>
  <si>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</si>
  <si>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</si>
  <si>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</si>
  <si>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</si>
  <si>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</si>
  <si>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</si>
  <si>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</si>
  <si>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</si>
  <si>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</si>
  <si>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</si>
  <si>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</si>
  <si>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</si>
  <si>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</si>
  <si>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</si>
  <si>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</si>
  <si>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</si>
  <si>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</si>
  <si>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</si>
  <si>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</si>
  <si>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</si>
  <si>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</si>
  <si>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</si>
  <si>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</si>
  <si>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</si>
  <si>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</si>
  <si>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</si>
  <si>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</si>
  <si>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</si>
  <si>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</si>
  <si>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</si>
  <si>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</si>
  <si>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</si>
  <si>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</si>
  <si>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</si>
  <si>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</si>
  <si>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</si>
  <si>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</si>
  <si>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</si>
  <si>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</si>
  <si>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</si>
  <si>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</si>
  <si>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</si>
  <si>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</si>
  <si>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</si>
  <si>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</si>
  <si>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</si>
  <si>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</si>
  <si>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</si>
  <si>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</si>
  <si>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</si>
  <si>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</si>
  <si>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</si>
  <si>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</si>
  <si>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</si>
  <si>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</si>
  <si>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</si>
  <si>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</si>
  <si>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</si>
  <si>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</si>
  <si>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</si>
  <si>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</si>
  <si>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</si>
  <si>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</si>
  <si>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</si>
  <si>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</si>
  <si>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</si>
  <si>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</si>
  <si>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</si>
  <si>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</si>
  <si>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</si>
  <si>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</si>
  <si>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</si>
  <si>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</si>
  <si>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</si>
  <si>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</si>
  <si>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</si>
  <si>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</si>
  <si>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</si>
  <si>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</si>
  <si>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</si>
  <si>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</si>
  <si>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</si>
  <si>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</si>
  <si>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</si>
  <si>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</si>
  <si>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</si>
  <si>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</si>
  <si>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</si>
  <si>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</si>
  <si>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</si>
  <si>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</si>
  <si>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</si>
  <si>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</si>
  <si>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</si>
  <si>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</si>
  <si>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</si>
  <si>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</si>
  <si>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</si>
  <si>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</si>
  <si>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</si>
  <si>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</si>
  <si>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</si>
  <si>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</si>
  <si>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</si>
  <si>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</si>
  <si>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</si>
  <si>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</si>
  <si>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</si>
  <si>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</si>
  <si>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</si>
  <si>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</si>
  <si>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</si>
  <si>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</si>
  <si>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</si>
  <si>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</si>
  <si>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</si>
  <si>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</si>
  <si>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</si>
  <si>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</si>
  <si>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</si>
  <si>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</si>
  <si>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</si>
  <si>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</si>
  <si>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</si>
  <si>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</si>
  <si>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</si>
  <si>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</si>
  <si>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</si>
  <si>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</si>
  <si>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</si>
  <si>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</si>
  <si>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</si>
  <si>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</si>
  <si>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</si>
  <si>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</si>
  <si>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</si>
  <si>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</si>
  <si>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</si>
  <si>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</si>
  <si>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</si>
  <si>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</si>
  <si>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</si>
  <si>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</si>
  <si>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</si>
  <si>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</si>
  <si>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</si>
  <si>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</si>
  <si>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</si>
  <si>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</si>
  <si>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</si>
  <si>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</si>
  <si>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</si>
  <si>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</si>
  <si>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</si>
  <si>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</si>
  <si>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</si>
  <si>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</si>
  <si>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</si>
  <si>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</si>
  <si>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</si>
  <si>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</si>
  <si>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</si>
  <si>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</si>
  <si>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</si>
  <si>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</si>
  <si>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</si>
  <si>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</si>
  <si>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</si>
  <si>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</si>
  <si>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</si>
  <si>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</si>
  <si>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</si>
  <si>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</si>
  <si>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</si>
  <si>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</si>
  <si>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</si>
  <si>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</si>
  <si>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</si>
  <si>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</si>
  <si>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</si>
  <si>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</si>
  <si>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</si>
  <si>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</si>
  <si>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</si>
  <si>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</si>
  <si>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</si>
  <si>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</si>
  <si>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</si>
  <si>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</si>
  <si>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</si>
  <si>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</si>
  <si>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</si>
  <si>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</si>
  <si>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</si>
  <si>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</si>
  <si>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</si>
  <si>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</si>
  <si>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</si>
  <si>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</si>
  <si>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</si>
  <si>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</si>
  <si>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</si>
  <si>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</si>
  <si>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</si>
  <si>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</si>
  <si>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</si>
  <si>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</si>
  <si>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</si>
  <si>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</si>
  <si>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</si>
  <si>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</si>
  <si>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</si>
  <si>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</si>
  <si>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</si>
  <si>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</si>
  <si>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</si>
  <si>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</si>
  <si>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</si>
  <si>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</si>
  <si>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</si>
  <si>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</si>
  <si>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</si>
  <si>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</si>
  <si>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</si>
  <si>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</si>
  <si>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</si>
  <si>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</si>
  <si>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Anno</t>
  </si>
  <si>
    <t>Regione</t>
  </si>
  <si>
    <t>Popolazione al 1° gennaio</t>
  </si>
  <si>
    <t xml:space="preserve">     di cui da trasferimenti e contributi da amm.ni pubbliche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</si>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</sst>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0" fillId="0" borderId="0" xfId="0" applyNumberFormat="1" applyFill="1"/>
    <xf numFmtId="164" fontId="0" fillId="0" borderId="0" xfId="1" applyNumberFormat="1" applyFont="1" applyFill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76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5641324832075"/>
          <c:y val="5.4234059497589075E-2"/>
          <c:w val="0.85922324732403399"/>
          <c:h val="0.699937827610976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5542053092.3800001</c:v>
                </c:pt>
                <c:pt idx="1">
                  <c:v>6276412491.5</c:v>
                </c:pt>
                <c:pt idx="2">
                  <c:v>5620047433.6599998</c:v>
                </c:pt>
                <c:pt idx="3">
                  <c:v>5019248626.8400002</c:v>
                </c:pt>
                <c:pt idx="4">
                  <c:v>4101169131.8400002</c:v>
                </c:pt>
                <c:pt idx="5">
                  <c:v>3937260976.9400001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5934255128.2600002</c:v>
                </c:pt>
                <c:pt idx="1">
                  <c:v>6403265590.1400003</c:v>
                </c:pt>
                <c:pt idx="2">
                  <c:v>6319275474.8599997</c:v>
                </c:pt>
                <c:pt idx="3">
                  <c:v>5542244046.1800003</c:v>
                </c:pt>
                <c:pt idx="4">
                  <c:v>4804417112.0600004</c:v>
                </c:pt>
                <c:pt idx="5">
                  <c:v>4574263827.1099997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294896"/>
        <c:axId val="-1458293808"/>
      </c:lineChart>
      <c:catAx>
        <c:axId val="-145829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58293808"/>
        <c:crosses val="autoZero"/>
        <c:auto val="1"/>
        <c:lblAlgn val="ctr"/>
        <c:lblOffset val="100"/>
        <c:noMultiLvlLbl val="0"/>
      </c:catAx>
      <c:valAx>
        <c:axId val="-1458293808"/>
        <c:scaling>
          <c:orientation val="minMax"/>
          <c:max val="6500000000"/>
          <c:min val="3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458294896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138.65</c:v>
                </c:pt>
                <c:pt idx="1">
                  <c:v>100.87410247119701</c:v>
                </c:pt>
                <c:pt idx="2">
                  <c:v>109.638629988269</c:v>
                </c:pt>
                <c:pt idx="3">
                  <c:v>147.94</c:v>
                </c:pt>
                <c:pt idx="4">
                  <c:v>193.08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6496"/>
        <c:axId val="-1450401392"/>
      </c:barChart>
      <c:catAx>
        <c:axId val="-145039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401392"/>
        <c:crosses val="autoZero"/>
        <c:auto val="1"/>
        <c:lblAlgn val="ctr"/>
        <c:lblOffset val="100"/>
        <c:noMultiLvlLbl val="0"/>
      </c:catAx>
      <c:valAx>
        <c:axId val="-1450401392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3964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-6.95</c:v>
                </c:pt>
                <c:pt idx="1">
                  <c:v>-26.56</c:v>
                </c:pt>
                <c:pt idx="2">
                  <c:v>-27.81</c:v>
                </c:pt>
                <c:pt idx="3">
                  <c:v>-21.78</c:v>
                </c:pt>
                <c:pt idx="4">
                  <c:v>-25.48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5952"/>
        <c:axId val="-1450402480"/>
      </c:barChart>
      <c:catAx>
        <c:axId val="-145039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402480"/>
        <c:crosses val="autoZero"/>
        <c:auto val="1"/>
        <c:lblAlgn val="ctr"/>
        <c:lblOffset val="100"/>
        <c:noMultiLvlLbl val="0"/>
      </c:catAx>
      <c:valAx>
        <c:axId val="-145040248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395952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1244.93</c:v>
                </c:pt>
                <c:pt idx="1">
                  <c:v>1260.1154296331499</c:v>
                </c:pt>
                <c:pt idx="2">
                  <c:v>1225.70857184755</c:v>
                </c:pt>
                <c:pt idx="3">
                  <c:v>1080.8900000000001</c:v>
                </c:pt>
                <c:pt idx="4">
                  <c:v>1052.18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88880"/>
        <c:axId val="-1450393232"/>
      </c:barChart>
      <c:catAx>
        <c:axId val="-145038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3232"/>
        <c:crosses val="autoZero"/>
        <c:auto val="1"/>
        <c:lblAlgn val="ctr"/>
        <c:lblOffset val="100"/>
        <c:noMultiLvlLbl val="0"/>
      </c:catAx>
      <c:valAx>
        <c:axId val="-1450393232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450388880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8420785960194339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3692865</c:v>
                </c:pt>
                <c:pt idx="1">
                  <c:v>3692555</c:v>
                </c:pt>
                <c:pt idx="2">
                  <c:v>3701343</c:v>
                </c:pt>
                <c:pt idx="3">
                  <c:v>3712048</c:v>
                </c:pt>
                <c:pt idx="4">
                  <c:v>3721391</c:v>
                </c:pt>
                <c:pt idx="5">
                  <c:v>3726422</c:v>
                </c:pt>
                <c:pt idx="6">
                  <c:v>3739044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88336"/>
        <c:axId val="-1450400304"/>
      </c:barChart>
      <c:catAx>
        <c:axId val="-145038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450400304"/>
        <c:crosses val="autoZero"/>
        <c:auto val="1"/>
        <c:lblAlgn val="ctr"/>
        <c:lblOffset val="100"/>
        <c:noMultiLvlLbl val="0"/>
      </c:catAx>
      <c:valAx>
        <c:axId val="-1450400304"/>
        <c:scaling>
          <c:orientation val="minMax"/>
          <c:max val="38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45038833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173739277.22999999</c:v>
                </c:pt>
                <c:pt idx="1">
                  <c:v>297131521.05000001</c:v>
                </c:pt>
                <c:pt idx="2">
                  <c:v>327316785.49000001</c:v>
                </c:pt>
                <c:pt idx="3">
                  <c:v>391000615.48000002</c:v>
                </c:pt>
                <c:pt idx="4">
                  <c:v>488690314.72000003</c:v>
                </c:pt>
                <c:pt idx="5">
                  <c:v>478994905.88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Risultato_amministrazione!$B$9:$G$9</c:f>
              <c:numCache>
                <c:formatCode>#,##0</c:formatCode>
                <c:ptCount val="6"/>
                <c:pt idx="0">
                  <c:v>142373368.91</c:v>
                </c:pt>
                <c:pt idx="1">
                  <c:v>132036504.87</c:v>
                </c:pt>
                <c:pt idx="2">
                  <c:v>125031569.73999999</c:v>
                </c:pt>
                <c:pt idx="3">
                  <c:v>38660700.979999997</c:v>
                </c:pt>
                <c:pt idx="4">
                  <c:v>80738697.870000005</c:v>
                </c:pt>
                <c:pt idx="5">
                  <c:v>72177589.049999997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659434005.88999999</c:v>
                </c:pt>
                <c:pt idx="1">
                  <c:v>643642797.20000005</c:v>
                </c:pt>
                <c:pt idx="2">
                  <c:v>627502372.45000005</c:v>
                </c:pt>
                <c:pt idx="3">
                  <c:v>611003682.78999996</c:v>
                </c:pt>
                <c:pt idx="4">
                  <c:v>594137421.25999999</c:v>
                </c:pt>
                <c:pt idx="5">
                  <c:v>576894015.08000004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82734500</c:v>
                </c:pt>
                <c:pt idx="1">
                  <c:v>51730805.880000003</c:v>
                </c:pt>
                <c:pt idx="2">
                  <c:v>41936225.640000001</c:v>
                </c:pt>
                <c:pt idx="3">
                  <c:v>30533442.310000002</c:v>
                </c:pt>
                <c:pt idx="4">
                  <c:v>26952097.719999999</c:v>
                </c:pt>
                <c:pt idx="5">
                  <c:v>32680654.259999998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8293264"/>
        <c:axId val="-1458301968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758483033932063E-2"/>
                  <c:y val="2.7210884353741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277777777777777E-2"/>
                  <c:y val="-2.8395646000946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166666666666768E-2"/>
                  <c:y val="-4.7326076668244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3.134926250866874</c:v>
                </c:pt>
                <c:pt idx="1">
                  <c:v>4.7340980449006231</c:v>
                </c:pt>
                <c:pt idx="2">
                  <c:v>5.8240929343337982</c:v>
                </c:pt>
                <c:pt idx="3">
                  <c:v>7.7900228609748057</c:v>
                </c:pt>
                <c:pt idx="4">
                  <c:v>11.915878107195931</c:v>
                </c:pt>
                <c:pt idx="5">
                  <c:v>12.165688499832948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295984"/>
        <c:axId val="-1458300336"/>
      </c:lineChart>
      <c:catAx>
        <c:axId val="-145829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58301968"/>
        <c:crosses val="autoZero"/>
        <c:auto val="1"/>
        <c:lblAlgn val="ctr"/>
        <c:lblOffset val="100"/>
        <c:noMultiLvlLbl val="0"/>
      </c:catAx>
      <c:valAx>
        <c:axId val="-14583019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58293264"/>
        <c:crosses val="autoZero"/>
        <c:crossBetween val="between"/>
      </c:valAx>
      <c:valAx>
        <c:axId val="-14583003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58295984"/>
        <c:crosses val="max"/>
        <c:crossBetween val="between"/>
        <c:majorUnit val="2"/>
      </c:valAx>
      <c:catAx>
        <c:axId val="-145829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4583003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12E-2"/>
          <c:y val="1.9227205294990467E-2"/>
          <c:w val="0.85073510454847734"/>
          <c:h val="0.980772794705009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547981864417323E-4"/>
                  <c:y val="-7.377406169850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786817518767312E-3"/>
                  <c:y val="1.17438911111137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477096520.80000144</c:v>
                </c:pt>
                <c:pt idx="1">
                  <c:v>267757254.91000244</c:v>
                </c:pt>
                <c:pt idx="2">
                  <c:v>570845922.03000164</c:v>
                </c:pt>
                <c:pt idx="3">
                  <c:v>314838145.04999781</c:v>
                </c:pt>
                <c:pt idx="4">
                  <c:v>321406782.18000191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8303600"/>
        <c:axId val="-1458306864"/>
      </c:barChart>
      <c:catAx>
        <c:axId val="-145830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458306864"/>
        <c:crosses val="autoZero"/>
        <c:auto val="1"/>
        <c:lblAlgn val="ctr"/>
        <c:lblOffset val="100"/>
        <c:noMultiLvlLbl val="0"/>
      </c:catAx>
      <c:valAx>
        <c:axId val="-14583068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4583036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Stato_patrimoniale!$B$20:$F$20</c:f>
              <c:numCache>
                <c:formatCode>#,##0</c:formatCode>
                <c:ptCount val="5"/>
                <c:pt idx="0">
                  <c:v>4661514025.7700005</c:v>
                </c:pt>
                <c:pt idx="1">
                  <c:v>4715902608.1300001</c:v>
                </c:pt>
                <c:pt idx="2">
                  <c:v>4580433710.3199997</c:v>
                </c:pt>
                <c:pt idx="3">
                  <c:v>4031324993.7199998</c:v>
                </c:pt>
                <c:pt idx="4">
                  <c:v>3859733994.5999999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Stato_patrimoniale!$B$21:$F$21</c:f>
              <c:numCache>
                <c:formatCode>#,##0</c:formatCode>
                <c:ptCount val="5"/>
                <c:pt idx="0">
                  <c:v>1093007.0900000001</c:v>
                </c:pt>
                <c:pt idx="1">
                  <c:v>312785.48</c:v>
                </c:pt>
                <c:pt idx="2">
                  <c:v>592849.69999999995</c:v>
                </c:pt>
                <c:pt idx="3">
                  <c:v>540604.09</c:v>
                </c:pt>
                <c:pt idx="4">
                  <c:v>512217.3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Stato_patrimoniale!$B$22:$F$22</c:f>
              <c:numCache>
                <c:formatCode>#,##0</c:formatCode>
                <c:ptCount val="5"/>
                <c:pt idx="0">
                  <c:v>2140149535.3499999</c:v>
                </c:pt>
                <c:pt idx="1">
                  <c:v>1762965755.96</c:v>
                </c:pt>
                <c:pt idx="2">
                  <c:v>1125004187.72</c:v>
                </c:pt>
                <c:pt idx="3">
                  <c:v>1563632250.5699999</c:v>
                </c:pt>
                <c:pt idx="4">
                  <c:v>1968333724.52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Stato_patrimoniale!$B$25:$F$25</c:f>
              <c:numCache>
                <c:formatCode>#,##0</c:formatCode>
                <c:ptCount val="5"/>
                <c:pt idx="0">
                  <c:v>2727311515.0500002</c:v>
                </c:pt>
                <c:pt idx="1">
                  <c:v>2141668675.0799999</c:v>
                </c:pt>
                <c:pt idx="2">
                  <c:v>1849033983.77</c:v>
                </c:pt>
                <c:pt idx="3">
                  <c:v>1173666575.4100001</c:v>
                </c:pt>
                <c:pt idx="4">
                  <c:v>743253546.54999995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8306320"/>
        <c:axId val="-1458298160"/>
      </c:barChart>
      <c:catAx>
        <c:axId val="-145830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58298160"/>
        <c:crosses val="autoZero"/>
        <c:auto val="1"/>
        <c:lblAlgn val="ctr"/>
        <c:lblOffset val="100"/>
        <c:noMultiLvlLbl val="0"/>
      </c:catAx>
      <c:valAx>
        <c:axId val="-1458298160"/>
        <c:scaling>
          <c:orientation val="minMax"/>
          <c:max val="10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45830632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99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Stato_patrimoniale!$B$16:$F$16</c:f>
              <c:numCache>
                <c:formatCode>#,##0</c:formatCode>
                <c:ptCount val="5"/>
                <c:pt idx="0">
                  <c:v>-3109565049.2199998</c:v>
                </c:pt>
                <c:pt idx="1">
                  <c:v>-3349560887.0100002</c:v>
                </c:pt>
                <c:pt idx="2">
                  <c:v>-3216962229.46</c:v>
                </c:pt>
                <c:pt idx="3">
                  <c:v>-2753995156.9200001</c:v>
                </c:pt>
                <c:pt idx="4">
                  <c:v>-2753995156.9200001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Stato_patrimoniale!$B$17:$F$17</c:f>
              <c:numCache>
                <c:formatCode>#,##0</c:formatCode>
                <c:ptCount val="5"/>
                <c:pt idx="0">
                  <c:v>0</c:v>
                </c:pt>
                <c:pt idx="1">
                  <c:v>801114147.77999997</c:v>
                </c:pt>
                <c:pt idx="2">
                  <c:v>933814493.55999994</c:v>
                </c:pt>
                <c:pt idx="3">
                  <c:v>1033790984.99</c:v>
                </c:pt>
                <c:pt idx="4">
                  <c:v>1409777435.6700001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Stato_patrimoniale!$B$18:$F$18</c:f>
              <c:numCache>
                <c:formatCode>#,##0</c:formatCode>
                <c:ptCount val="5"/>
                <c:pt idx="0">
                  <c:v>477096520.80000001</c:v>
                </c:pt>
                <c:pt idx="1">
                  <c:v>267757254.91</c:v>
                </c:pt>
                <c:pt idx="2">
                  <c:v>570845922.02999997</c:v>
                </c:pt>
                <c:pt idx="3">
                  <c:v>314838145.05000001</c:v>
                </c:pt>
                <c:pt idx="4">
                  <c:v>321406782.18000001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8297616"/>
        <c:axId val="-1458297072"/>
      </c:barChart>
      <c:catAx>
        <c:axId val="-145829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458297072"/>
        <c:crosses val="autoZero"/>
        <c:auto val="1"/>
        <c:lblAlgn val="ctr"/>
        <c:lblOffset val="100"/>
        <c:noMultiLvlLbl val="0"/>
      </c:catAx>
      <c:valAx>
        <c:axId val="-14582970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crossAx val="-145829761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E-2"/>
          <c:w val="0.912266379073744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62.71</c:v>
                </c:pt>
                <c:pt idx="1">
                  <c:v>68.59</c:v>
                </c:pt>
                <c:pt idx="2">
                  <c:v>69.489999999999995</c:v>
                </c:pt>
                <c:pt idx="3">
                  <c:v>75.430000000000007</c:v>
                </c:pt>
                <c:pt idx="4">
                  <c:v>77.599999999999994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63.429711804000263</c:v>
                </c:pt>
                <c:pt idx="1">
                  <c:v>67.986308233024189</c:v>
                </c:pt>
                <c:pt idx="2">
                  <c:v>69.343028104050788</c:v>
                </c:pt>
                <c:pt idx="3">
                  <c:v>75.104444611763157</c:v>
                </c:pt>
                <c:pt idx="4">
                  <c:v>76.250811062392984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57.854133703212248</c:v>
                </c:pt>
                <c:pt idx="1">
                  <c:v>63.792748473435545</c:v>
                </c:pt>
                <c:pt idx="2">
                  <c:v>66.881627960599459</c:v>
                </c:pt>
                <c:pt idx="3">
                  <c:v>73.034174418013208</c:v>
                </c:pt>
                <c:pt idx="4">
                  <c:v>73.267846220003818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295440"/>
        <c:axId val="-1458305232"/>
      </c:lineChart>
      <c:catAx>
        <c:axId val="-145829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58305232"/>
        <c:crosses val="autoZero"/>
        <c:auto val="1"/>
        <c:lblAlgn val="ctr"/>
        <c:lblOffset val="100"/>
        <c:noMultiLvlLbl val="0"/>
      </c:catAx>
      <c:valAx>
        <c:axId val="-1458305232"/>
        <c:scaling>
          <c:orientation val="minMax"/>
          <c:max val="80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45829544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21"/>
          <c:w val="0.96177967444791601"/>
          <c:h val="0.179568046015526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11992426872871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1.4077550012348725</c:v>
                </c:pt>
                <c:pt idx="1">
                  <c:v>1.2288685287776422</c:v>
                </c:pt>
                <c:pt idx="2">
                  <c:v>1.1299435028248588</c:v>
                </c:pt>
                <c:pt idx="3">
                  <c:v>1.181235234559568</c:v>
                </c:pt>
                <c:pt idx="4">
                  <c:v>1.0596962204168139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0.24697456162015313</c:v>
                </c:pt>
                <c:pt idx="1">
                  <c:v>1.7548549077105215</c:v>
                </c:pt>
                <c:pt idx="2">
                  <c:v>1.6723163841807911</c:v>
                </c:pt>
                <c:pt idx="3">
                  <c:v>1.93497581280234</c:v>
                </c:pt>
                <c:pt idx="4">
                  <c:v>1.7661603673613562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7.273400839713509</c:v>
                </c:pt>
                <c:pt idx="1">
                  <c:v>6.9495902942894014</c:v>
                </c:pt>
                <c:pt idx="2">
                  <c:v>7.7175141242937855</c:v>
                </c:pt>
                <c:pt idx="3">
                  <c:v>7.73990325120936</c:v>
                </c:pt>
                <c:pt idx="4">
                  <c:v>7.8182032261862693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0.20992837737713019</c:v>
                </c:pt>
                <c:pt idx="1">
                  <c:v>0.98195239850445848</c:v>
                </c:pt>
                <c:pt idx="2">
                  <c:v>0.89265536723163852</c:v>
                </c:pt>
                <c:pt idx="3">
                  <c:v>1.06873664079199</c:v>
                </c:pt>
                <c:pt idx="4">
                  <c:v>1.295184269398328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76.20400098789824</c:v>
                </c:pt>
                <c:pt idx="1">
                  <c:v>78.456905203085057</c:v>
                </c:pt>
                <c:pt idx="2">
                  <c:v>76.937853107344637</c:v>
                </c:pt>
                <c:pt idx="3">
                  <c:v>74.834064574192809</c:v>
                </c:pt>
                <c:pt idx="4">
                  <c:v>76.356999882255963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65138672"/>
        <c:axId val="-1665131056"/>
      </c:barChart>
      <c:catAx>
        <c:axId val="-166513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665131056"/>
        <c:crosses val="autoZero"/>
        <c:auto val="1"/>
        <c:lblAlgn val="ctr"/>
        <c:lblOffset val="100"/>
        <c:noMultiLvlLbl val="0"/>
      </c:catAx>
      <c:valAx>
        <c:axId val="-1665131056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66513867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788290275053724"/>
          <c:w val="0.94315230419986051"/>
          <c:h val="0.152117097249462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07E-2"/>
          <c:w val="0.9122665336936"/>
          <c:h val="0.71915787122354569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56.78</c:v>
                </c:pt>
                <c:pt idx="1">
                  <c:v>75.649037285618704</c:v>
                </c:pt>
                <c:pt idx="2">
                  <c:v>64.3</c:v>
                </c:pt>
                <c:pt idx="3">
                  <c:v>88.01</c:v>
                </c:pt>
                <c:pt idx="4">
                  <c:v>84.95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39.64</c:v>
                </c:pt>
                <c:pt idx="1">
                  <c:v>53.630544511880302</c:v>
                </c:pt>
                <c:pt idx="2">
                  <c:v>53.78</c:v>
                </c:pt>
                <c:pt idx="3">
                  <c:v>60.88</c:v>
                </c:pt>
                <c:pt idx="4">
                  <c:v>56.19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69.11</c:v>
                </c:pt>
                <c:pt idx="1">
                  <c:v>73.589039554236194</c:v>
                </c:pt>
                <c:pt idx="2">
                  <c:v>73.34</c:v>
                </c:pt>
                <c:pt idx="3">
                  <c:v>74.53</c:v>
                </c:pt>
                <c:pt idx="4">
                  <c:v>73.69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60.86</c:v>
                </c:pt>
                <c:pt idx="1">
                  <c:v>59.358688618315497</c:v>
                </c:pt>
                <c:pt idx="2">
                  <c:v>76.319999999999993</c:v>
                </c:pt>
                <c:pt idx="3">
                  <c:v>62.02</c:v>
                </c:pt>
                <c:pt idx="4">
                  <c:v>83.17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71.91</c:v>
                </c:pt>
                <c:pt idx="1">
                  <c:v>72.746866195617997</c:v>
                </c:pt>
                <c:pt idx="2">
                  <c:v>79.33</c:v>
                </c:pt>
                <c:pt idx="3">
                  <c:v>80.23</c:v>
                </c:pt>
                <c:pt idx="4">
                  <c:v>81.78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5142480"/>
        <c:axId val="-1665139760"/>
      </c:lineChart>
      <c:catAx>
        <c:axId val="-16651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665139760"/>
        <c:crosses val="autoZero"/>
        <c:auto val="1"/>
        <c:lblAlgn val="ctr"/>
        <c:lblOffset val="100"/>
        <c:noMultiLvlLbl val="0"/>
      </c:catAx>
      <c:valAx>
        <c:axId val="-1665139760"/>
        <c:scaling>
          <c:orientation val="minMax"/>
          <c:max val="90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66514248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7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273441335297005E-3"/>
          <c:y val="5.1708217913204117E-2"/>
          <c:w val="0.97447226313205659"/>
          <c:h val="0.75077889502039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47.06</c:v>
                </c:pt>
                <c:pt idx="1">
                  <c:v>47.549692403639703</c:v>
                </c:pt>
                <c:pt idx="2">
                  <c:v>54.524482152375903</c:v>
                </c:pt>
                <c:pt idx="3">
                  <c:v>52.92</c:v>
                </c:pt>
                <c:pt idx="4">
                  <c:v>54.25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0392688"/>
        <c:axId val="-1450397040"/>
      </c:barChart>
      <c:catAx>
        <c:axId val="-145039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50397040"/>
        <c:crosses val="autoZero"/>
        <c:auto val="1"/>
        <c:lblAlgn val="ctr"/>
        <c:lblOffset val="100"/>
        <c:noMultiLvlLbl val="0"/>
      </c:catAx>
      <c:valAx>
        <c:axId val="-145039704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45039268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10</xdr:col>
      <xdr:colOff>247650</xdr:colOff>
      <xdr:row>49</xdr:row>
      <xdr:rowOff>152399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1971675</xdr:colOff>
      <xdr:row>52</xdr:row>
      <xdr:rowOff>180974</xdr:rowOff>
    </xdr:from>
    <xdr:to>
      <xdr:col>10</xdr:col>
      <xdr:colOff>600075</xdr:colOff>
      <xdr:row>74</xdr:row>
      <xdr:rowOff>190499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11</xdr:col>
      <xdr:colOff>95249</xdr:colOff>
      <xdr:row>47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6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6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pane xSplit="1" ySplit="2" topLeftCell="H38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3">
        <v>2016</v>
      </c>
      <c r="C1" s="113"/>
      <c r="D1" s="114"/>
      <c r="E1" s="115">
        <v>2017</v>
      </c>
      <c r="F1" s="113"/>
      <c r="G1" s="114"/>
      <c r="H1" s="115">
        <v>2018</v>
      </c>
      <c r="I1" s="113"/>
      <c r="J1" s="114"/>
      <c r="K1" s="115">
        <v>2019</v>
      </c>
      <c r="L1" s="113"/>
      <c r="M1" s="114"/>
      <c r="N1" s="115">
        <v>2020</v>
      </c>
      <c r="O1" s="113"/>
      <c r="P1" s="114"/>
      <c r="Q1" s="112" t="s">
        <v>232</v>
      </c>
      <c r="R1" s="112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8">
        <v>8515038778.1400003</v>
      </c>
      <c r="C3" s="101">
        <v>6804860647.8500004</v>
      </c>
      <c r="D3" s="20">
        <f>IF(B3&gt;0,C3/B3*100,"-")</f>
        <v>79.915791638196552</v>
      </c>
      <c r="E3" s="28">
        <v>8506645715.2299995</v>
      </c>
      <c r="F3" s="101">
        <v>7022794562.29</v>
      </c>
      <c r="G3" s="20">
        <f>IF(E3&gt;0,F3/E3*100,"-")</f>
        <v>82.556565741495916</v>
      </c>
      <c r="H3" s="28">
        <v>8676851759.2800007</v>
      </c>
      <c r="I3" s="101">
        <v>7128229675.1400003</v>
      </c>
      <c r="J3" s="20">
        <f>IF(H3&gt;0,I3/H3*100,"-")</f>
        <v>82.152258363942536</v>
      </c>
      <c r="K3" s="28">
        <v>8812011137.6200008</v>
      </c>
      <c r="L3" s="101">
        <v>7825071434.1599998</v>
      </c>
      <c r="M3" s="20">
        <f>IF(K3&gt;0,L3/K3*100,"-")</f>
        <v>88.800062913600001</v>
      </c>
      <c r="N3" s="28">
        <v>8723354746.7099991</v>
      </c>
      <c r="O3" s="101">
        <v>7869024999.8400002</v>
      </c>
      <c r="P3" s="20">
        <f>IF(N3&gt;0,O3/N3*100,"-")</f>
        <v>90.206408295017368</v>
      </c>
      <c r="Q3" s="13">
        <f t="shared" ref="Q3:R18" si="0">IF(K3&gt;0,N3/K3*100-100,"-")</f>
        <v>-1.0060857791192745</v>
      </c>
      <c r="R3" s="13">
        <f t="shared" si="0"/>
        <v>0.56170178189202602</v>
      </c>
    </row>
    <row r="4" spans="1:18" x14ac:dyDescent="0.3">
      <c r="A4" t="s">
        <v>20</v>
      </c>
      <c r="B4" s="28">
        <v>473358472.91000003</v>
      </c>
      <c r="C4" s="28">
        <v>257814438</v>
      </c>
      <c r="D4" s="20">
        <f t="shared" ref="D4:D21" si="1">IF(B4&gt;0,C4/B4*100,"-")</f>
        <v>54.464946283747715</v>
      </c>
      <c r="E4" s="28">
        <v>449453456.25</v>
      </c>
      <c r="F4" s="28">
        <v>202190450.30000001</v>
      </c>
      <c r="G4" s="20">
        <f t="shared" ref="G4:G21" si="2">IF(E4&gt;0,F4/E4*100,"-")</f>
        <v>44.985848365027451</v>
      </c>
      <c r="H4" s="28">
        <v>600254332.69000006</v>
      </c>
      <c r="I4" s="28">
        <v>455354029.00999999</v>
      </c>
      <c r="J4" s="20">
        <f t="shared" ref="J4:J13" si="3">IF(H4&gt;0,I4/H4*100,"-")</f>
        <v>75.86018196142976</v>
      </c>
      <c r="K4" s="28">
        <v>729608189.87</v>
      </c>
      <c r="L4" s="28">
        <v>550696234.95000005</v>
      </c>
      <c r="M4" s="20">
        <f t="shared" ref="M4:M21" si="4">IF(K4&gt;0,L4/K4*100,"-")</f>
        <v>75.478351613366883</v>
      </c>
      <c r="N4" s="28">
        <v>1126252260.03</v>
      </c>
      <c r="O4" s="28">
        <v>868427324.88</v>
      </c>
      <c r="P4" s="20">
        <f t="shared" ref="P4:P21" si="5">IF(N4&gt;0,O4/N4*100,"-")</f>
        <v>77.107709853285243</v>
      </c>
      <c r="Q4" s="13">
        <f t="shared" si="0"/>
        <v>54.363982705659197</v>
      </c>
      <c r="R4" s="13">
        <f t="shared" si="0"/>
        <v>57.6962524464777</v>
      </c>
    </row>
    <row r="5" spans="1:18" x14ac:dyDescent="0.3">
      <c r="A5" t="s">
        <v>21</v>
      </c>
      <c r="B5" s="28">
        <v>74826978.629999995</v>
      </c>
      <c r="C5" s="28">
        <v>36081310.719999999</v>
      </c>
      <c r="D5" s="20">
        <f t="shared" si="1"/>
        <v>48.219654702901643</v>
      </c>
      <c r="E5" s="28">
        <v>99054540.769999996</v>
      </c>
      <c r="F5" s="28">
        <v>74984035.079999998</v>
      </c>
      <c r="G5" s="20">
        <f t="shared" si="2"/>
        <v>75.699745309111492</v>
      </c>
      <c r="H5" s="28">
        <v>79511923.469999999</v>
      </c>
      <c r="I5" s="28">
        <v>53965888.859999999</v>
      </c>
      <c r="J5" s="20">
        <f t="shared" si="3"/>
        <v>67.87144179748266</v>
      </c>
      <c r="K5" s="28">
        <v>132481643.65000001</v>
      </c>
      <c r="L5" s="28">
        <v>101545596.40000001</v>
      </c>
      <c r="M5" s="20">
        <f t="shared" si="4"/>
        <v>76.648804771980949</v>
      </c>
      <c r="N5" s="28">
        <v>106949358.95999999</v>
      </c>
      <c r="O5" s="28">
        <v>80593398.099999994</v>
      </c>
      <c r="P5" s="20">
        <f t="shared" si="5"/>
        <v>75.356597630606316</v>
      </c>
      <c r="Q5" s="13">
        <f t="shared" si="0"/>
        <v>-19.272318780595086</v>
      </c>
      <c r="R5" s="13">
        <f t="shared" si="0"/>
        <v>-20.633290898668662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201534947.94999999</v>
      </c>
      <c r="C7" s="28">
        <v>94060768.569999993</v>
      </c>
      <c r="D7" s="20">
        <f t="shared" si="1"/>
        <v>46.672187393194001</v>
      </c>
      <c r="E7" s="28">
        <v>200773920.33000001</v>
      </c>
      <c r="F7" s="28">
        <v>72369716.719999999</v>
      </c>
      <c r="G7" s="20">
        <f t="shared" si="2"/>
        <v>36.045377109263121</v>
      </c>
      <c r="H7" s="28">
        <v>208414565.02000001</v>
      </c>
      <c r="I7" s="28">
        <v>56117053.710000001</v>
      </c>
      <c r="J7" s="20">
        <f t="shared" si="3"/>
        <v>26.925687129695021</v>
      </c>
      <c r="K7" s="28">
        <v>277535058.87</v>
      </c>
      <c r="L7" s="28">
        <v>104587095.09</v>
      </c>
      <c r="M7" s="20">
        <f t="shared" si="4"/>
        <v>37.684282308632426</v>
      </c>
      <c r="N7" s="28">
        <v>414331640</v>
      </c>
      <c r="O7" s="28">
        <v>87189012.540000007</v>
      </c>
      <c r="P7" s="20">
        <f t="shared" si="5"/>
        <v>21.043290958904322</v>
      </c>
      <c r="Q7" s="13">
        <f t="shared" si="0"/>
        <v>49.289838079187263</v>
      </c>
      <c r="R7" s="13">
        <f t="shared" si="0"/>
        <v>-16.635018436097184</v>
      </c>
    </row>
    <row r="8" spans="1:18" x14ac:dyDescent="0.3">
      <c r="A8" t="s">
        <v>24</v>
      </c>
      <c r="B8" s="28">
        <v>2552733</v>
      </c>
      <c r="C8" s="28">
        <v>1386532</v>
      </c>
      <c r="D8" s="20">
        <f t="shared" si="1"/>
        <v>54.31559038881074</v>
      </c>
      <c r="E8" s="28">
        <v>139556.03</v>
      </c>
      <c r="F8" s="28">
        <v>1442.1</v>
      </c>
      <c r="G8" s="20">
        <f t="shared" si="2"/>
        <v>1.0333483977725648</v>
      </c>
      <c r="H8" s="28">
        <v>142740.62</v>
      </c>
      <c r="I8" s="28">
        <v>142740.62</v>
      </c>
      <c r="J8" s="20">
        <f t="shared" si="3"/>
        <v>100</v>
      </c>
      <c r="K8" s="28">
        <v>534078.13</v>
      </c>
      <c r="L8" s="28">
        <v>534078.13</v>
      </c>
      <c r="M8" s="20">
        <f t="shared" si="4"/>
        <v>100</v>
      </c>
      <c r="N8" s="28">
        <v>20335403.23</v>
      </c>
      <c r="O8" s="28">
        <v>19574403.23</v>
      </c>
      <c r="P8" s="20">
        <f t="shared" si="5"/>
        <v>96.257758002667344</v>
      </c>
      <c r="Q8" s="13">
        <f t="shared" si="0"/>
        <v>3707.5708567209072</v>
      </c>
      <c r="R8" s="13">
        <f t="shared" si="0"/>
        <v>3565.0823410424991</v>
      </c>
    </row>
    <row r="9" spans="1:18" x14ac:dyDescent="0.3">
      <c r="A9" t="s">
        <v>25</v>
      </c>
      <c r="B9" s="28">
        <v>1095976.92</v>
      </c>
      <c r="C9" s="28">
        <v>890670.74</v>
      </c>
      <c r="D9" s="20">
        <f t="shared" si="1"/>
        <v>81.267289825774796</v>
      </c>
      <c r="E9" s="28">
        <v>3969483.03</v>
      </c>
      <c r="F9" s="28">
        <v>3791009.44</v>
      </c>
      <c r="G9" s="20">
        <f t="shared" si="2"/>
        <v>95.503858093077682</v>
      </c>
      <c r="H9" s="28">
        <v>2642721.02</v>
      </c>
      <c r="I9" s="28">
        <v>2586018.2999999998</v>
      </c>
      <c r="J9" s="20">
        <f t="shared" si="3"/>
        <v>97.854381163547856</v>
      </c>
      <c r="K9" s="28">
        <v>15088135.050000001</v>
      </c>
      <c r="L9" s="28">
        <v>15045456.5</v>
      </c>
      <c r="M9" s="20">
        <f t="shared" si="4"/>
        <v>99.71713833513175</v>
      </c>
      <c r="N9" s="28">
        <v>1163898.95</v>
      </c>
      <c r="O9" s="28">
        <v>1016743.64</v>
      </c>
      <c r="P9" s="20">
        <f t="shared" si="5"/>
        <v>87.356693637364316</v>
      </c>
      <c r="Q9" s="13">
        <f t="shared" si="0"/>
        <v>-92.285998593311902</v>
      </c>
      <c r="R9" s="13">
        <f t="shared" si="0"/>
        <v>-93.242188164912108</v>
      </c>
    </row>
    <row r="10" spans="1:18" x14ac:dyDescent="0.3">
      <c r="A10" t="s">
        <v>26</v>
      </c>
      <c r="B10" s="28">
        <v>40415602.350000001</v>
      </c>
      <c r="C10" s="28">
        <v>34980403.520000003</v>
      </c>
      <c r="D10" s="20">
        <f t="shared" si="1"/>
        <v>86.551731227630711</v>
      </c>
      <c r="E10" s="28">
        <v>37812142.350000001</v>
      </c>
      <c r="F10" s="28">
        <v>26467759.640000001</v>
      </c>
      <c r="G10" s="20">
        <f t="shared" si="2"/>
        <v>69.998042943472626</v>
      </c>
      <c r="H10" s="28">
        <v>36689917.950000003</v>
      </c>
      <c r="I10" s="28">
        <v>30777520.809999999</v>
      </c>
      <c r="J10" s="20">
        <f t="shared" si="3"/>
        <v>83.885499149773906</v>
      </c>
      <c r="K10" s="28">
        <v>18139834.789999999</v>
      </c>
      <c r="L10" s="28">
        <v>10608454.16</v>
      </c>
      <c r="M10" s="20">
        <f t="shared" si="4"/>
        <v>58.481536810071468</v>
      </c>
      <c r="N10" s="28">
        <v>22620193.859999999</v>
      </c>
      <c r="O10" s="28">
        <v>14420913.539999999</v>
      </c>
      <c r="P10" s="20">
        <f t="shared" si="5"/>
        <v>63.752387045192194</v>
      </c>
      <c r="Q10" s="13">
        <f t="shared" si="0"/>
        <v>24.699007029931181</v>
      </c>
      <c r="R10" s="13">
        <f t="shared" si="0"/>
        <v>35.937935183574382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28">
        <v>179560.92</v>
      </c>
      <c r="F11" s="28">
        <v>37893.040000000001</v>
      </c>
      <c r="G11" s="20">
        <f t="shared" si="2"/>
        <v>21.103166546484612</v>
      </c>
      <c r="H11" s="28">
        <v>380713.64</v>
      </c>
      <c r="I11" s="28">
        <v>348962.22</v>
      </c>
      <c r="J11" s="20">
        <f t="shared" si="3"/>
        <v>91.660025629762032</v>
      </c>
      <c r="K11" s="28">
        <v>553687.56999999995</v>
      </c>
      <c r="L11" s="28">
        <v>375661.53</v>
      </c>
      <c r="M11" s="20">
        <f t="shared" si="4"/>
        <v>67.847203071580623</v>
      </c>
      <c r="N11" s="28">
        <v>338181.16</v>
      </c>
      <c r="O11" s="28">
        <v>311606.62</v>
      </c>
      <c r="P11" s="20">
        <f t="shared" si="5"/>
        <v>92.14192180309513</v>
      </c>
      <c r="Q11" s="13">
        <f t="shared" si="0"/>
        <v>-38.922024202204867</v>
      </c>
      <c r="R11" s="13">
        <f t="shared" si="0"/>
        <v>-17.051229600220182</v>
      </c>
    </row>
    <row r="12" spans="1:18" x14ac:dyDescent="0.3">
      <c r="A12" t="s">
        <v>28</v>
      </c>
      <c r="B12" s="28">
        <v>11921436.109999999</v>
      </c>
      <c r="C12" s="28">
        <v>4553437.05</v>
      </c>
      <c r="D12" s="20">
        <f t="shared" si="1"/>
        <v>38.195373510247336</v>
      </c>
      <c r="E12" s="28">
        <f>1300000+8467291.68</f>
        <v>9767291.6799999997</v>
      </c>
      <c r="F12" s="28">
        <v>7800716.5899999999</v>
      </c>
      <c r="G12" s="20">
        <f t="shared" si="2"/>
        <v>79.865707358500842</v>
      </c>
      <c r="H12" s="28">
        <v>7059171.1500000004</v>
      </c>
      <c r="I12" s="28">
        <v>6005648.79</v>
      </c>
      <c r="J12" s="20">
        <f t="shared" si="3"/>
        <v>85.075834859167571</v>
      </c>
      <c r="K12" s="28">
        <f>122287149.38+25711704.85</f>
        <v>147998854.22999999</v>
      </c>
      <c r="L12" s="28">
        <f>120264457.75+3826630.87</f>
        <v>124091088.62</v>
      </c>
      <c r="M12" s="20">
        <f t="shared" si="4"/>
        <v>83.845979258159844</v>
      </c>
      <c r="N12" s="28">
        <f>35000000+8089770.56</f>
        <v>43089770.560000002</v>
      </c>
      <c r="O12" s="28">
        <f>34694235.55+5135031.38</f>
        <v>39829266.93</v>
      </c>
      <c r="P12" s="20">
        <f t="shared" si="5"/>
        <v>92.433230468331359</v>
      </c>
      <c r="Q12" s="13">
        <f t="shared" si="0"/>
        <v>-70.885064763382786</v>
      </c>
      <c r="R12" s="13">
        <f t="shared" si="0"/>
        <v>-67.903201291135559</v>
      </c>
    </row>
    <row r="13" spans="1:18" x14ac:dyDescent="0.3">
      <c r="A13" t="s">
        <v>29</v>
      </c>
      <c r="B13" s="28">
        <v>0</v>
      </c>
      <c r="C13" s="28">
        <v>0</v>
      </c>
      <c r="D13" s="20" t="str">
        <f t="shared" si="1"/>
        <v>-</v>
      </c>
      <c r="E13" s="28">
        <v>0</v>
      </c>
      <c r="F13" s="28">
        <v>0</v>
      </c>
      <c r="G13" s="20" t="str">
        <f t="shared" si="2"/>
        <v>-</v>
      </c>
      <c r="H13" s="28">
        <v>0</v>
      </c>
      <c r="I13" s="28">
        <v>0</v>
      </c>
      <c r="J13" s="20" t="str">
        <f t="shared" si="3"/>
        <v>-</v>
      </c>
      <c r="K13" s="28">
        <v>0</v>
      </c>
      <c r="L13" s="28">
        <v>0</v>
      </c>
      <c r="M13" s="20" t="str">
        <f t="shared" si="4"/>
        <v>-</v>
      </c>
      <c r="N13" s="28">
        <v>0</v>
      </c>
      <c r="O13" s="28">
        <v>0</v>
      </c>
      <c r="P13" s="20" t="str">
        <f t="shared" si="5"/>
        <v>-</v>
      </c>
      <c r="Q13" s="13" t="str">
        <f t="shared" si="0"/>
        <v>-</v>
      </c>
      <c r="R13" s="13" t="str">
        <f t="shared" si="0"/>
        <v>-</v>
      </c>
    </row>
    <row r="14" spans="1:18" x14ac:dyDescent="0.3">
      <c r="A14" t="s">
        <v>30</v>
      </c>
      <c r="B14" s="28">
        <f t="shared" ref="B14:C14" si="6">SUM(B3:B5)</f>
        <v>9063224229.6800003</v>
      </c>
      <c r="C14" s="28">
        <f t="shared" si="6"/>
        <v>7098756396.5700006</v>
      </c>
      <c r="D14" s="20">
        <f>IF(B14&gt;0,C14/B14*100,"-")</f>
        <v>78.32484573561787</v>
      </c>
      <c r="E14" s="28">
        <f t="shared" ref="E14:F14" si="7">SUM(E3:E5)</f>
        <v>9055153712.25</v>
      </c>
      <c r="F14" s="28">
        <f t="shared" si="7"/>
        <v>7299969047.6700001</v>
      </c>
      <c r="G14" s="20">
        <f>IF(E14&gt;0,F14/E14*100,"-")</f>
        <v>80.616732522104513</v>
      </c>
      <c r="H14" s="28">
        <f t="shared" ref="H14:I14" si="8">SUM(H3:H5)</f>
        <v>9356618015.4400005</v>
      </c>
      <c r="I14" s="28">
        <f t="shared" si="8"/>
        <v>7637549593.0100002</v>
      </c>
      <c r="J14" s="20">
        <f>IF(H14&gt;0,I14/H14*100,"-")</f>
        <v>81.627245874596497</v>
      </c>
      <c r="K14" s="28">
        <f t="shared" ref="K14:L14" si="9">SUM(K3:K5)</f>
        <v>9674100971.1400013</v>
      </c>
      <c r="L14" s="28">
        <f t="shared" si="9"/>
        <v>8477313265.5099993</v>
      </c>
      <c r="M14" s="20">
        <f>IF(K14&gt;0,L14/K14*100,"-")</f>
        <v>87.628951680365063</v>
      </c>
      <c r="N14" s="28">
        <f t="shared" ref="N14:O14" si="10">SUM(N3:N5)</f>
        <v>9956556365.6999989</v>
      </c>
      <c r="O14" s="28">
        <f t="shared" si="10"/>
        <v>8818045722.8199997</v>
      </c>
      <c r="P14" s="20">
        <f>IF(N14&gt;0,O14/N14*100,"-")</f>
        <v>88.565216716874815</v>
      </c>
      <c r="Q14" s="13">
        <f t="shared" si="0"/>
        <v>2.9197069102609561</v>
      </c>
      <c r="R14" s="13">
        <f t="shared" si="0"/>
        <v>4.0193448872094137</v>
      </c>
    </row>
    <row r="15" spans="1:18" x14ac:dyDescent="0.3">
      <c r="A15" t="s">
        <v>31</v>
      </c>
      <c r="B15" s="27">
        <f t="shared" ref="B15:C15" si="11">SUM(B6:B10)</f>
        <v>245599260.21999997</v>
      </c>
      <c r="C15" s="27">
        <f t="shared" si="11"/>
        <v>131318374.82999998</v>
      </c>
      <c r="D15" s="20">
        <f>IF(B15&gt;0,C15/B15*100,"-")</f>
        <v>53.468554714851003</v>
      </c>
      <c r="E15" s="27">
        <f t="shared" ref="E15:F15" si="12">SUM(E6:E10)</f>
        <v>242695101.74000001</v>
      </c>
      <c r="F15" s="27">
        <f t="shared" si="12"/>
        <v>102629927.89999999</v>
      </c>
      <c r="G15" s="20">
        <f>IF(E15&gt;0,F15/E15*100,"-")</f>
        <v>42.287597551081909</v>
      </c>
      <c r="H15" s="27">
        <f t="shared" ref="H15:I15" si="13">SUM(H6:H10)</f>
        <v>247889944.61000001</v>
      </c>
      <c r="I15" s="27">
        <f t="shared" si="13"/>
        <v>89623333.439999998</v>
      </c>
      <c r="J15" s="20">
        <f>IF(H15&gt;0,I15/H15*100,"-")</f>
        <v>36.15448524182878</v>
      </c>
      <c r="K15" s="27">
        <f t="shared" ref="K15:L15" si="14">SUM(K6:K10)</f>
        <v>311297106.84000003</v>
      </c>
      <c r="L15" s="27">
        <f t="shared" si="14"/>
        <v>130775083.88</v>
      </c>
      <c r="M15" s="20">
        <f>IF(K15&gt;0,L15/K15*100,"-")</f>
        <v>42.009733147701738</v>
      </c>
      <c r="N15" s="27">
        <f t="shared" ref="N15:O15" si="15">SUM(N6:N10)</f>
        <v>458451136.04000002</v>
      </c>
      <c r="O15" s="27">
        <f t="shared" si="15"/>
        <v>122201072.95000002</v>
      </c>
      <c r="P15" s="20">
        <f>IF(N15&gt;0,O15/N15*100,"-")</f>
        <v>26.655201251227332</v>
      </c>
      <c r="Q15" s="13">
        <f t="shared" si="0"/>
        <v>47.271248581065009</v>
      </c>
      <c r="R15" s="13">
        <f t="shared" si="0"/>
        <v>-6.5563031394172526</v>
      </c>
    </row>
    <row r="16" spans="1:18" x14ac:dyDescent="0.3">
      <c r="A16" t="s">
        <v>32</v>
      </c>
      <c r="B16" s="28">
        <f t="shared" ref="B16:C16" si="16">SUM(B11:B13)</f>
        <v>11921436.109999999</v>
      </c>
      <c r="C16" s="28">
        <f t="shared" si="16"/>
        <v>4553437.05</v>
      </c>
      <c r="D16" s="20">
        <f t="shared" si="1"/>
        <v>38.195373510247336</v>
      </c>
      <c r="E16" s="28">
        <f t="shared" ref="E16:F16" si="17">SUM(E11:E13)</f>
        <v>9946852.5999999996</v>
      </c>
      <c r="F16" s="28">
        <f t="shared" si="17"/>
        <v>7838609.6299999999</v>
      </c>
      <c r="G16" s="20">
        <f t="shared" si="2"/>
        <v>78.804923981682407</v>
      </c>
      <c r="H16" s="28">
        <f t="shared" ref="H16:I16" si="18">SUM(H11:H13)</f>
        <v>7439884.79</v>
      </c>
      <c r="I16" s="28">
        <f t="shared" si="18"/>
        <v>6354611.0099999998</v>
      </c>
      <c r="J16" s="20">
        <f t="shared" ref="J16:J21" si="19">IF(H16&gt;0,I16/H16*100,"-")</f>
        <v>85.41276094142313</v>
      </c>
      <c r="K16" s="28">
        <f t="shared" ref="K16:L16" si="20">SUM(K11:K13)</f>
        <v>148552541.79999998</v>
      </c>
      <c r="L16" s="28">
        <f t="shared" si="20"/>
        <v>124466750.15000001</v>
      </c>
      <c r="M16" s="20">
        <f t="shared" ref="M16:M33" si="21">IF(K16&gt;0,L16/K16*100,"-")</f>
        <v>83.786348346413831</v>
      </c>
      <c r="N16" s="28">
        <f t="shared" ref="N16:O16" si="22">SUM(N11:N13)</f>
        <v>43427951.719999999</v>
      </c>
      <c r="O16" s="28">
        <f t="shared" si="22"/>
        <v>40140873.549999997</v>
      </c>
      <c r="P16" s="20">
        <f t="shared" si="5"/>
        <v>92.430961996104926</v>
      </c>
      <c r="Q16" s="13">
        <f t="shared" si="0"/>
        <v>-70.7659315729056</v>
      </c>
      <c r="R16" s="13">
        <f t="shared" si="0"/>
        <v>-67.749721510664841</v>
      </c>
    </row>
    <row r="17" spans="1:18" x14ac:dyDescent="0.3">
      <c r="A17" t="s">
        <v>33</v>
      </c>
      <c r="B17" s="28">
        <v>69549285.319999993</v>
      </c>
      <c r="C17" s="28">
        <v>14236383.99</v>
      </c>
      <c r="D17" s="20">
        <f t="shared" si="1"/>
        <v>20.469489980375261</v>
      </c>
      <c r="E17" s="28">
        <v>58312818.210000001</v>
      </c>
      <c r="F17" s="28">
        <v>58312818.210000001</v>
      </c>
      <c r="G17" s="20">
        <f t="shared" si="2"/>
        <v>100</v>
      </c>
      <c r="H17" s="28">
        <v>53432000</v>
      </c>
      <c r="I17" s="28">
        <v>53432000</v>
      </c>
      <c r="J17" s="20">
        <f t="shared" si="19"/>
        <v>100</v>
      </c>
      <c r="K17" s="28">
        <v>157627575.68000001</v>
      </c>
      <c r="L17" s="28">
        <v>157627575.68000001</v>
      </c>
      <c r="M17" s="20">
        <f t="shared" si="21"/>
        <v>100</v>
      </c>
      <c r="N17" s="28">
        <v>128465532.45</v>
      </c>
      <c r="O17" s="28">
        <v>128465532.45</v>
      </c>
      <c r="P17" s="20">
        <f t="shared" si="5"/>
        <v>100</v>
      </c>
      <c r="Q17" s="13">
        <f t="shared" si="0"/>
        <v>-18.500597439373109</v>
      </c>
      <c r="R17" s="13">
        <f t="shared" si="0"/>
        <v>-18.500597439373109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2266765074.1999998</v>
      </c>
      <c r="C19" s="28">
        <v>2259037097.9299998</v>
      </c>
      <c r="D19" s="20">
        <f t="shared" si="1"/>
        <v>99.659074671744392</v>
      </c>
      <c r="E19" s="28">
        <v>2089836120.0799999</v>
      </c>
      <c r="F19" s="28">
        <v>2066672639.3699999</v>
      </c>
      <c r="G19" s="20">
        <f t="shared" si="2"/>
        <v>98.891612577300407</v>
      </c>
      <c r="H19" s="28">
        <v>1256632306.78</v>
      </c>
      <c r="I19" s="28">
        <v>1237746223.24</v>
      </c>
      <c r="J19" s="20">
        <f t="shared" si="19"/>
        <v>98.497087538009126</v>
      </c>
      <c r="K19" s="28">
        <v>1297550202.6400001</v>
      </c>
      <c r="L19" s="28">
        <v>1288043794.8399999</v>
      </c>
      <c r="M19" s="20">
        <f t="shared" si="21"/>
        <v>99.267357225897044</v>
      </c>
      <c r="N19" s="28">
        <v>1908291358.79</v>
      </c>
      <c r="O19" s="28">
        <v>1895897766.3</v>
      </c>
      <c r="P19" s="20">
        <f t="shared" si="5"/>
        <v>99.350539820195038</v>
      </c>
      <c r="Q19" s="13">
        <f t="shared" ref="Q19:R60" si="23">IF(K19&gt;0,N19/K19*100-100,"-")</f>
        <v>47.068788159978993</v>
      </c>
      <c r="R19" s="13">
        <f t="shared" si="23"/>
        <v>47.192026691569708</v>
      </c>
    </row>
    <row r="20" spans="1:18" x14ac:dyDescent="0.3">
      <c r="A20" t="s">
        <v>36</v>
      </c>
      <c r="B20" s="28">
        <f t="shared" ref="B20:C20" si="24">B14+B15+B16+B17+B18+B19</f>
        <v>11657059285.529999</v>
      </c>
      <c r="C20" s="28">
        <f t="shared" si="24"/>
        <v>9507901690.3700008</v>
      </c>
      <c r="D20" s="20">
        <f t="shared" si="1"/>
        <v>81.563466887161113</v>
      </c>
      <c r="E20" s="28">
        <f t="shared" ref="E20:F20" si="25">E14+E15+E16+E17+E18+E19</f>
        <v>11455944604.879999</v>
      </c>
      <c r="F20" s="28">
        <f t="shared" si="25"/>
        <v>9535423042.7799988</v>
      </c>
      <c r="G20" s="20">
        <f t="shared" si="2"/>
        <v>83.235589658124766</v>
      </c>
      <c r="H20" s="28">
        <f t="shared" ref="H20:I20" si="26">H14+H15+H16+H17+H18+H19</f>
        <v>10922012151.620003</v>
      </c>
      <c r="I20" s="28">
        <f t="shared" si="26"/>
        <v>9024705760.7000008</v>
      </c>
      <c r="J20" s="20">
        <f t="shared" si="19"/>
        <v>82.628600256239551</v>
      </c>
      <c r="K20" s="28">
        <f t="shared" ref="K20:L20" si="27">K14+K15+K16+K17+K18+K19</f>
        <v>11589128398.1</v>
      </c>
      <c r="L20" s="28">
        <f t="shared" si="27"/>
        <v>10178226470.059999</v>
      </c>
      <c r="M20" s="20">
        <f t="shared" si="21"/>
        <v>87.82564245063233</v>
      </c>
      <c r="N20" s="28">
        <f t="shared" ref="N20:O20" si="28">N14+N15+N16+N17+N18+N19</f>
        <v>12495192344.700001</v>
      </c>
      <c r="O20" s="28">
        <f t="shared" si="28"/>
        <v>11004750968.07</v>
      </c>
      <c r="P20" s="20">
        <f t="shared" si="5"/>
        <v>88.071881284306983</v>
      </c>
      <c r="Q20" s="13">
        <f t="shared" si="23"/>
        <v>7.8182233855355889</v>
      </c>
      <c r="R20" s="13">
        <f t="shared" si="23"/>
        <v>8.1205158918529037</v>
      </c>
    </row>
    <row r="21" spans="1:18" x14ac:dyDescent="0.3">
      <c r="A21" t="s">
        <v>37</v>
      </c>
      <c r="B21" s="28">
        <f t="shared" ref="B21:C21" si="29">B20-B19</f>
        <v>9390294211.329998</v>
      </c>
      <c r="C21" s="28">
        <f t="shared" si="29"/>
        <v>7248864592.4400005</v>
      </c>
      <c r="D21" s="20">
        <f t="shared" si="1"/>
        <v>77.195287275384587</v>
      </c>
      <c r="E21" s="28">
        <f t="shared" ref="E21:F21" si="30">E20-E19</f>
        <v>9366108484.7999992</v>
      </c>
      <c r="F21" s="28">
        <f t="shared" si="30"/>
        <v>7468750403.4099989</v>
      </c>
      <c r="G21" s="20">
        <f t="shared" si="2"/>
        <v>79.742300823557926</v>
      </c>
      <c r="H21" s="28">
        <f t="shared" ref="H21:I21" si="31">H20-H19</f>
        <v>9665379844.8400021</v>
      </c>
      <c r="I21" s="28">
        <f t="shared" si="31"/>
        <v>7786959537.460001</v>
      </c>
      <c r="J21" s="20">
        <f t="shared" si="19"/>
        <v>80.565478671975612</v>
      </c>
      <c r="K21" s="28">
        <f t="shared" ref="K21:L21" si="32">K20-K19</f>
        <v>10291578195.460001</v>
      </c>
      <c r="L21" s="28">
        <f t="shared" si="32"/>
        <v>8890182675.2199993</v>
      </c>
      <c r="M21" s="20">
        <f t="shared" si="21"/>
        <v>86.383084366417094</v>
      </c>
      <c r="N21" s="28">
        <f t="shared" ref="N21:O21" si="33">N20-N19</f>
        <v>10586900985.91</v>
      </c>
      <c r="O21" s="28">
        <f t="shared" si="33"/>
        <v>9108853201.7700005</v>
      </c>
      <c r="P21" s="20">
        <f t="shared" si="5"/>
        <v>86.038900466651029</v>
      </c>
      <c r="Q21" s="13">
        <f t="shared" si="23"/>
        <v>2.8695578544044622</v>
      </c>
      <c r="R21" s="13">
        <f t="shared" si="23"/>
        <v>2.4596854141086624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27">
        <v>160078096.62</v>
      </c>
      <c r="C23" s="102">
        <v>155441386.18000001</v>
      </c>
      <c r="D23" s="20">
        <f>IF(B23&gt;0,C23/B23*100,"-")</f>
        <v>97.103469782623151</v>
      </c>
      <c r="E23" s="27">
        <v>156769680.75</v>
      </c>
      <c r="F23" s="102">
        <v>151621672.41</v>
      </c>
      <c r="G23" s="20">
        <f>IF(E23&gt;0,F23/E23*100,"-")</f>
        <v>96.716196451143176</v>
      </c>
      <c r="H23" s="27">
        <v>161020479.78</v>
      </c>
      <c r="I23" s="102">
        <v>155849999.91999999</v>
      </c>
      <c r="J23" s="20">
        <f>IF(H23&gt;0,I23/H23*100,"-")</f>
        <v>96.788930285722429</v>
      </c>
      <c r="K23" s="27">
        <v>162950193.31999999</v>
      </c>
      <c r="L23" s="102">
        <v>158231004.40000001</v>
      </c>
      <c r="M23" s="20">
        <f>IF(K23&gt;0,L23/K23*100,"-")</f>
        <v>97.103907136377259</v>
      </c>
      <c r="N23" s="27">
        <v>168372257.27000001</v>
      </c>
      <c r="O23" s="102">
        <v>156977006.56999999</v>
      </c>
      <c r="P23" s="20">
        <f>IF(N23&gt;0,O23/N23*100,"-")</f>
        <v>93.232109086874857</v>
      </c>
      <c r="Q23" s="13">
        <f t="shared" si="23"/>
        <v>3.327436340840805</v>
      </c>
      <c r="R23" s="13">
        <f t="shared" si="23"/>
        <v>-0.79251081970633663</v>
      </c>
    </row>
    <row r="24" spans="1:18" x14ac:dyDescent="0.3">
      <c r="A24" s="5" t="s">
        <v>39</v>
      </c>
      <c r="B24" s="27">
        <v>17734813.539999999</v>
      </c>
      <c r="C24" s="27">
        <v>15180284.119999999</v>
      </c>
      <c r="D24" s="20">
        <f t="shared" ref="D24:D57" si="34">IF(B24&gt;0,C24/B24*100,"-")</f>
        <v>85.595961219223511</v>
      </c>
      <c r="E24" s="27">
        <v>14630683.869999999</v>
      </c>
      <c r="F24" s="27">
        <v>12284678.99</v>
      </c>
      <c r="G24" s="20">
        <f t="shared" ref="G24:G57" si="35">IF(E24&gt;0,F24/E24*100,"-")</f>
        <v>83.96517277766867</v>
      </c>
      <c r="H24" s="27">
        <v>14367213.24</v>
      </c>
      <c r="I24" s="27">
        <v>12181060.18</v>
      </c>
      <c r="J24" s="20">
        <f t="shared" ref="J24:J26" si="36">IF(H24&gt;0,I24/H24*100,"-")</f>
        <v>84.78373625085834</v>
      </c>
      <c r="K24" s="27">
        <v>15310249.65</v>
      </c>
      <c r="L24" s="27">
        <v>11634693.02</v>
      </c>
      <c r="M24" s="20">
        <f t="shared" ref="M24:M57" si="37">IF(K24&gt;0,L24/K24*100,"-")</f>
        <v>75.992836733397084</v>
      </c>
      <c r="N24" s="27">
        <v>14307770.4</v>
      </c>
      <c r="O24" s="27">
        <v>12061320.210000001</v>
      </c>
      <c r="P24" s="20">
        <f t="shared" ref="P24:P57" si="38">IF(N24&gt;0,O24/N24*100,"-")</f>
        <v>84.299089744968242</v>
      </c>
      <c r="Q24" s="13">
        <f t="shared" si="23"/>
        <v>-6.5477655356194617</v>
      </c>
      <c r="R24" s="13">
        <f t="shared" si="23"/>
        <v>3.6668538591145534</v>
      </c>
    </row>
    <row r="25" spans="1:18" x14ac:dyDescent="0.3">
      <c r="A25" s="5" t="s">
        <v>40</v>
      </c>
      <c r="B25" s="27">
        <v>397680693.81999999</v>
      </c>
      <c r="C25" s="27">
        <v>297139608.75999999</v>
      </c>
      <c r="D25" s="20">
        <f t="shared" si="34"/>
        <v>74.718137786817636</v>
      </c>
      <c r="E25" s="27">
        <v>416610708.77999997</v>
      </c>
      <c r="F25" s="27">
        <v>306594519.83999997</v>
      </c>
      <c r="G25" s="20">
        <f t="shared" si="35"/>
        <v>73.592568164613269</v>
      </c>
      <c r="H25" s="27">
        <v>687558145.60000002</v>
      </c>
      <c r="I25" s="27">
        <v>533250561.25</v>
      </c>
      <c r="J25" s="20">
        <f t="shared" si="36"/>
        <v>77.557158570880873</v>
      </c>
      <c r="K25" s="27">
        <v>723934209.29999995</v>
      </c>
      <c r="L25" s="27">
        <v>549295985.23000002</v>
      </c>
      <c r="M25" s="20">
        <f t="shared" si="37"/>
        <v>75.876506203669464</v>
      </c>
      <c r="N25" s="27">
        <v>738874807.88999999</v>
      </c>
      <c r="O25" s="27">
        <v>563207329.95000005</v>
      </c>
      <c r="P25" s="20">
        <f t="shared" si="38"/>
        <v>76.22500103344268</v>
      </c>
      <c r="Q25" s="13">
        <f t="shared" si="23"/>
        <v>2.0638061301795148</v>
      </c>
      <c r="R25" s="13">
        <f t="shared" si="23"/>
        <v>2.5325771704257249</v>
      </c>
    </row>
    <row r="26" spans="1:18" x14ac:dyDescent="0.3">
      <c r="A26" s="5" t="s">
        <v>41</v>
      </c>
      <c r="B26" s="27">
        <v>8050119449.96</v>
      </c>
      <c r="C26" s="27">
        <v>6825111433.9300003</v>
      </c>
      <c r="D26" s="20">
        <f t="shared" si="34"/>
        <v>84.782734919093812</v>
      </c>
      <c r="E26" s="27">
        <v>7974065390.1999998</v>
      </c>
      <c r="F26" s="27">
        <v>7019382410.0799999</v>
      </c>
      <c r="G26" s="20">
        <f t="shared" si="35"/>
        <v>88.027650471824685</v>
      </c>
      <c r="H26" s="27">
        <v>7868708986.2399998</v>
      </c>
      <c r="I26" s="27">
        <v>6911998464.6400003</v>
      </c>
      <c r="J26" s="20">
        <f t="shared" si="36"/>
        <v>87.841582103582709</v>
      </c>
      <c r="K26" s="27">
        <v>8106335628.6599998</v>
      </c>
      <c r="L26" s="27">
        <v>7157855394.2399998</v>
      </c>
      <c r="M26" s="20">
        <f t="shared" si="37"/>
        <v>88.299519315896049</v>
      </c>
      <c r="N26" s="27">
        <v>8478887459.75</v>
      </c>
      <c r="O26" s="27">
        <v>7527346395.3999996</v>
      </c>
      <c r="P26" s="20">
        <f t="shared" si="38"/>
        <v>88.777524541196627</v>
      </c>
      <c r="Q26" s="13">
        <f t="shared" si="23"/>
        <v>4.5958105876203916</v>
      </c>
      <c r="R26" s="13">
        <f t="shared" si="23"/>
        <v>5.162035006425711</v>
      </c>
    </row>
    <row r="27" spans="1:18" x14ac:dyDescent="0.3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64166250.43</v>
      </c>
      <c r="C29" s="27">
        <v>58982218.399999999</v>
      </c>
      <c r="D29" s="20">
        <f t="shared" si="34"/>
        <v>91.920936636845653</v>
      </c>
      <c r="E29" s="27">
        <v>60373098.899999999</v>
      </c>
      <c r="F29" s="27">
        <v>54529601.68</v>
      </c>
      <c r="G29" s="20">
        <f t="shared" si="35"/>
        <v>90.321024882822442</v>
      </c>
      <c r="H29" s="27">
        <v>55816552.829999998</v>
      </c>
      <c r="I29" s="27">
        <v>52434770.009999998</v>
      </c>
      <c r="J29" s="20">
        <f t="shared" ref="J29:J57" si="39">IF(H29&gt;0,I29/H29*100,"-")</f>
        <v>93.941254612588011</v>
      </c>
      <c r="K29" s="27">
        <v>51878141.979999997</v>
      </c>
      <c r="L29" s="27">
        <v>50090281.689999998</v>
      </c>
      <c r="M29" s="20">
        <f t="shared" ref="M29:M62" si="40">IF(K29&gt;0,L29/K29*100,"-")</f>
        <v>96.55373106714336</v>
      </c>
      <c r="N29" s="27">
        <v>48839972.979999997</v>
      </c>
      <c r="O29" s="27">
        <v>48331247.210000001</v>
      </c>
      <c r="P29" s="20">
        <f t="shared" si="38"/>
        <v>98.958382368048575</v>
      </c>
      <c r="Q29" s="13">
        <f t="shared" si="23"/>
        <v>-5.8563566158002942</v>
      </c>
      <c r="R29" s="13">
        <f t="shared" si="23"/>
        <v>-3.5117280651092244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27">
        <v>0</v>
      </c>
      <c r="F30" s="27">
        <v>0</v>
      </c>
      <c r="G30" s="20" t="str">
        <f t="shared" si="35"/>
        <v>-</v>
      </c>
      <c r="H30" s="27">
        <v>0</v>
      </c>
      <c r="I30" s="27">
        <v>0</v>
      </c>
      <c r="J30" s="20" t="str">
        <f t="shared" si="39"/>
        <v>-</v>
      </c>
      <c r="K30" s="27">
        <v>0</v>
      </c>
      <c r="L30" s="27">
        <v>0</v>
      </c>
      <c r="M30" s="20" t="str">
        <f t="shared" si="40"/>
        <v>-</v>
      </c>
      <c r="N30" s="27">
        <v>0</v>
      </c>
      <c r="O30" s="27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55208024.670000002</v>
      </c>
      <c r="C31" s="27">
        <v>19915289.5</v>
      </c>
      <c r="D31" s="20">
        <f t="shared" si="34"/>
        <v>36.073178888470451</v>
      </c>
      <c r="E31" s="27">
        <v>21213180.109999999</v>
      </c>
      <c r="F31" s="27">
        <v>1808176.1</v>
      </c>
      <c r="G31" s="20">
        <f t="shared" si="35"/>
        <v>8.5238332518923787</v>
      </c>
      <c r="H31" s="27">
        <v>21233695.84</v>
      </c>
      <c r="I31" s="27">
        <v>2814182.2</v>
      </c>
      <c r="J31" s="20">
        <f t="shared" si="39"/>
        <v>13.253379068841367</v>
      </c>
      <c r="K31" s="27">
        <v>25990023.960000001</v>
      </c>
      <c r="L31" s="27">
        <v>7350654.1399999997</v>
      </c>
      <c r="M31" s="20">
        <f t="shared" si="40"/>
        <v>28.282598551325073</v>
      </c>
      <c r="N31" s="27">
        <v>19770122.760000002</v>
      </c>
      <c r="O31" s="27">
        <v>1809862.42</v>
      </c>
      <c r="P31" s="20">
        <f t="shared" si="38"/>
        <v>9.1545330394296442</v>
      </c>
      <c r="Q31" s="13">
        <f t="shared" si="23"/>
        <v>-23.931879437944161</v>
      </c>
      <c r="R31" s="13">
        <f t="shared" si="23"/>
        <v>-75.37821280216022</v>
      </c>
    </row>
    <row r="32" spans="1:18" x14ac:dyDescent="0.3">
      <c r="A32" s="5" t="s">
        <v>45</v>
      </c>
      <c r="B32" s="27">
        <v>22142276.530000001</v>
      </c>
      <c r="C32" s="27">
        <v>3835699.82</v>
      </c>
      <c r="D32" s="20">
        <f t="shared" si="34"/>
        <v>17.322969545625124</v>
      </c>
      <c r="E32" s="27">
        <v>2698488.01</v>
      </c>
      <c r="F32" s="27">
        <v>2412808.25</v>
      </c>
      <c r="G32" s="20">
        <f t="shared" si="35"/>
        <v>89.413339657566254</v>
      </c>
      <c r="H32" s="27">
        <v>2511854.11</v>
      </c>
      <c r="I32" s="27">
        <v>1718674.9</v>
      </c>
      <c r="J32" s="20">
        <f t="shared" si="39"/>
        <v>68.422560576179322</v>
      </c>
      <c r="K32" s="27">
        <v>1790882.32</v>
      </c>
      <c r="L32" s="27">
        <v>1664081.26</v>
      </c>
      <c r="M32" s="20">
        <f t="shared" si="40"/>
        <v>92.919631927574102</v>
      </c>
      <c r="N32" s="27">
        <v>2292785.92</v>
      </c>
      <c r="O32" s="27">
        <v>1682074.07</v>
      </c>
      <c r="P32" s="20">
        <f t="shared" si="38"/>
        <v>73.363764812372892</v>
      </c>
      <c r="Q32" s="13">
        <f t="shared" si="23"/>
        <v>28.025493043004644</v>
      </c>
      <c r="R32" s="13">
        <f t="shared" si="23"/>
        <v>1.0812458761779453</v>
      </c>
    </row>
    <row r="33" spans="1:18" x14ac:dyDescent="0.3">
      <c r="A33" s="5" t="s">
        <v>46</v>
      </c>
      <c r="B33" s="27">
        <v>0</v>
      </c>
      <c r="C33" s="28">
        <v>0</v>
      </c>
      <c r="D33" s="20" t="str">
        <f t="shared" si="34"/>
        <v>-</v>
      </c>
      <c r="E33" s="27">
        <v>0</v>
      </c>
      <c r="F33" s="28">
        <v>0</v>
      </c>
      <c r="G33" s="20" t="str">
        <f t="shared" si="35"/>
        <v>-</v>
      </c>
      <c r="H33" s="27">
        <v>0</v>
      </c>
      <c r="I33" s="28">
        <v>0</v>
      </c>
      <c r="J33" s="20" t="str">
        <f t="shared" si="39"/>
        <v>-</v>
      </c>
      <c r="K33" s="27">
        <v>0</v>
      </c>
      <c r="L33" s="28">
        <v>0</v>
      </c>
      <c r="M33" s="20" t="str">
        <f t="shared" si="40"/>
        <v>-</v>
      </c>
      <c r="N33" s="27">
        <v>0</v>
      </c>
      <c r="O33" s="28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13835717.199999999</v>
      </c>
      <c r="C34" s="27">
        <v>7097285.4400000004</v>
      </c>
      <c r="D34" s="20">
        <f t="shared" si="34"/>
        <v>51.296838012849818</v>
      </c>
      <c r="E34" s="27">
        <v>28024824.59</v>
      </c>
      <c r="F34" s="27">
        <v>20340558.300000001</v>
      </c>
      <c r="G34" s="20">
        <f t="shared" si="35"/>
        <v>72.580501742937059</v>
      </c>
      <c r="H34" s="27">
        <v>29001197.390000001</v>
      </c>
      <c r="I34" s="27">
        <v>13966849.810000001</v>
      </c>
      <c r="J34" s="20">
        <f t="shared" si="39"/>
        <v>48.15956259383951</v>
      </c>
      <c r="K34" s="27">
        <v>30976352.25</v>
      </c>
      <c r="L34" s="27">
        <v>17898939.920000002</v>
      </c>
      <c r="M34" s="20">
        <f t="shared" si="40"/>
        <v>57.782594204583923</v>
      </c>
      <c r="N34" s="27">
        <v>53265401.469999999</v>
      </c>
      <c r="O34" s="27">
        <v>37411897.859999999</v>
      </c>
      <c r="P34" s="20">
        <f t="shared" si="38"/>
        <v>70.236770638199417</v>
      </c>
      <c r="Q34" s="13">
        <f t="shared" si="23"/>
        <v>71.955048290103292</v>
      </c>
      <c r="R34" s="13">
        <f t="shared" si="23"/>
        <v>109.01739447818647</v>
      </c>
    </row>
    <row r="35" spans="1:18" x14ac:dyDescent="0.3">
      <c r="A35" s="5" t="s">
        <v>48</v>
      </c>
      <c r="B35" s="27">
        <v>505324598.99000001</v>
      </c>
      <c r="C35" s="27">
        <v>320985441.82999998</v>
      </c>
      <c r="D35" s="20">
        <f t="shared" si="34"/>
        <v>63.520644447461784</v>
      </c>
      <c r="E35" s="27">
        <v>349490148.83999997</v>
      </c>
      <c r="F35" s="27">
        <v>186439741.19999999</v>
      </c>
      <c r="G35" s="20">
        <f t="shared" si="35"/>
        <v>53.346207845576203</v>
      </c>
      <c r="H35" s="27">
        <v>380714854.44</v>
      </c>
      <c r="I35" s="27">
        <v>275744952.20999998</v>
      </c>
      <c r="J35" s="20">
        <f t="shared" si="39"/>
        <v>72.428209457599962</v>
      </c>
      <c r="K35" s="27">
        <v>520804562.76999998</v>
      </c>
      <c r="L35" s="27">
        <v>330369668.69</v>
      </c>
      <c r="M35" s="20">
        <f t="shared" si="40"/>
        <v>63.434480476297075</v>
      </c>
      <c r="N35" s="27">
        <v>655030709.13999999</v>
      </c>
      <c r="O35" s="27">
        <v>264158497.84999999</v>
      </c>
      <c r="P35" s="20">
        <f t="shared" si="38"/>
        <v>40.327650927514192</v>
      </c>
      <c r="Q35" s="13">
        <f t="shared" si="23"/>
        <v>25.772843781569861</v>
      </c>
      <c r="R35" s="13">
        <f t="shared" si="23"/>
        <v>-20.041540466636718</v>
      </c>
    </row>
    <row r="36" spans="1:18" x14ac:dyDescent="0.3">
      <c r="A36" s="5" t="s">
        <v>49</v>
      </c>
      <c r="B36" s="27">
        <v>0</v>
      </c>
      <c r="C36" s="27">
        <v>0</v>
      </c>
      <c r="D36" s="20" t="str">
        <f t="shared" si="34"/>
        <v>-</v>
      </c>
      <c r="E36" s="27">
        <v>61025000</v>
      </c>
      <c r="F36" s="27">
        <v>5000</v>
      </c>
      <c r="G36" s="20">
        <f t="shared" si="35"/>
        <v>8.1933633756657107E-3</v>
      </c>
      <c r="H36" s="27">
        <v>1000000</v>
      </c>
      <c r="I36" s="27">
        <v>1000000</v>
      </c>
      <c r="J36" s="20">
        <f t="shared" si="39"/>
        <v>100</v>
      </c>
      <c r="K36" s="27">
        <v>24031270.219999999</v>
      </c>
      <c r="L36" s="27">
        <v>8820000</v>
      </c>
      <c r="M36" s="20">
        <f t="shared" si="40"/>
        <v>36.702179781822622</v>
      </c>
      <c r="N36" s="27">
        <v>9903338</v>
      </c>
      <c r="O36" s="27">
        <v>8820000</v>
      </c>
      <c r="P36" s="20">
        <f t="shared" si="38"/>
        <v>89.060880280971929</v>
      </c>
      <c r="Q36" s="13">
        <f t="shared" si="23"/>
        <v>-58.789785519710243</v>
      </c>
      <c r="R36" s="13">
        <f t="shared" si="23"/>
        <v>0</v>
      </c>
    </row>
    <row r="37" spans="1:18" x14ac:dyDescent="0.3">
      <c r="A37" s="5" t="s">
        <v>50</v>
      </c>
      <c r="B37" s="27">
        <v>0</v>
      </c>
      <c r="C37" s="27">
        <v>0</v>
      </c>
      <c r="D37" s="20" t="str">
        <f t="shared" si="34"/>
        <v>-</v>
      </c>
      <c r="E37" s="27">
        <v>0</v>
      </c>
      <c r="F37" s="27">
        <v>0</v>
      </c>
      <c r="G37" s="20" t="str">
        <f t="shared" si="35"/>
        <v>-</v>
      </c>
      <c r="H37" s="27">
        <v>29559.65</v>
      </c>
      <c r="I37" s="27">
        <v>29559.65</v>
      </c>
      <c r="J37" s="20">
        <f t="shared" si="39"/>
        <v>100</v>
      </c>
      <c r="K37" s="27">
        <v>5007.57</v>
      </c>
      <c r="L37" s="27">
        <v>160.65</v>
      </c>
      <c r="M37" s="20">
        <f t="shared" si="40"/>
        <v>3.208142871692258</v>
      </c>
      <c r="N37" s="27">
        <v>0</v>
      </c>
      <c r="O37" s="27">
        <v>0</v>
      </c>
      <c r="P37" s="20" t="str">
        <f t="shared" si="38"/>
        <v>-</v>
      </c>
      <c r="Q37" s="13">
        <f t="shared" si="23"/>
        <v>-100</v>
      </c>
      <c r="R37" s="13">
        <f t="shared" si="23"/>
        <v>-100</v>
      </c>
    </row>
    <row r="38" spans="1:18" x14ac:dyDescent="0.3">
      <c r="A38" s="5" t="s">
        <v>51</v>
      </c>
      <c r="B38" s="27">
        <v>0</v>
      </c>
      <c r="C38" s="27">
        <v>0</v>
      </c>
      <c r="D38" s="20" t="str">
        <f t="shared" si="34"/>
        <v>-</v>
      </c>
      <c r="E38" s="27">
        <v>484000</v>
      </c>
      <c r="F38" s="27">
        <v>0</v>
      </c>
      <c r="G38" s="20">
        <f t="shared" si="35"/>
        <v>0</v>
      </c>
      <c r="H38" s="27">
        <v>259038</v>
      </c>
      <c r="I38" s="27">
        <v>259000</v>
      </c>
      <c r="J38" s="20">
        <f t="shared" si="39"/>
        <v>99.985330337633854</v>
      </c>
      <c r="K38" s="27">
        <v>200000</v>
      </c>
      <c r="L38" s="27">
        <v>200000</v>
      </c>
      <c r="M38" s="20">
        <f t="shared" si="40"/>
        <v>100</v>
      </c>
      <c r="N38" s="27">
        <v>1750000</v>
      </c>
      <c r="O38" s="27">
        <v>1727393.48</v>
      </c>
      <c r="P38" s="20">
        <f t="shared" si="38"/>
        <v>98.708198857142861</v>
      </c>
      <c r="Q38" s="13">
        <f t="shared" si="23"/>
        <v>775</v>
      </c>
      <c r="R38" s="13">
        <f t="shared" si="23"/>
        <v>763.69673999999998</v>
      </c>
    </row>
    <row r="39" spans="1:18" x14ac:dyDescent="0.3">
      <c r="A39" s="5" t="s">
        <v>261</v>
      </c>
      <c r="B39" s="27">
        <v>0</v>
      </c>
      <c r="C39" s="27">
        <v>0</v>
      </c>
      <c r="D39" s="20" t="str">
        <f t="shared" si="34"/>
        <v>-</v>
      </c>
      <c r="E39" s="27">
        <v>0</v>
      </c>
      <c r="F39" s="27">
        <v>0</v>
      </c>
      <c r="G39" s="20" t="str">
        <f t="shared" si="35"/>
        <v>-</v>
      </c>
      <c r="H39" s="27">
        <v>0</v>
      </c>
      <c r="I39" s="27">
        <v>0</v>
      </c>
      <c r="J39" s="20" t="str">
        <f t="shared" si="39"/>
        <v>-</v>
      </c>
      <c r="K39" s="27">
        <v>122287149.38</v>
      </c>
      <c r="L39" s="27">
        <v>122287149.38</v>
      </c>
      <c r="M39" s="20">
        <f t="shared" si="40"/>
        <v>100</v>
      </c>
      <c r="N39" s="27">
        <v>35000000</v>
      </c>
      <c r="O39" s="27">
        <v>35000000</v>
      </c>
      <c r="P39" s="20">
        <f t="shared" si="38"/>
        <v>100</v>
      </c>
      <c r="Q39" s="13">
        <f t="shared" si="23"/>
        <v>-71.378840558921198</v>
      </c>
      <c r="R39" s="13">
        <f t="shared" si="23"/>
        <v>-71.378840558921198</v>
      </c>
    </row>
    <row r="40" spans="1:18" x14ac:dyDescent="0.3">
      <c r="A40" s="5" t="s">
        <v>52</v>
      </c>
      <c r="B40" s="27">
        <v>869578.71</v>
      </c>
      <c r="C40" s="27">
        <v>756578.71</v>
      </c>
      <c r="D40" s="20">
        <f t="shared" si="34"/>
        <v>87.005201633788857</v>
      </c>
      <c r="E40" s="27">
        <v>5436667.4400000004</v>
      </c>
      <c r="F40" s="27">
        <v>5232094.9000000004</v>
      </c>
      <c r="G40" s="20">
        <f t="shared" si="35"/>
        <v>96.237170247073266</v>
      </c>
      <c r="H40" s="27">
        <v>5135999.99</v>
      </c>
      <c r="I40" s="27">
        <v>5135999.99</v>
      </c>
      <c r="J40" s="20">
        <f t="shared" si="39"/>
        <v>100</v>
      </c>
      <c r="K40" s="27">
        <v>23234376.760000002</v>
      </c>
      <c r="L40" s="27">
        <v>5234376.76</v>
      </c>
      <c r="M40" s="20">
        <f t="shared" si="40"/>
        <v>22.528586904088748</v>
      </c>
      <c r="N40" s="27">
        <v>5067479.78</v>
      </c>
      <c r="O40" s="27">
        <v>5067479.78</v>
      </c>
      <c r="P40" s="20">
        <f t="shared" si="38"/>
        <v>100</v>
      </c>
      <c r="Q40" s="13">
        <f t="shared" si="23"/>
        <v>-78.189732256024584</v>
      </c>
      <c r="R40" s="13">
        <f t="shared" si="23"/>
        <v>-3.1884785458202174</v>
      </c>
    </row>
    <row r="41" spans="1:18" x14ac:dyDescent="0.3">
      <c r="A41" s="5" t="s">
        <v>53</v>
      </c>
      <c r="B41" s="27">
        <v>0</v>
      </c>
      <c r="C41" s="27">
        <v>0</v>
      </c>
      <c r="D41" s="20" t="str">
        <f t="shared" si="34"/>
        <v>-</v>
      </c>
      <c r="E41" s="27">
        <v>0</v>
      </c>
      <c r="F41" s="27">
        <v>0</v>
      </c>
      <c r="G41" s="20" t="str">
        <f t="shared" si="35"/>
        <v>-</v>
      </c>
      <c r="H41" s="27">
        <v>0</v>
      </c>
      <c r="I41" s="27">
        <v>0</v>
      </c>
      <c r="J41" s="20" t="str">
        <f t="shared" si="39"/>
        <v>-</v>
      </c>
      <c r="K41" s="27">
        <v>0</v>
      </c>
      <c r="L41" s="27">
        <v>0</v>
      </c>
      <c r="M41" s="20" t="str">
        <f t="shared" si="40"/>
        <v>-</v>
      </c>
      <c r="N41" s="27">
        <v>0</v>
      </c>
      <c r="O41" s="27">
        <v>0</v>
      </c>
      <c r="P41" s="20" t="str">
        <f t="shared" si="38"/>
        <v>-</v>
      </c>
      <c r="Q41" s="13" t="str">
        <f t="shared" si="23"/>
        <v>-</v>
      </c>
      <c r="R41" s="13" t="str">
        <f t="shared" si="23"/>
        <v>-</v>
      </c>
    </row>
    <row r="42" spans="1:18" x14ac:dyDescent="0.3">
      <c r="A42" s="5" t="s">
        <v>54</v>
      </c>
      <c r="B42" s="27">
        <v>46164496.009999998</v>
      </c>
      <c r="C42" s="27">
        <v>46164496.009999998</v>
      </c>
      <c r="D42" s="20">
        <f t="shared" si="34"/>
        <v>100</v>
      </c>
      <c r="E42" s="27">
        <v>34315624.170000002</v>
      </c>
      <c r="F42" s="27">
        <v>34315524.170000002</v>
      </c>
      <c r="G42" s="20">
        <f t="shared" si="35"/>
        <v>99.999708587553286</v>
      </c>
      <c r="H42" s="27">
        <v>28333674.609999999</v>
      </c>
      <c r="I42" s="27">
        <v>28333594.609999999</v>
      </c>
      <c r="J42" s="20">
        <f t="shared" si="39"/>
        <v>99.999717650459743</v>
      </c>
      <c r="K42" s="27">
        <v>28440840.059999999</v>
      </c>
      <c r="L42" s="27">
        <v>28440840.059999999</v>
      </c>
      <c r="M42" s="20">
        <f t="shared" si="40"/>
        <v>100</v>
      </c>
      <c r="N42" s="27">
        <v>28554123.030000001</v>
      </c>
      <c r="O42" s="27">
        <v>28554123.030000001</v>
      </c>
      <c r="P42" s="20">
        <f t="shared" si="38"/>
        <v>100</v>
      </c>
      <c r="Q42" s="13">
        <f t="shared" si="23"/>
        <v>0.39831091402720631</v>
      </c>
      <c r="R42" s="13">
        <f t="shared" si="23"/>
        <v>0.39831091402720631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27">
        <v>0</v>
      </c>
      <c r="G43" s="20" t="str">
        <f t="shared" si="35"/>
        <v>-</v>
      </c>
      <c r="H43" s="27">
        <v>0</v>
      </c>
      <c r="I43" s="27">
        <v>0</v>
      </c>
      <c r="J43" s="20" t="str">
        <f t="shared" si="39"/>
        <v>-</v>
      </c>
      <c r="K43" s="27">
        <v>82287149.379999995</v>
      </c>
      <c r="L43" s="27">
        <v>82287149.379999995</v>
      </c>
      <c r="M43" s="20">
        <f t="shared" si="40"/>
        <v>100</v>
      </c>
      <c r="N43" s="27">
        <v>0</v>
      </c>
      <c r="O43" s="27">
        <v>0</v>
      </c>
      <c r="P43" s="20" t="str">
        <f t="shared" si="38"/>
        <v>-</v>
      </c>
      <c r="Q43" s="13">
        <f t="shared" si="23"/>
        <v>-100</v>
      </c>
      <c r="R43" s="13">
        <f t="shared" si="23"/>
        <v>-100</v>
      </c>
    </row>
    <row r="44" spans="1:18" x14ac:dyDescent="0.3">
      <c r="A44" s="5" t="s">
        <v>56</v>
      </c>
      <c r="B44" s="27">
        <v>69025378.780000001</v>
      </c>
      <c r="C44" s="27">
        <v>69025378.780000001</v>
      </c>
      <c r="D44" s="20">
        <f t="shared" si="34"/>
        <v>100</v>
      </c>
      <c r="E44" s="27">
        <v>74524041.569999993</v>
      </c>
      <c r="F44" s="27">
        <v>70525223.579999998</v>
      </c>
      <c r="G44" s="20">
        <f t="shared" si="35"/>
        <v>94.634190650752714</v>
      </c>
      <c r="H44" s="27">
        <v>85004721.599999994</v>
      </c>
      <c r="I44" s="27">
        <v>74492005.120000005</v>
      </c>
      <c r="J44" s="20">
        <f t="shared" si="39"/>
        <v>87.632785235779195</v>
      </c>
      <c r="K44" s="27">
        <v>69597001.409999996</v>
      </c>
      <c r="L44" s="27">
        <v>66716875.579999998</v>
      </c>
      <c r="M44" s="20">
        <f t="shared" si="40"/>
        <v>95.861709884549455</v>
      </c>
      <c r="N44" s="27">
        <v>59160892.619999997</v>
      </c>
      <c r="O44" s="27">
        <v>59160892.619999997</v>
      </c>
      <c r="P44" s="20">
        <f t="shared" si="38"/>
        <v>100</v>
      </c>
      <c r="Q44" s="13">
        <f t="shared" si="23"/>
        <v>-14.995055215842228</v>
      </c>
      <c r="R44" s="13">
        <f t="shared" si="23"/>
        <v>-11.325444865804073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27">
        <v>0</v>
      </c>
      <c r="G45" s="20" t="str">
        <f t="shared" si="35"/>
        <v>-</v>
      </c>
      <c r="H45" s="27">
        <v>0</v>
      </c>
      <c r="I45" s="27">
        <v>0</v>
      </c>
      <c r="J45" s="20" t="str">
        <f t="shared" si="39"/>
        <v>-</v>
      </c>
      <c r="K45" s="27">
        <v>0</v>
      </c>
      <c r="L45" s="27">
        <v>0</v>
      </c>
      <c r="M45" s="20" t="str">
        <f t="shared" si="40"/>
        <v>-</v>
      </c>
      <c r="N45" s="27">
        <v>0</v>
      </c>
      <c r="O45" s="27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27">
        <v>0</v>
      </c>
      <c r="G46" s="20" t="str">
        <f t="shared" si="35"/>
        <v>-</v>
      </c>
      <c r="H46" s="27">
        <v>0</v>
      </c>
      <c r="I46" s="27">
        <v>0</v>
      </c>
      <c r="J46" s="20" t="str">
        <f t="shared" si="39"/>
        <v>-</v>
      </c>
      <c r="K46" s="27">
        <v>0</v>
      </c>
      <c r="L46" s="27">
        <v>0</v>
      </c>
      <c r="M46" s="20" t="str">
        <f t="shared" si="40"/>
        <v>-</v>
      </c>
      <c r="N46" s="27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27">
        <v>0</v>
      </c>
      <c r="G47" s="20" t="str">
        <f t="shared" si="35"/>
        <v>-</v>
      </c>
      <c r="H47" s="27">
        <v>0</v>
      </c>
      <c r="I47" s="27">
        <v>0</v>
      </c>
      <c r="J47" s="20" t="str">
        <f t="shared" si="39"/>
        <v>-</v>
      </c>
      <c r="K47" s="27">
        <v>0</v>
      </c>
      <c r="L47" s="27">
        <v>0</v>
      </c>
      <c r="M47" s="20" t="str">
        <f t="shared" si="40"/>
        <v>-</v>
      </c>
      <c r="N47" s="27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2093073258.8699999</v>
      </c>
      <c r="C48" s="27">
        <v>0</v>
      </c>
      <c r="D48" s="20">
        <f t="shared" si="34"/>
        <v>0</v>
      </c>
      <c r="E48" s="27">
        <v>2740965255.7800002</v>
      </c>
      <c r="F48" s="27">
        <v>0</v>
      </c>
      <c r="G48" s="20">
        <f t="shared" si="35"/>
        <v>0</v>
      </c>
      <c r="H48" s="27">
        <v>1196372013.77</v>
      </c>
      <c r="I48" s="27">
        <v>0</v>
      </c>
      <c r="J48" s="20">
        <f t="shared" si="39"/>
        <v>0</v>
      </c>
      <c r="K48" s="27">
        <v>1179262894.03</v>
      </c>
      <c r="L48" s="27">
        <v>0</v>
      </c>
      <c r="M48" s="20">
        <f t="shared" si="40"/>
        <v>0</v>
      </c>
      <c r="N48" s="27">
        <v>1807133796.98</v>
      </c>
      <c r="O48" s="27">
        <v>0</v>
      </c>
      <c r="P48" s="20">
        <f t="shared" si="38"/>
        <v>0</v>
      </c>
      <c r="Q48" s="13">
        <f t="shared" si="23"/>
        <v>53.242657436996154</v>
      </c>
      <c r="R48" s="13" t="str">
        <f t="shared" si="23"/>
        <v>-</v>
      </c>
    </row>
    <row r="49" spans="1:18" x14ac:dyDescent="0.3">
      <c r="A49" s="5" t="s">
        <v>61</v>
      </c>
      <c r="B49" s="27">
        <v>174148123.81999999</v>
      </c>
      <c r="C49" s="27">
        <v>0</v>
      </c>
      <c r="D49" s="20">
        <f t="shared" si="34"/>
        <v>0</v>
      </c>
      <c r="E49" s="27">
        <v>59269782.060000002</v>
      </c>
      <c r="F49" s="27">
        <v>0</v>
      </c>
      <c r="G49" s="20">
        <f t="shared" si="35"/>
        <v>0</v>
      </c>
      <c r="H49" s="27">
        <v>60700932.18</v>
      </c>
      <c r="I49" s="27">
        <v>0</v>
      </c>
      <c r="J49" s="20">
        <f t="shared" si="39"/>
        <v>0</v>
      </c>
      <c r="K49" s="27">
        <v>118287748.61</v>
      </c>
      <c r="L49" s="27">
        <v>0</v>
      </c>
      <c r="M49" s="20">
        <f t="shared" si="40"/>
        <v>0</v>
      </c>
      <c r="N49" s="27">
        <v>101157561.81</v>
      </c>
      <c r="O49" s="27">
        <v>0</v>
      </c>
      <c r="P49" s="20">
        <f t="shared" si="38"/>
        <v>0</v>
      </c>
      <c r="Q49" s="13">
        <f t="shared" si="23"/>
        <v>-14.481792917099966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8767129605.5700016</v>
      </c>
      <c r="C50" s="27">
        <f t="shared" si="41"/>
        <v>7375605920.71</v>
      </c>
      <c r="D50" s="20">
        <f t="shared" si="34"/>
        <v>84.127944407529597</v>
      </c>
      <c r="E50" s="27">
        <f t="shared" ref="E50:F50" si="42">SUM(E23:E32)</f>
        <v>8646361230.6200008</v>
      </c>
      <c r="F50" s="27">
        <f t="shared" si="42"/>
        <v>7548633867.3500004</v>
      </c>
      <c r="G50" s="20">
        <f t="shared" si="35"/>
        <v>87.304169534548976</v>
      </c>
      <c r="H50" s="27">
        <f t="shared" ref="H50:I50" si="43">SUM(H23:H32)</f>
        <v>8811216927.6400013</v>
      </c>
      <c r="I50" s="27">
        <f t="shared" si="43"/>
        <v>7670247713.1000004</v>
      </c>
      <c r="J50" s="20">
        <f t="shared" si="39"/>
        <v>87.050946266447241</v>
      </c>
      <c r="K50" s="27">
        <f t="shared" ref="K50:L50" si="44">SUM(K23:K32)</f>
        <v>9088189329.1899986</v>
      </c>
      <c r="L50" s="27">
        <f t="shared" si="44"/>
        <v>7936122093.9799995</v>
      </c>
      <c r="M50" s="20">
        <f t="shared" si="40"/>
        <v>87.323467926556958</v>
      </c>
      <c r="N50" s="27">
        <f t="shared" ref="N50:O50" si="45">SUM(N23:N32)</f>
        <v>9471345176.9699993</v>
      </c>
      <c r="O50" s="27">
        <f t="shared" si="45"/>
        <v>8311415235.829999</v>
      </c>
      <c r="P50" s="20">
        <f t="shared" si="38"/>
        <v>87.75327137310525</v>
      </c>
      <c r="Q50" s="13">
        <f t="shared" si="23"/>
        <v>4.2159756349854831</v>
      </c>
      <c r="R50" s="13">
        <f t="shared" si="23"/>
        <v>4.7289234894039964</v>
      </c>
    </row>
    <row r="51" spans="1:18" x14ac:dyDescent="0.3">
      <c r="A51" s="5" t="s">
        <v>63</v>
      </c>
      <c r="B51" s="27">
        <f t="shared" ref="B51:C51" si="46">SUM(B33:B37)</f>
        <v>519160316.19</v>
      </c>
      <c r="C51" s="27">
        <f t="shared" si="46"/>
        <v>328082727.26999998</v>
      </c>
      <c r="D51" s="20">
        <f t="shared" si="34"/>
        <v>63.194877774504185</v>
      </c>
      <c r="E51" s="27">
        <f t="shared" ref="E51:F51" si="47">SUM(E33:E37)</f>
        <v>438539973.42999995</v>
      </c>
      <c r="F51" s="27">
        <f t="shared" si="47"/>
        <v>206785299.5</v>
      </c>
      <c r="G51" s="20">
        <f t="shared" si="35"/>
        <v>47.153124464948512</v>
      </c>
      <c r="H51" s="27">
        <f t="shared" ref="H51:I51" si="48">SUM(H33:H37)</f>
        <v>410745611.47999996</v>
      </c>
      <c r="I51" s="27">
        <f t="shared" si="48"/>
        <v>290741361.66999996</v>
      </c>
      <c r="J51" s="20">
        <f t="shared" si="39"/>
        <v>70.783802320467828</v>
      </c>
      <c r="K51" s="27">
        <f t="shared" ref="K51:L51" si="49">SUM(K33:K37)</f>
        <v>575817192.81000006</v>
      </c>
      <c r="L51" s="27">
        <f t="shared" si="49"/>
        <v>357088769.25999999</v>
      </c>
      <c r="M51" s="20">
        <f t="shared" si="40"/>
        <v>62.014259684987735</v>
      </c>
      <c r="N51" s="27">
        <f t="shared" ref="N51:O51" si="50">SUM(N33:N37)</f>
        <v>718199448.61000001</v>
      </c>
      <c r="O51" s="27">
        <f t="shared" si="50"/>
        <v>310390395.70999998</v>
      </c>
      <c r="P51" s="20">
        <f t="shared" si="38"/>
        <v>43.217854916308859</v>
      </c>
      <c r="Q51" s="13">
        <f t="shared" si="23"/>
        <v>24.726989325409264</v>
      </c>
      <c r="R51" s="13">
        <f t="shared" si="23"/>
        <v>-13.077525133813012</v>
      </c>
    </row>
    <row r="52" spans="1:18" x14ac:dyDescent="0.3">
      <c r="A52" s="5" t="s">
        <v>64</v>
      </c>
      <c r="B52" s="27">
        <f t="shared" ref="B52:C52" si="51">SUM(B38:B41)</f>
        <v>869578.71</v>
      </c>
      <c r="C52" s="27">
        <f t="shared" si="51"/>
        <v>756578.71</v>
      </c>
      <c r="D52" s="20">
        <f t="shared" si="34"/>
        <v>87.005201633788857</v>
      </c>
      <c r="E52" s="27">
        <f t="shared" ref="E52:F52" si="52">SUM(E38:E41)</f>
        <v>5920667.4400000004</v>
      </c>
      <c r="F52" s="27">
        <f t="shared" si="52"/>
        <v>5232094.9000000004</v>
      </c>
      <c r="G52" s="20">
        <f t="shared" si="35"/>
        <v>88.370018296450709</v>
      </c>
      <c r="H52" s="27">
        <f t="shared" ref="H52:I52" si="53">SUM(H38:H41)</f>
        <v>5395037.9900000002</v>
      </c>
      <c r="I52" s="27">
        <f t="shared" si="53"/>
        <v>5394999.9900000002</v>
      </c>
      <c r="J52" s="20">
        <f t="shared" si="39"/>
        <v>99.999295649074753</v>
      </c>
      <c r="K52" s="27">
        <f t="shared" ref="K52:L52" si="54">SUM(K38:K41)</f>
        <v>145721526.13999999</v>
      </c>
      <c r="L52" s="27">
        <f t="shared" si="54"/>
        <v>127721526.14</v>
      </c>
      <c r="M52" s="20">
        <f t="shared" si="40"/>
        <v>87.647672600747583</v>
      </c>
      <c r="N52" s="27">
        <f t="shared" ref="N52:O52" si="55">SUM(N38:N41)</f>
        <v>41817479.780000001</v>
      </c>
      <c r="O52" s="27">
        <f t="shared" si="55"/>
        <v>41794873.259999998</v>
      </c>
      <c r="P52" s="20">
        <f t="shared" si="38"/>
        <v>99.945940022882922</v>
      </c>
      <c r="Q52" s="13">
        <f t="shared" si="23"/>
        <v>-71.303155485878989</v>
      </c>
      <c r="R52" s="13">
        <f t="shared" si="23"/>
        <v>-67.276562907503006</v>
      </c>
    </row>
    <row r="53" spans="1:18" x14ac:dyDescent="0.3">
      <c r="A53" s="5" t="s">
        <v>65</v>
      </c>
      <c r="B53" s="27">
        <f t="shared" ref="B53:C53" si="56">SUM(B42:B46)</f>
        <v>115189874.78999999</v>
      </c>
      <c r="C53" s="27">
        <f t="shared" si="56"/>
        <v>115189874.78999999</v>
      </c>
      <c r="D53" s="20">
        <f t="shared" si="34"/>
        <v>100</v>
      </c>
      <c r="E53" s="27">
        <f t="shared" ref="E53:F53" si="57">SUM(E42:E46)</f>
        <v>108839665.73999999</v>
      </c>
      <c r="F53" s="27">
        <f t="shared" si="57"/>
        <v>104840747.75</v>
      </c>
      <c r="G53" s="20">
        <f t="shared" si="35"/>
        <v>96.325863403924131</v>
      </c>
      <c r="H53" s="27">
        <f t="shared" ref="H53:I53" si="58">SUM(H42:H46)</f>
        <v>113338396.20999999</v>
      </c>
      <c r="I53" s="27">
        <f t="shared" si="58"/>
        <v>102825599.73</v>
      </c>
      <c r="J53" s="20">
        <f t="shared" si="39"/>
        <v>90.72441746879737</v>
      </c>
      <c r="K53" s="27">
        <f t="shared" ref="K53:L53" si="59">SUM(K42:K46)</f>
        <v>180324990.84999999</v>
      </c>
      <c r="L53" s="27">
        <f t="shared" si="59"/>
        <v>177444865.01999998</v>
      </c>
      <c r="M53" s="20">
        <f t="shared" si="40"/>
        <v>98.402813821631753</v>
      </c>
      <c r="N53" s="27">
        <f t="shared" ref="N53:O53" si="60">SUM(N42:N46)</f>
        <v>87715015.650000006</v>
      </c>
      <c r="O53" s="27">
        <f>SUM(O42:O46)</f>
        <v>87715015.650000006</v>
      </c>
      <c r="P53" s="20">
        <f t="shared" si="38"/>
        <v>100</v>
      </c>
      <c r="Q53" s="13">
        <f t="shared" si="23"/>
        <v>-51.357260445966631</v>
      </c>
      <c r="R53" s="13">
        <f t="shared" si="23"/>
        <v>-50.567735144032731</v>
      </c>
    </row>
    <row r="54" spans="1:18" x14ac:dyDescent="0.3">
      <c r="A54" s="5" t="s">
        <v>66</v>
      </c>
      <c r="B54" s="27">
        <f t="shared" ref="B54:C54" si="61">B47</f>
        <v>0</v>
      </c>
      <c r="C54" s="27">
        <f t="shared" si="61"/>
        <v>0</v>
      </c>
      <c r="D54" s="20" t="str">
        <f t="shared" si="34"/>
        <v>-</v>
      </c>
      <c r="E54" s="27">
        <f t="shared" ref="E54:F54" si="62">E47</f>
        <v>0</v>
      </c>
      <c r="F54" s="27">
        <f t="shared" si="62"/>
        <v>0</v>
      </c>
      <c r="G54" s="20" t="str">
        <f t="shared" si="35"/>
        <v>-</v>
      </c>
      <c r="H54" s="27">
        <f t="shared" ref="H54:I54" si="63">H47</f>
        <v>0</v>
      </c>
      <c r="I54" s="27">
        <f t="shared" si="63"/>
        <v>0</v>
      </c>
      <c r="J54" s="20" t="str">
        <f t="shared" si="39"/>
        <v>-</v>
      </c>
      <c r="K54" s="27">
        <f t="shared" ref="K54:L54" si="64">K47</f>
        <v>0</v>
      </c>
      <c r="L54" s="27">
        <f t="shared" si="64"/>
        <v>0</v>
      </c>
      <c r="M54" s="20" t="str">
        <f t="shared" si="40"/>
        <v>-</v>
      </c>
      <c r="N54" s="27">
        <f t="shared" ref="N54:O54" si="65">N47</f>
        <v>0</v>
      </c>
      <c r="O54" s="27">
        <f>O47</f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2267221382.6900001</v>
      </c>
      <c r="C55" s="29">
        <v>1048965331.46</v>
      </c>
      <c r="D55" s="20">
        <f t="shared" si="34"/>
        <v>46.266559563558346</v>
      </c>
      <c r="E55" s="27">
        <f>SUM(E48:E49)</f>
        <v>2800235037.8400002</v>
      </c>
      <c r="F55" s="29">
        <v>1755161339.3599999</v>
      </c>
      <c r="G55" s="20">
        <f t="shared" si="35"/>
        <v>62.679072136525647</v>
      </c>
      <c r="H55" s="27">
        <f>SUM(H48:H49)</f>
        <v>1257072945.95</v>
      </c>
      <c r="I55" s="29">
        <v>222799118.81</v>
      </c>
      <c r="J55" s="20">
        <f t="shared" si="39"/>
        <v>17.723642810690304</v>
      </c>
      <c r="K55" s="27">
        <f>SUM(K48:K49)</f>
        <v>1297550642.6399999</v>
      </c>
      <c r="L55" s="29">
        <v>695746810.58000004</v>
      </c>
      <c r="M55" s="20">
        <f t="shared" si="40"/>
        <v>53.620012022377161</v>
      </c>
      <c r="N55" s="27">
        <f>SUM(N48:N49)</f>
        <v>1908291358.79</v>
      </c>
      <c r="O55" s="29">
        <v>1169168250.9300001</v>
      </c>
      <c r="P55" s="20">
        <f t="shared" si="38"/>
        <v>61.267806173546823</v>
      </c>
      <c r="Q55" s="13">
        <f t="shared" si="23"/>
        <v>47.068738288887545</v>
      </c>
      <c r="R55" s="13">
        <f t="shared" si="23"/>
        <v>68.045075184080048</v>
      </c>
    </row>
    <row r="56" spans="1:18" x14ac:dyDescent="0.3">
      <c r="A56" s="5" t="s">
        <v>68</v>
      </c>
      <c r="B56" s="19">
        <f t="shared" ref="B56:C56" si="66">SUM(B50:B55)</f>
        <v>11669570757.950003</v>
      </c>
      <c r="C56" s="19">
        <f t="shared" si="66"/>
        <v>8868600432.9399986</v>
      </c>
      <c r="D56" s="20">
        <f t="shared" si="34"/>
        <v>75.997657642190333</v>
      </c>
      <c r="E56" s="19">
        <f t="shared" ref="E56:F56" si="67">SUM(E50:E55)</f>
        <v>11999896575.070002</v>
      </c>
      <c r="F56" s="19">
        <f t="shared" si="67"/>
        <v>9620653348.8600006</v>
      </c>
      <c r="G56" s="20">
        <f t="shared" si="35"/>
        <v>80.172802229371527</v>
      </c>
      <c r="H56" s="24">
        <f t="shared" ref="H56:I56" si="68">SUM(H50:H55)</f>
        <v>10597768919.27</v>
      </c>
      <c r="I56" s="19">
        <f t="shared" si="68"/>
        <v>8292008793.3000002</v>
      </c>
      <c r="J56" s="20">
        <f t="shared" si="39"/>
        <v>78.242966575942035</v>
      </c>
      <c r="K56" s="24">
        <f t="shared" ref="K56:L56" si="69">SUM(K50:K55)</f>
        <v>11287603681.629997</v>
      </c>
      <c r="L56" s="19">
        <f t="shared" si="69"/>
        <v>9294124064.9799995</v>
      </c>
      <c r="M56" s="20">
        <f t="shared" si="40"/>
        <v>82.339213238906638</v>
      </c>
      <c r="N56" s="24">
        <f t="shared" ref="N56:O56" si="70">SUM(N50:N55)</f>
        <v>12227368479.799999</v>
      </c>
      <c r="O56" s="19">
        <f t="shared" si="70"/>
        <v>9920483771.3799992</v>
      </c>
      <c r="P56" s="20">
        <f t="shared" si="38"/>
        <v>81.133432657803297</v>
      </c>
      <c r="Q56" s="13">
        <f t="shared" si="23"/>
        <v>8.3256360222800936</v>
      </c>
      <c r="R56" s="13">
        <f t="shared" si="23"/>
        <v>6.7393086429748337</v>
      </c>
    </row>
    <row r="57" spans="1:18" x14ac:dyDescent="0.3">
      <c r="A57" s="14" t="s">
        <v>69</v>
      </c>
      <c r="B57" s="15">
        <f t="shared" ref="B57:C57" si="71">B56-B55</f>
        <v>9402349375.2600021</v>
      </c>
      <c r="C57" s="15">
        <f t="shared" si="71"/>
        <v>7819635101.4799986</v>
      </c>
      <c r="D57" s="21">
        <f t="shared" si="34"/>
        <v>83.166821284640505</v>
      </c>
      <c r="E57" s="15">
        <f t="shared" ref="E57:F57" si="72">E56-E55</f>
        <v>9199661537.2300014</v>
      </c>
      <c r="F57" s="15">
        <f t="shared" si="72"/>
        <v>7865492009.500001</v>
      </c>
      <c r="G57" s="21">
        <f t="shared" si="35"/>
        <v>85.497623773105502</v>
      </c>
      <c r="H57" s="25">
        <f t="shared" ref="H57:I57" si="73">H56-H55</f>
        <v>9340695973.3199997</v>
      </c>
      <c r="I57" s="15">
        <f t="shared" si="73"/>
        <v>8069209674.4899998</v>
      </c>
      <c r="J57" s="21">
        <f t="shared" si="39"/>
        <v>86.387670656857168</v>
      </c>
      <c r="K57" s="25">
        <f t="shared" ref="K57:L57" si="74">K56-K55</f>
        <v>9990053038.9899979</v>
      </c>
      <c r="L57" s="15">
        <f t="shared" si="74"/>
        <v>8598377254.3999996</v>
      </c>
      <c r="M57" s="21">
        <f t="shared" si="40"/>
        <v>86.069385426098819</v>
      </c>
      <c r="N57" s="25">
        <f t="shared" ref="N57:O57" si="75">N56-N55</f>
        <v>10319077121.009998</v>
      </c>
      <c r="O57" s="15">
        <f t="shared" si="75"/>
        <v>8751315520.4499989</v>
      </c>
      <c r="P57" s="21">
        <f t="shared" si="38"/>
        <v>84.807152983012585</v>
      </c>
      <c r="Q57" s="16">
        <f t="shared" si="23"/>
        <v>3.2935168685877585</v>
      </c>
      <c r="R57" s="16">
        <f t="shared" si="23"/>
        <v>1.7786875537676252</v>
      </c>
    </row>
    <row r="58" spans="1:18" x14ac:dyDescent="0.3">
      <c r="A58" s="5" t="s">
        <v>70</v>
      </c>
      <c r="B58" s="19">
        <f>B14-B50</f>
        <v>296094624.1099987</v>
      </c>
      <c r="C58" s="19">
        <f>C14-C50</f>
        <v>-276849524.13999939</v>
      </c>
      <c r="D58" s="22"/>
      <c r="E58" s="19">
        <f>E14-E50</f>
        <v>408792481.62999916</v>
      </c>
      <c r="F58" s="19">
        <f>F14-F50</f>
        <v>-248664819.68000031</v>
      </c>
      <c r="G58" s="22"/>
      <c r="H58" s="19">
        <f>H14-H50</f>
        <v>545401087.79999924</v>
      </c>
      <c r="I58" s="19">
        <f>I14-I50</f>
        <v>-32698120.090000153</v>
      </c>
      <c r="J58" s="22"/>
      <c r="K58" s="19">
        <f>K14-K50</f>
        <v>585911641.95000267</v>
      </c>
      <c r="L58" s="19">
        <f>L14-L50</f>
        <v>541191171.52999973</v>
      </c>
      <c r="M58" s="22"/>
      <c r="N58" s="19">
        <f>N14-N50</f>
        <v>485211188.72999954</v>
      </c>
      <c r="O58" s="19">
        <f>O14-O50</f>
        <v>506630486.99000072</v>
      </c>
      <c r="P58" s="22"/>
      <c r="Q58" s="13">
        <f t="shared" si="23"/>
        <v>-17.186969162254016</v>
      </c>
      <c r="R58" s="13">
        <f t="shared" si="23"/>
        <v>-6.3860399722139931</v>
      </c>
    </row>
    <row r="59" spans="1:18" x14ac:dyDescent="0.3">
      <c r="A59" s="5" t="s">
        <v>71</v>
      </c>
      <c r="B59" s="19">
        <f>B15-B51</f>
        <v>-273561055.97000003</v>
      </c>
      <c r="C59" s="19">
        <f>C15-C51</f>
        <v>-196764352.44</v>
      </c>
      <c r="D59" s="22"/>
      <c r="E59" s="19">
        <f>E15-E51</f>
        <v>-195844871.68999994</v>
      </c>
      <c r="F59" s="19">
        <f>F15-F51</f>
        <v>-104155371.60000001</v>
      </c>
      <c r="G59" s="22"/>
      <c r="H59" s="19">
        <f>H15-H51</f>
        <v>-162855666.86999995</v>
      </c>
      <c r="I59" s="19">
        <f>I15-I51</f>
        <v>-201118028.22999996</v>
      </c>
      <c r="J59" s="22"/>
      <c r="K59" s="19">
        <f>K15-K51</f>
        <v>-264520085.97000003</v>
      </c>
      <c r="L59" s="19">
        <f>L15-L51</f>
        <v>-226313685.38</v>
      </c>
      <c r="M59" s="22"/>
      <c r="N59" s="19">
        <f>N15-N51</f>
        <v>-259748312.56999999</v>
      </c>
      <c r="O59" s="19">
        <f>O15-O51</f>
        <v>-188189322.75999996</v>
      </c>
      <c r="P59" s="22"/>
      <c r="Q59" s="13" t="str">
        <f t="shared" si="23"/>
        <v>-</v>
      </c>
      <c r="R59" s="13" t="str">
        <f t="shared" si="23"/>
        <v>-</v>
      </c>
    </row>
    <row r="60" spans="1:18" x14ac:dyDescent="0.3">
      <c r="A60" s="5" t="s">
        <v>366</v>
      </c>
      <c r="B60" s="19">
        <f>SUM(B14:B16)-SUM(B50:B52)</f>
        <v>33585425.539999008</v>
      </c>
      <c r="C60" s="19">
        <f>SUM(C14:C16)-SUM(C50:C52)</f>
        <v>-469817018.23999882</v>
      </c>
      <c r="D60" s="22"/>
      <c r="E60" s="19">
        <f>SUM(E14:E16)-SUM(E50:E52)</f>
        <v>216973795.09999847</v>
      </c>
      <c r="F60" s="19">
        <f>SUM(F14:F16)-SUM(F50:F52)</f>
        <v>-350213676.55000019</v>
      </c>
      <c r="G60" s="22"/>
      <c r="H60" s="19">
        <f>SUM(H14:H16)-SUM(H50:H52)</f>
        <v>384590267.73000145</v>
      </c>
      <c r="I60" s="19">
        <f>SUM(I14:I16)-SUM(I50:I52)</f>
        <v>-232856537.30000019</v>
      </c>
      <c r="J60" s="22"/>
      <c r="K60" s="19">
        <f>SUM(K14:K16)-SUM(K50:K52)</f>
        <v>324222571.6400032</v>
      </c>
      <c r="L60" s="19">
        <f>SUM(L14:L16)-SUM(L50:L52)</f>
        <v>311622710.15999889</v>
      </c>
      <c r="M60" s="22"/>
      <c r="N60" s="19">
        <f>SUM(N14:N16)-SUM(N50:N52)</f>
        <v>227073348.09999847</v>
      </c>
      <c r="O60" s="19">
        <f>SUM(O14:O16)-SUM(O50:O52)</f>
        <v>316787164.52000046</v>
      </c>
      <c r="P60" s="22"/>
      <c r="Q60" s="13">
        <f t="shared" si="23"/>
        <v>-29.963744673481045</v>
      </c>
      <c r="R60" s="13">
        <f t="shared" si="23"/>
        <v>1.6572779170522978</v>
      </c>
    </row>
    <row r="61" spans="1:18" x14ac:dyDescent="0.3">
      <c r="A61" s="5" t="s">
        <v>367</v>
      </c>
      <c r="B61" s="28">
        <f>B21-B57</f>
        <v>-12055163.93000412</v>
      </c>
      <c r="C61" s="28">
        <f>C21-C57</f>
        <v>-570770509.03999805</v>
      </c>
      <c r="D61" s="108"/>
      <c r="E61" s="28">
        <f>E21-E57</f>
        <v>166446947.56999779</v>
      </c>
      <c r="F61" s="28">
        <f>F21-F57</f>
        <v>-396741606.09000206</v>
      </c>
      <c r="G61" s="108"/>
      <c r="H61" s="28">
        <f>H21-H57</f>
        <v>324683871.52000237</v>
      </c>
      <c r="I61" s="28">
        <f>I21-I57</f>
        <v>-282250137.02999878</v>
      </c>
      <c r="J61" s="108"/>
      <c r="K61" s="28">
        <f>K21-K57</f>
        <v>301525156.47000313</v>
      </c>
      <c r="L61" s="28">
        <f>L21-L57</f>
        <v>291805420.81999969</v>
      </c>
      <c r="M61" s="108"/>
      <c r="N61" s="28">
        <f>N21-N57</f>
        <v>267823864.90000153</v>
      </c>
      <c r="O61" s="28">
        <f>O21-O57</f>
        <v>357537681.3200016</v>
      </c>
      <c r="P61" s="108"/>
    </row>
    <row r="62" spans="1:18" x14ac:dyDescent="0.3">
      <c r="A62" s="5" t="s">
        <v>368</v>
      </c>
      <c r="C62" s="6">
        <f>SUM(C14:C16)/SUM(B14:B16)*100</f>
        <v>77.618562313205388</v>
      </c>
      <c r="D62" s="108"/>
      <c r="F62" s="6">
        <f>SUM(F14:F16)/SUM(E14:E16)*100</f>
        <v>79.615387473529324</v>
      </c>
      <c r="G62" s="108"/>
      <c r="I62" s="6">
        <f>SUM(I14:I16)/SUM(H14:H16)*100</f>
        <v>80.457443821978316</v>
      </c>
      <c r="J62" s="108"/>
      <c r="L62" s="6">
        <f>SUM(L14:L16)/SUM(K14:K16)*100</f>
        <v>86.17128134111212</v>
      </c>
      <c r="M62" s="108"/>
      <c r="O62" s="6">
        <f>SUM(O14:O16)/SUM(N14:N16)*100</f>
        <v>85.86741018083147</v>
      </c>
      <c r="P62" s="108"/>
    </row>
    <row r="63" spans="1:18" x14ac:dyDescent="0.3">
      <c r="A63" s="5" t="s">
        <v>369</v>
      </c>
      <c r="C63" s="6">
        <f>SUM(C50:C52)/SUM(B50:B52)*100</f>
        <v>82.958037129652993</v>
      </c>
      <c r="D63" s="108"/>
      <c r="F63" s="6">
        <f>SUM(F50:F52)/SUM(E50:E52)*100</f>
        <v>85.367982911296608</v>
      </c>
      <c r="G63" s="108"/>
      <c r="I63" s="6">
        <f>SUM(I50:I52)/SUM(H50:H52)*100</f>
        <v>86.334402977098705</v>
      </c>
      <c r="J63" s="108"/>
      <c r="L63" s="6">
        <f>SUM(L50:L52)/SUM(K50:K52)*100</f>
        <v>85.842669114325503</v>
      </c>
      <c r="M63" s="108"/>
      <c r="O63" s="6">
        <f>SUM(O50:O52)/SUM(N50:N52)*100</f>
        <v>84.676902406389431</v>
      </c>
      <c r="P63" s="108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I2" sqref="I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3.9600000000000004</v>
      </c>
      <c r="F2" s="82">
        <f>Piano_indicatori!E3</f>
        <v>3.7800000000000002</v>
      </c>
      <c r="G2" s="82">
        <f>Piano_indicatori!F3</f>
        <v>3.93</v>
      </c>
      <c r="H2" s="82">
        <f>Piano_indicatori!G3</f>
        <v>4.41</v>
      </c>
      <c r="I2" s="82">
        <f>Piano_indicatori!H3</f>
        <v>3.37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51.536652395962705</v>
      </c>
      <c r="F3" s="83">
        <f>Piano_indicatori!E12</f>
        <v>54.383887138850795</v>
      </c>
      <c r="G3" s="83">
        <f>Piano_indicatori!F12</f>
        <v>57.511049199390698</v>
      </c>
      <c r="H3" s="83">
        <f>Piano_indicatori!G12</f>
        <v>62.1</v>
      </c>
      <c r="I3" s="83">
        <f>Piano_indicatori!H12</f>
        <v>62.38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1.66</v>
      </c>
      <c r="F5" s="85">
        <f>Piano_indicatori!E51</f>
        <v>1.66809695163604</v>
      </c>
      <c r="G5" s="85">
        <f>Piano_indicatori!F51</f>
        <v>1.6778955412194101</v>
      </c>
      <c r="H5" s="85">
        <f>Piano_indicatori!G51</f>
        <v>2.34</v>
      </c>
      <c r="I5" s="85">
        <f>Piano_indicatori!H51</f>
        <v>1.34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31.59</v>
      </c>
      <c r="F6" s="86">
        <f>Piano_indicatori!E62</f>
        <v>26.506217167721701</v>
      </c>
      <c r="G6" s="86">
        <f>Piano_indicatori!F62</f>
        <v>22.193024719544997</v>
      </c>
      <c r="H6" s="86">
        <f>Piano_indicatori!G62</f>
        <v>16.559449041405053</v>
      </c>
      <c r="I6" s="86">
        <f>Piano_indicatori!H62</f>
        <v>13.26396187982764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</v>
      </c>
      <c r="F7" s="87">
        <f>Piano_indicatori!E65</f>
        <v>0</v>
      </c>
      <c r="G7" s="87">
        <f>Piano_indicatori!F65</f>
        <v>0</v>
      </c>
      <c r="H7" s="87">
        <f>Piano_indicatori!G65</f>
        <v>0</v>
      </c>
      <c r="I7" s="87">
        <f>Piano_indicatori!H65</f>
        <v>0.02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0.02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63.429711804000263</v>
      </c>
      <c r="F9" s="88">
        <f>Piano_indicatori!E77</f>
        <v>67.986308233024189</v>
      </c>
      <c r="G9" s="88">
        <f>Piano_indicatori!F77</f>
        <v>69.343028104050788</v>
      </c>
      <c r="H9" s="88">
        <f>Piano_indicatori!G77</f>
        <v>75.104444611763157</v>
      </c>
      <c r="I9" s="88">
        <f>Piano_indicatori!H77</f>
        <v>76.250811062392984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1" ht="28.8" x14ac:dyDescent="0.3">
      <c r="A1" s="103" t="s">
        <v>361</v>
      </c>
      <c r="B1" s="103" t="s">
        <v>362</v>
      </c>
      <c r="C1" s="103" t="s">
        <v>232</v>
      </c>
      <c r="D1" s="103" t="s">
        <v>346</v>
      </c>
      <c r="E1" s="107" t="s">
        <v>347</v>
      </c>
      <c r="F1" s="107" t="s">
        <v>348</v>
      </c>
    </row>
    <row r="2" spans="1:21" x14ac:dyDescent="0.3">
      <c r="A2" s="31">
        <v>2021</v>
      </c>
      <c r="B2" s="95">
        <v>3692865</v>
      </c>
      <c r="C2" s="104">
        <f>B2/B3*100-100</f>
        <v>8.3952710250798646E-3</v>
      </c>
    </row>
    <row r="3" spans="1:21" x14ac:dyDescent="0.3">
      <c r="A3" s="31">
        <v>2020</v>
      </c>
      <c r="B3" s="95">
        <v>3692555</v>
      </c>
      <c r="C3" s="104">
        <f>B3/B4*100-100</f>
        <v>-0.23742733380829861</v>
      </c>
      <c r="D3" s="95">
        <v>-25441</v>
      </c>
      <c r="E3" s="1">
        <v>25751</v>
      </c>
      <c r="F3" s="1">
        <f t="shared" ref="F3:F8" si="0">B2-B3-D3-E3</f>
        <v>0</v>
      </c>
    </row>
    <row r="4" spans="1:21" x14ac:dyDescent="0.3">
      <c r="A4" s="31">
        <v>2019</v>
      </c>
      <c r="B4" s="95">
        <v>3701343</v>
      </c>
      <c r="C4" s="104">
        <f>B4/B5*100-100</f>
        <v>-0.28838527950068737</v>
      </c>
      <c r="D4" s="95">
        <v>-20226</v>
      </c>
      <c r="E4" s="1">
        <v>11438</v>
      </c>
      <c r="F4" s="1">
        <f t="shared" si="0"/>
        <v>0</v>
      </c>
      <c r="L4" s="110"/>
      <c r="M4" s="111"/>
      <c r="N4" s="111"/>
      <c r="O4" s="111"/>
      <c r="P4" s="111"/>
      <c r="Q4" s="111"/>
      <c r="R4" s="111"/>
      <c r="S4" s="111"/>
      <c r="T4" s="111"/>
      <c r="U4" s="111"/>
    </row>
    <row r="5" spans="1:21" x14ac:dyDescent="0.3">
      <c r="A5" s="31">
        <v>2018</v>
      </c>
      <c r="B5" s="95">
        <v>3712048</v>
      </c>
      <c r="C5" s="104">
        <f t="shared" ref="C5:C7" si="1">B5/B6*100-100</f>
        <v>-0.25106203567429475</v>
      </c>
      <c r="D5" s="95">
        <v>-18579</v>
      </c>
      <c r="E5" s="95">
        <v>7874</v>
      </c>
      <c r="F5" s="1">
        <f t="shared" si="0"/>
        <v>0</v>
      </c>
      <c r="L5" s="110"/>
      <c r="M5" s="111"/>
      <c r="N5" s="111"/>
      <c r="O5" s="111"/>
      <c r="P5" s="111"/>
      <c r="Q5" s="111"/>
      <c r="R5" s="111"/>
      <c r="S5" s="111"/>
      <c r="T5" s="111"/>
      <c r="U5" s="111"/>
    </row>
    <row r="6" spans="1:21" x14ac:dyDescent="0.3">
      <c r="A6" s="31">
        <v>2017</v>
      </c>
      <c r="B6" s="95">
        <v>3721391</v>
      </c>
      <c r="C6" s="104">
        <f t="shared" si="1"/>
        <v>-0.13500886373040544</v>
      </c>
      <c r="D6" s="95">
        <v>-18429</v>
      </c>
      <c r="E6" s="95">
        <v>9086</v>
      </c>
      <c r="F6" s="1">
        <f t="shared" si="0"/>
        <v>0</v>
      </c>
      <c r="L6" s="110"/>
      <c r="M6" s="111"/>
      <c r="N6" s="111"/>
      <c r="O6" s="111"/>
      <c r="P6" s="111"/>
      <c r="Q6" s="111"/>
      <c r="R6" s="111"/>
      <c r="S6" s="111"/>
      <c r="T6" s="111"/>
      <c r="U6" s="111"/>
    </row>
    <row r="7" spans="1:21" x14ac:dyDescent="0.3">
      <c r="A7" s="31">
        <v>2016</v>
      </c>
      <c r="B7" s="95">
        <v>3726422</v>
      </c>
      <c r="C7" s="104">
        <f t="shared" si="1"/>
        <v>-0.33757291970889014</v>
      </c>
      <c r="D7" s="95">
        <v>-15561</v>
      </c>
      <c r="E7" s="95">
        <v>10530</v>
      </c>
      <c r="F7" s="1">
        <f t="shared" si="0"/>
        <v>0</v>
      </c>
      <c r="L7" s="110"/>
      <c r="M7" s="111"/>
      <c r="N7" s="111"/>
      <c r="O7" s="111"/>
      <c r="P7" s="111"/>
      <c r="Q7" s="111"/>
      <c r="R7" s="111"/>
      <c r="S7" s="111"/>
      <c r="T7" s="111"/>
      <c r="U7" s="111"/>
    </row>
    <row r="8" spans="1:21" x14ac:dyDescent="0.3">
      <c r="A8" s="105">
        <v>2015</v>
      </c>
      <c r="B8" s="106">
        <v>3739044</v>
      </c>
      <c r="C8" s="106"/>
      <c r="D8" s="106">
        <v>-17856</v>
      </c>
      <c r="E8" s="106">
        <v>5234</v>
      </c>
      <c r="F8" s="1">
        <f t="shared" si="0"/>
        <v>0</v>
      </c>
    </row>
    <row r="9" spans="1:21" x14ac:dyDescent="0.3">
      <c r="A9" t="s">
        <v>363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6" width="15.33203125" bestFit="1" customWidth="1"/>
    <col min="7" max="7" width="8.44140625" customWidth="1"/>
    <col min="8" max="8" width="6.554687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370</v>
      </c>
      <c r="J1" s="42" t="s">
        <v>267</v>
      </c>
    </row>
    <row r="2" spans="1:10" x14ac:dyDescent="0.3">
      <c r="A2" s="55" t="s">
        <v>19</v>
      </c>
      <c r="B2" s="56">
        <f>Entrate_Uscite!B3</f>
        <v>8515038778.1400003</v>
      </c>
      <c r="C2" s="56">
        <f>Entrate_Uscite!E3</f>
        <v>8506645715.2299995</v>
      </c>
      <c r="D2" s="56">
        <f>Entrate_Uscite!H3</f>
        <v>8676851759.2800007</v>
      </c>
      <c r="E2" s="56">
        <f>Entrate_Uscite!K3</f>
        <v>8812011137.6200008</v>
      </c>
      <c r="F2" s="56">
        <f>Entrate_Uscite!N3</f>
        <v>8723354746.7099991</v>
      </c>
      <c r="G2" s="56">
        <f>F2/F$21*100</f>
        <v>82.397622857905489</v>
      </c>
      <c r="H2" s="57">
        <f t="shared" ref="H2:H21" si="0">IF(E2&gt;0,F2/E2*100-100,"-")</f>
        <v>-1.0060857791192745</v>
      </c>
      <c r="I2" s="56">
        <f>Entrate_Uscite!O3</f>
        <v>7869024999.8400002</v>
      </c>
      <c r="J2" s="58">
        <f>IF(F2&gt;0,I2/F2*100,"-")</f>
        <v>90.206408295017368</v>
      </c>
    </row>
    <row r="3" spans="1:10" x14ac:dyDescent="0.3">
      <c r="A3" s="55" t="s">
        <v>20</v>
      </c>
      <c r="B3" s="56">
        <f>Entrate_Uscite!B4</f>
        <v>473358472.91000003</v>
      </c>
      <c r="C3" s="56">
        <f>Entrate_Uscite!E4</f>
        <v>449453456.25</v>
      </c>
      <c r="D3" s="56">
        <f>Entrate_Uscite!H4</f>
        <v>600254332.69000006</v>
      </c>
      <c r="E3" s="56">
        <f>Entrate_Uscite!K4</f>
        <v>729608189.87</v>
      </c>
      <c r="F3" s="56">
        <f>Entrate_Uscite!N4</f>
        <v>1126252260.03</v>
      </c>
      <c r="G3" s="56">
        <f t="shared" ref="G3:G21" si="1">F3/F$21*100</f>
        <v>10.638167500847677</v>
      </c>
      <c r="H3" s="57">
        <f t="shared" si="0"/>
        <v>54.363982705659197</v>
      </c>
      <c r="I3" s="56">
        <f>Entrate_Uscite!O4</f>
        <v>868427324.88</v>
      </c>
      <c r="J3" s="58">
        <f t="shared" ref="J3:J21" si="2">IF(F3&gt;0,I3/F3*100,"-")</f>
        <v>77.107709853285243</v>
      </c>
    </row>
    <row r="4" spans="1:10" x14ac:dyDescent="0.3">
      <c r="A4" s="55" t="s">
        <v>21</v>
      </c>
      <c r="B4" s="56">
        <f>Entrate_Uscite!B5</f>
        <v>74826978.629999995</v>
      </c>
      <c r="C4" s="56">
        <f>Entrate_Uscite!E5</f>
        <v>99054540.769999996</v>
      </c>
      <c r="D4" s="56">
        <f>Entrate_Uscite!H5</f>
        <v>79511923.469999999</v>
      </c>
      <c r="E4" s="56">
        <f>Entrate_Uscite!K5</f>
        <v>132481643.65000001</v>
      </c>
      <c r="F4" s="56">
        <f>Entrate_Uscite!N5</f>
        <v>106949358.95999999</v>
      </c>
      <c r="G4" s="56">
        <f t="shared" si="1"/>
        <v>1.0102045830251725</v>
      </c>
      <c r="H4" s="57">
        <f t="shared" si="0"/>
        <v>-19.272318780595086</v>
      </c>
      <c r="I4" s="56">
        <f>Entrate_Uscite!O5</f>
        <v>80593398.099999994</v>
      </c>
      <c r="J4" s="58">
        <f t="shared" si="2"/>
        <v>75.356597630606316</v>
      </c>
    </row>
    <row r="5" spans="1:10" x14ac:dyDescent="0.3">
      <c r="A5" s="4" t="s">
        <v>30</v>
      </c>
      <c r="B5" s="43">
        <f>SUM(B2:B4)</f>
        <v>9063224229.6800003</v>
      </c>
      <c r="C5" s="43">
        <f>SUM(C2:C4)</f>
        <v>9055153712.25</v>
      </c>
      <c r="D5" s="43">
        <f>SUM(D2:D4)</f>
        <v>9356618015.4400005</v>
      </c>
      <c r="E5" s="43">
        <f>SUM(E2:E4)</f>
        <v>9674100971.1400013</v>
      </c>
      <c r="F5" s="43">
        <f>SUM(F2:F4)</f>
        <v>9956556365.6999989</v>
      </c>
      <c r="G5" s="43">
        <f t="shared" si="1"/>
        <v>94.045994941778332</v>
      </c>
      <c r="H5" s="44">
        <f t="shared" si="0"/>
        <v>2.9197069102609561</v>
      </c>
      <c r="I5" s="43">
        <f>SUM(I2:I4)</f>
        <v>8818045722.8199997</v>
      </c>
      <c r="J5" s="45">
        <f>IF(F5&gt;0,I5/F5*100,"-")</f>
        <v>88.565216716874815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201534947.94999999</v>
      </c>
      <c r="C7" s="56">
        <f>Entrate_Uscite!E7</f>
        <v>200773920.33000001</v>
      </c>
      <c r="D7" s="56">
        <f>Entrate_Uscite!H7</f>
        <v>208414565.02000001</v>
      </c>
      <c r="E7" s="56">
        <f>Entrate_Uscite!K7</f>
        <v>277535058.87</v>
      </c>
      <c r="F7" s="56">
        <f>Entrate_Uscite!N7</f>
        <v>414331640</v>
      </c>
      <c r="G7" s="56">
        <f t="shared" si="1"/>
        <v>3.9136253427837837</v>
      </c>
      <c r="H7" s="57">
        <f t="shared" si="0"/>
        <v>49.289838079187263</v>
      </c>
      <c r="I7" s="56">
        <f>Entrate_Uscite!O7</f>
        <v>87189012.540000007</v>
      </c>
      <c r="J7" s="58">
        <f t="shared" si="2"/>
        <v>21.043290958904322</v>
      </c>
    </row>
    <row r="8" spans="1:10" x14ac:dyDescent="0.3">
      <c r="A8" s="55" t="s">
        <v>24</v>
      </c>
      <c r="B8" s="56">
        <f>Entrate_Uscite!B8</f>
        <v>2552733</v>
      </c>
      <c r="C8" s="56">
        <f>Entrate_Uscite!E8</f>
        <v>139556.03</v>
      </c>
      <c r="D8" s="56">
        <f>Entrate_Uscite!H8</f>
        <v>142740.62</v>
      </c>
      <c r="E8" s="56">
        <f>Entrate_Uscite!K8</f>
        <v>534078.13</v>
      </c>
      <c r="F8" s="56">
        <f>Entrate_Uscite!N8</f>
        <v>20335403.23</v>
      </c>
      <c r="G8" s="56">
        <f t="shared" si="1"/>
        <v>0.19208079169781775</v>
      </c>
      <c r="H8" s="57">
        <f t="shared" si="0"/>
        <v>3707.5708567209072</v>
      </c>
      <c r="I8" s="56">
        <f>Entrate_Uscite!O8</f>
        <v>19574403.23</v>
      </c>
      <c r="J8" s="58">
        <f t="shared" si="2"/>
        <v>96.257758002667344</v>
      </c>
    </row>
    <row r="9" spans="1:10" x14ac:dyDescent="0.3">
      <c r="A9" s="55" t="s">
        <v>25</v>
      </c>
      <c r="B9" s="56">
        <f>Entrate_Uscite!B9</f>
        <v>1095976.92</v>
      </c>
      <c r="C9" s="56">
        <f>Entrate_Uscite!E9</f>
        <v>3969483.03</v>
      </c>
      <c r="D9" s="56">
        <f>Entrate_Uscite!H9</f>
        <v>2642721.02</v>
      </c>
      <c r="E9" s="56">
        <f>Entrate_Uscite!K9</f>
        <v>15088135.050000001</v>
      </c>
      <c r="F9" s="56">
        <f>Entrate_Uscite!N9</f>
        <v>1163898.95</v>
      </c>
      <c r="G9" s="56">
        <f t="shared" si="1"/>
        <v>1.0993764384393707E-2</v>
      </c>
      <c r="H9" s="57">
        <f t="shared" si="0"/>
        <v>-92.285998593311902</v>
      </c>
      <c r="I9" s="56">
        <f>Entrate_Uscite!O9</f>
        <v>1016743.64</v>
      </c>
      <c r="J9" s="58">
        <f t="shared" si="2"/>
        <v>87.356693637364316</v>
      </c>
    </row>
    <row r="10" spans="1:10" x14ac:dyDescent="0.3">
      <c r="A10" s="55" t="s">
        <v>26</v>
      </c>
      <c r="B10" s="56">
        <f>Entrate_Uscite!B10</f>
        <v>40415602.350000001</v>
      </c>
      <c r="C10" s="56">
        <f>Entrate_Uscite!E10</f>
        <v>37812142.350000001</v>
      </c>
      <c r="D10" s="56">
        <f>Entrate_Uscite!H10</f>
        <v>36689917.950000003</v>
      </c>
      <c r="E10" s="56">
        <f>Entrate_Uscite!K10</f>
        <v>18139834.789999999</v>
      </c>
      <c r="F10" s="56">
        <f>Entrate_Uscite!N10</f>
        <v>22620193.859999999</v>
      </c>
      <c r="G10" s="56">
        <f t="shared" si="1"/>
        <v>0.2136620895019703</v>
      </c>
      <c r="H10" s="57">
        <f t="shared" si="0"/>
        <v>24.699007029931181</v>
      </c>
      <c r="I10" s="56">
        <f>Entrate_Uscite!O10</f>
        <v>14420913.539999999</v>
      </c>
      <c r="J10" s="58">
        <f t="shared" si="2"/>
        <v>63.752387045192194</v>
      </c>
    </row>
    <row r="11" spans="1:10" x14ac:dyDescent="0.3">
      <c r="A11" s="4" t="s">
        <v>31</v>
      </c>
      <c r="B11" s="46">
        <f>SUM(B6:B10)</f>
        <v>245599260.21999997</v>
      </c>
      <c r="C11" s="46">
        <f>SUM(C6:C10)</f>
        <v>242695101.74000001</v>
      </c>
      <c r="D11" s="46">
        <f>SUM(D6:D10)</f>
        <v>247889944.61000001</v>
      </c>
      <c r="E11" s="46">
        <f>SUM(E6:E10)</f>
        <v>311297106.84000003</v>
      </c>
      <c r="F11" s="46">
        <f>SUM(F6:F10)</f>
        <v>458451136.04000002</v>
      </c>
      <c r="G11" s="46">
        <f t="shared" si="1"/>
        <v>4.330361988367966</v>
      </c>
      <c r="H11" s="44">
        <f t="shared" si="0"/>
        <v>47.271248581065009</v>
      </c>
      <c r="I11" s="46">
        <f>SUM(I6:I10)</f>
        <v>122201072.95000002</v>
      </c>
      <c r="J11" s="45">
        <f>IF(F11&gt;0,I11/F11*100,"-")</f>
        <v>26.655201251227332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179560.92</v>
      </c>
      <c r="D12" s="56">
        <f>Entrate_Uscite!H11</f>
        <v>380713.64</v>
      </c>
      <c r="E12" s="56">
        <f>Entrate_Uscite!K11</f>
        <v>553687.56999999995</v>
      </c>
      <c r="F12" s="56">
        <f>Entrate_Uscite!N11</f>
        <v>338181.16</v>
      </c>
      <c r="G12" s="56">
        <f t="shared" si="1"/>
        <v>3.1943357215683975E-3</v>
      </c>
      <c r="H12" s="57">
        <f t="shared" si="0"/>
        <v>-38.922024202204867</v>
      </c>
      <c r="I12" s="56">
        <f>Entrate_Uscite!O11</f>
        <v>311606.62</v>
      </c>
      <c r="J12" s="58">
        <f t="shared" si="2"/>
        <v>92.14192180309513</v>
      </c>
    </row>
    <row r="13" spans="1:10" x14ac:dyDescent="0.3">
      <c r="A13" s="55" t="s">
        <v>28</v>
      </c>
      <c r="B13" s="56">
        <f>Entrate_Uscite!B12</f>
        <v>11921436.109999999</v>
      </c>
      <c r="C13" s="56">
        <f>Entrate_Uscite!E12</f>
        <v>9767291.6799999997</v>
      </c>
      <c r="D13" s="56">
        <f>Entrate_Uscite!H12</f>
        <v>7059171.1500000004</v>
      </c>
      <c r="E13" s="56">
        <f>Entrate_Uscite!K12</f>
        <v>147998854.22999999</v>
      </c>
      <c r="F13" s="56">
        <f>Entrate_Uscite!N12</f>
        <v>43089770.560000002</v>
      </c>
      <c r="G13" s="56">
        <f t="shared" si="1"/>
        <v>0.40701023479248311</v>
      </c>
      <c r="H13" s="57">
        <f t="shared" si="0"/>
        <v>-70.885064763382786</v>
      </c>
      <c r="I13" s="56">
        <f>Entrate_Uscite!O12</f>
        <v>39829266.93</v>
      </c>
      <c r="J13" s="58">
        <f t="shared" si="2"/>
        <v>92.433230468331359</v>
      </c>
    </row>
    <row r="14" spans="1:10" x14ac:dyDescent="0.3">
      <c r="A14" s="55" t="s">
        <v>29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 t="shared" si="1"/>
        <v>0</v>
      </c>
      <c r="H14" s="57" t="str">
        <f t="shared" si="0"/>
        <v>-</v>
      </c>
      <c r="I14" s="56">
        <f>Entrate_Uscite!O13</f>
        <v>0</v>
      </c>
      <c r="J14" s="58" t="str">
        <f t="shared" si="2"/>
        <v>-</v>
      </c>
    </row>
    <row r="15" spans="1:10" x14ac:dyDescent="0.3">
      <c r="A15" s="4" t="s">
        <v>32</v>
      </c>
      <c r="B15" s="43">
        <f>SUM(B12:B14)</f>
        <v>11921436.109999999</v>
      </c>
      <c r="C15" s="43">
        <f>SUM(C12:C14)</f>
        <v>9946852.5999999996</v>
      </c>
      <c r="D15" s="43">
        <f>SUM(D12:D14)</f>
        <v>7439884.79</v>
      </c>
      <c r="E15" s="43">
        <f>SUM(E12:E14)</f>
        <v>148552541.79999998</v>
      </c>
      <c r="F15" s="43">
        <f>SUM(F12:F14)</f>
        <v>43427951.719999999</v>
      </c>
      <c r="G15" s="43">
        <f t="shared" si="1"/>
        <v>0.41020457051405151</v>
      </c>
      <c r="H15" s="44">
        <f t="shared" si="0"/>
        <v>-70.7659315729056</v>
      </c>
      <c r="I15" s="43">
        <f>SUM(I12:I14)</f>
        <v>40140873.549999997</v>
      </c>
      <c r="J15" s="45">
        <f t="shared" si="2"/>
        <v>92.430961996104926</v>
      </c>
    </row>
    <row r="16" spans="1:10" x14ac:dyDescent="0.3">
      <c r="A16" s="47" t="s">
        <v>343</v>
      </c>
      <c r="B16" s="48">
        <f>B5+B11+B15</f>
        <v>9320744926.0100002</v>
      </c>
      <c r="C16" s="48">
        <f t="shared" ref="C16:F16" si="3">C5+C11+C15</f>
        <v>9307795666.5900002</v>
      </c>
      <c r="D16" s="48">
        <f t="shared" si="3"/>
        <v>9611947844.8400021</v>
      </c>
      <c r="E16" s="48">
        <f t="shared" ref="E16" si="4">E5+E11+E15</f>
        <v>10133950619.780001</v>
      </c>
      <c r="F16" s="48">
        <f t="shared" si="3"/>
        <v>10458435453.459999</v>
      </c>
      <c r="G16" s="48">
        <f t="shared" si="1"/>
        <v>98.786561500660355</v>
      </c>
      <c r="H16" s="49">
        <f t="shared" si="0"/>
        <v>3.2019579121162423</v>
      </c>
      <c r="I16" s="48">
        <f t="shared" ref="I16" si="5">I5+I11+I15</f>
        <v>8980387669.3199997</v>
      </c>
      <c r="J16" s="50">
        <f t="shared" si="2"/>
        <v>85.86741018083147</v>
      </c>
    </row>
    <row r="17" spans="1:10" x14ac:dyDescent="0.3">
      <c r="A17" s="4" t="s">
        <v>33</v>
      </c>
      <c r="B17" s="43">
        <f>Entrate_Uscite!B17</f>
        <v>69549285.319999993</v>
      </c>
      <c r="C17" s="43">
        <f>Entrate_Uscite!E17</f>
        <v>58312818.210000001</v>
      </c>
      <c r="D17" s="43">
        <f>Entrate_Uscite!H17</f>
        <v>53432000</v>
      </c>
      <c r="E17" s="43">
        <f>Entrate_Uscite!K17</f>
        <v>157627575.68000001</v>
      </c>
      <c r="F17" s="43">
        <f>Entrate_Uscite!N17</f>
        <v>128465532.45</v>
      </c>
      <c r="G17" s="43">
        <f t="shared" si="1"/>
        <v>1.2134384993396414</v>
      </c>
      <c r="H17" s="44">
        <f t="shared" si="0"/>
        <v>-18.500597439373109</v>
      </c>
      <c r="I17" s="43">
        <f>Entrate_Uscite!O17</f>
        <v>128465532.45</v>
      </c>
      <c r="J17" s="45">
        <f t="shared" si="2"/>
        <v>100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2266765074.1999998</v>
      </c>
      <c r="C19" s="43">
        <f>Entrate_Uscite!E19</f>
        <v>2089836120.0799999</v>
      </c>
      <c r="D19" s="43">
        <f>Entrate_Uscite!H19</f>
        <v>1256632306.78</v>
      </c>
      <c r="E19" s="43">
        <f>Entrate_Uscite!K19</f>
        <v>1297550202.6400001</v>
      </c>
      <c r="F19" s="43">
        <f>Entrate_Uscite!N19</f>
        <v>1908291358.79</v>
      </c>
      <c r="G19" s="43"/>
      <c r="H19" s="44">
        <f t="shared" si="0"/>
        <v>47.068788159978993</v>
      </c>
      <c r="I19" s="43">
        <f>Entrate_Uscite!O19</f>
        <v>1895897766.3</v>
      </c>
      <c r="J19" s="45">
        <f t="shared" si="2"/>
        <v>99.350539820195038</v>
      </c>
    </row>
    <row r="20" spans="1:10" x14ac:dyDescent="0.3">
      <c r="A20" s="47" t="s">
        <v>36</v>
      </c>
      <c r="B20" s="48">
        <f>B5+B11+B15+B17+B18+B19</f>
        <v>11657059285.529999</v>
      </c>
      <c r="C20" s="48">
        <f>C5+C11+C15+C17+C18+C19</f>
        <v>11455944604.879999</v>
      </c>
      <c r="D20" s="48">
        <f>D5+D11+D15+D17+D18+D19</f>
        <v>10922012151.620003</v>
      </c>
      <c r="E20" s="48">
        <f>E5+E11+E15+E17+E18+E19</f>
        <v>11589128398.1</v>
      </c>
      <c r="F20" s="48">
        <f>F5+F11+F15+F17+F18+F19</f>
        <v>12495192344.700001</v>
      </c>
      <c r="G20" s="48"/>
      <c r="H20" s="49">
        <f t="shared" si="0"/>
        <v>7.8182233855355889</v>
      </c>
      <c r="I20" s="48">
        <f>I5+I11+I15+I17+I18+I19</f>
        <v>11004750968.07</v>
      </c>
      <c r="J20" s="50">
        <f t="shared" si="2"/>
        <v>88.071881284306983</v>
      </c>
    </row>
    <row r="21" spans="1:10" x14ac:dyDescent="0.3">
      <c r="A21" s="38" t="s">
        <v>37</v>
      </c>
      <c r="B21" s="51">
        <f>B20-B19</f>
        <v>9390294211.329998</v>
      </c>
      <c r="C21" s="51">
        <f>C20-C19</f>
        <v>9366108484.7999992</v>
      </c>
      <c r="D21" s="51">
        <f>D20-D19</f>
        <v>9665379844.8400021</v>
      </c>
      <c r="E21" s="51">
        <f>E20-E19</f>
        <v>10291578195.460001</v>
      </c>
      <c r="F21" s="51">
        <f>F20-F19</f>
        <v>10586900985.91</v>
      </c>
      <c r="G21" s="51">
        <f t="shared" si="1"/>
        <v>100</v>
      </c>
      <c r="H21" s="52">
        <f t="shared" si="0"/>
        <v>2.8695578544044622</v>
      </c>
      <c r="I21" s="51">
        <f>I20-I19</f>
        <v>9108853201.7700005</v>
      </c>
      <c r="J21" s="53">
        <f t="shared" si="2"/>
        <v>86.038900466651029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opLeftCell="A1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6" width="15.10937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334</v>
      </c>
    </row>
    <row r="2" spans="1:10" x14ac:dyDescent="0.3">
      <c r="A2" s="59" t="s">
        <v>268</v>
      </c>
      <c r="B2" s="56">
        <f>Entrate_Uscite!B23</f>
        <v>160078096.62</v>
      </c>
      <c r="C2" s="56">
        <f>Entrate_Uscite!E23</f>
        <v>156769680.75</v>
      </c>
      <c r="D2" s="56">
        <f>Entrate_Uscite!H23</f>
        <v>161020479.78</v>
      </c>
      <c r="E2" s="56">
        <f>Entrate_Uscite!K23</f>
        <v>162950193.31999999</v>
      </c>
      <c r="F2" s="56">
        <f>Entrate_Uscite!N23</f>
        <v>168372257.27000001</v>
      </c>
      <c r="G2" s="56">
        <f>F2/F$31*100</f>
        <v>1.6316600340856864</v>
      </c>
      <c r="H2" s="57">
        <f>IF(E2&gt;0,F2/E2*100-100,"-")</f>
        <v>3.327436340840805</v>
      </c>
      <c r="I2" s="56">
        <f>Entrate_Uscite!O23</f>
        <v>156977006.56999999</v>
      </c>
      <c r="J2" s="58">
        <f>IF(F2&gt;0,I2/F2*100,"-")</f>
        <v>93.232109086874857</v>
      </c>
    </row>
    <row r="3" spans="1:10" x14ac:dyDescent="0.3">
      <c r="A3" s="59" t="s">
        <v>269</v>
      </c>
      <c r="B3" s="56">
        <f>Entrate_Uscite!B24</f>
        <v>17734813.539999999</v>
      </c>
      <c r="C3" s="56">
        <f>Entrate_Uscite!E24</f>
        <v>14630683.869999999</v>
      </c>
      <c r="D3" s="56">
        <f>Entrate_Uscite!H24</f>
        <v>14367213.24</v>
      </c>
      <c r="E3" s="56">
        <f>Entrate_Uscite!K24</f>
        <v>15310249.65</v>
      </c>
      <c r="F3" s="56">
        <f>Entrate_Uscite!N24</f>
        <v>14307770.4</v>
      </c>
      <c r="G3" s="56">
        <f t="shared" ref="G3:G31" si="0">F3/F$31*100</f>
        <v>0.13865358531790489</v>
      </c>
      <c r="H3" s="57">
        <f t="shared" ref="H3:H31" si="1">IF(E3&gt;0,F3/E3*100-100,"-")</f>
        <v>-6.5477655356194617</v>
      </c>
      <c r="I3" s="56">
        <f>Entrate_Uscite!O24</f>
        <v>12061320.210000001</v>
      </c>
      <c r="J3" s="58">
        <f>IF(F3&gt;0,I3/F3*100,"-")</f>
        <v>84.299089744968242</v>
      </c>
    </row>
    <row r="4" spans="1:10" x14ac:dyDescent="0.3">
      <c r="A4" s="59" t="s">
        <v>270</v>
      </c>
      <c r="B4" s="56">
        <f>Entrate_Uscite!B25</f>
        <v>397680693.81999999</v>
      </c>
      <c r="C4" s="56">
        <f>Entrate_Uscite!E25</f>
        <v>416610708.77999997</v>
      </c>
      <c r="D4" s="56">
        <f>Entrate_Uscite!H25</f>
        <v>687558145.60000002</v>
      </c>
      <c r="E4" s="56">
        <f>Entrate_Uscite!K25</f>
        <v>723934209.29999995</v>
      </c>
      <c r="F4" s="56">
        <f>Entrate_Uscite!N25</f>
        <v>738874807.88999999</v>
      </c>
      <c r="G4" s="56">
        <f t="shared" si="0"/>
        <v>7.1602799283826002</v>
      </c>
      <c r="H4" s="57">
        <f t="shared" si="1"/>
        <v>2.0638061301795148</v>
      </c>
      <c r="I4" s="56">
        <f>Entrate_Uscite!O25</f>
        <v>563207329.95000005</v>
      </c>
      <c r="J4" s="58">
        <f t="shared" ref="J4:J9" si="2">IF(F4&gt;0,I4/F4*100,"-")</f>
        <v>76.22500103344268</v>
      </c>
    </row>
    <row r="5" spans="1:10" x14ac:dyDescent="0.3">
      <c r="A5" s="59" t="s">
        <v>271</v>
      </c>
      <c r="B5" s="56">
        <f>Entrate_Uscite!B26</f>
        <v>8050119449.96</v>
      </c>
      <c r="C5" s="56">
        <f>Entrate_Uscite!E26</f>
        <v>7974065390.1999998</v>
      </c>
      <c r="D5" s="56">
        <f>Entrate_Uscite!H26</f>
        <v>7868708986.2399998</v>
      </c>
      <c r="E5" s="56">
        <f>Entrate_Uscite!K26</f>
        <v>8106335628.6599998</v>
      </c>
      <c r="F5" s="56">
        <f>Entrate_Uscite!N26</f>
        <v>8478887459.75</v>
      </c>
      <c r="G5" s="56">
        <f t="shared" si="0"/>
        <v>82.16711010412638</v>
      </c>
      <c r="H5" s="57">
        <f t="shared" si="1"/>
        <v>4.5958105876203916</v>
      </c>
      <c r="I5" s="56">
        <f>Entrate_Uscite!O26</f>
        <v>7527346395.3999996</v>
      </c>
      <c r="J5" s="58">
        <f t="shared" si="2"/>
        <v>88.777524541196627</v>
      </c>
    </row>
    <row r="6" spans="1:10" x14ac:dyDescent="0.3">
      <c r="A6" s="59" t="s">
        <v>272</v>
      </c>
      <c r="B6" s="56">
        <f>Entrate_Uscite!B29</f>
        <v>64166250.43</v>
      </c>
      <c r="C6" s="56">
        <f>Entrate_Uscite!E29</f>
        <v>60373098.899999999</v>
      </c>
      <c r="D6" s="56">
        <f>Entrate_Uscite!H29</f>
        <v>55816552.829999998</v>
      </c>
      <c r="E6" s="56">
        <f>Entrate_Uscite!K29</f>
        <v>51878141.979999997</v>
      </c>
      <c r="F6" s="56">
        <f>Entrate_Uscite!N29</f>
        <v>48839972.979999997</v>
      </c>
      <c r="G6" s="56">
        <f t="shared" si="0"/>
        <v>0.47329787739021861</v>
      </c>
      <c r="H6" s="57">
        <f t="shared" si="1"/>
        <v>-5.8563566158002942</v>
      </c>
      <c r="I6" s="56">
        <f>Entrate_Uscite!O29</f>
        <v>48331247.210000001</v>
      </c>
      <c r="J6" s="58">
        <f t="shared" si="2"/>
        <v>98.958382368048575</v>
      </c>
    </row>
    <row r="7" spans="1:10" x14ac:dyDescent="0.3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274</v>
      </c>
      <c r="B8" s="56">
        <f>Entrate_Uscite!B31</f>
        <v>55208024.670000002</v>
      </c>
      <c r="C8" s="56">
        <f>Entrate_Uscite!E31</f>
        <v>21213180.109999999</v>
      </c>
      <c r="D8" s="56">
        <f>Entrate_Uscite!H31</f>
        <v>21233695.84</v>
      </c>
      <c r="E8" s="56">
        <f>Entrate_Uscite!K31</f>
        <v>25990023.960000001</v>
      </c>
      <c r="F8" s="56">
        <f>Entrate_Uscite!N31</f>
        <v>19770122.760000002</v>
      </c>
      <c r="G8" s="56">
        <f t="shared" si="0"/>
        <v>0.1915880899828469</v>
      </c>
      <c r="H8" s="57">
        <f t="shared" si="1"/>
        <v>-23.931879437944161</v>
      </c>
      <c r="I8" s="56">
        <f>Entrate_Uscite!O31</f>
        <v>1809862.42</v>
      </c>
      <c r="J8" s="58">
        <f t="shared" si="2"/>
        <v>9.1545330394296442</v>
      </c>
    </row>
    <row r="9" spans="1:10" x14ac:dyDescent="0.3">
      <c r="A9" s="59" t="s">
        <v>275</v>
      </c>
      <c r="B9" s="56">
        <f>Entrate_Uscite!B32</f>
        <v>22142276.530000001</v>
      </c>
      <c r="C9" s="56">
        <f>Entrate_Uscite!E32</f>
        <v>2698488.01</v>
      </c>
      <c r="D9" s="56">
        <f>Entrate_Uscite!H32</f>
        <v>2511854.11</v>
      </c>
      <c r="E9" s="56">
        <f>Entrate_Uscite!K32</f>
        <v>1790882.32</v>
      </c>
      <c r="F9" s="56">
        <f>Entrate_Uscite!N32</f>
        <v>2292785.92</v>
      </c>
      <c r="G9" s="56">
        <f t="shared" si="0"/>
        <v>2.2218904782984987E-2</v>
      </c>
      <c r="H9" s="57">
        <f t="shared" si="1"/>
        <v>28.025493043004644</v>
      </c>
      <c r="I9" s="56">
        <f>Entrate_Uscite!O32</f>
        <v>1682074.07</v>
      </c>
      <c r="J9" s="58">
        <f t="shared" si="2"/>
        <v>73.363764812372892</v>
      </c>
    </row>
    <row r="10" spans="1:10" x14ac:dyDescent="0.3">
      <c r="A10" s="4" t="s">
        <v>280</v>
      </c>
      <c r="B10" s="43">
        <f>SUM(B2:B9)</f>
        <v>8767129605.5700016</v>
      </c>
      <c r="C10" s="43">
        <f>SUM(C2:C9)</f>
        <v>8646361230.6200008</v>
      </c>
      <c r="D10" s="43">
        <f>SUM(D2:D9)</f>
        <v>8811216927.6400013</v>
      </c>
      <c r="E10" s="43">
        <f>SUM(E2:E9)</f>
        <v>9088189329.1899986</v>
      </c>
      <c r="F10" s="43">
        <f>SUM(F2:F9)</f>
        <v>9471345176.9699993</v>
      </c>
      <c r="G10" s="43">
        <f t="shared" si="0"/>
        <v>91.784808524068623</v>
      </c>
      <c r="H10" s="44">
        <f t="shared" si="1"/>
        <v>4.2159756349854831</v>
      </c>
      <c r="I10" s="43">
        <f>SUM(I2:I9)</f>
        <v>8311415235.829999</v>
      </c>
      <c r="J10" s="45">
        <f t="shared" ref="J10:J17" si="3">IF(F10&gt;0,I10/F10*100,"-")</f>
        <v>87.75327137310525</v>
      </c>
    </row>
    <row r="11" spans="1:10" x14ac:dyDescent="0.3">
      <c r="A11" s="59" t="s">
        <v>276</v>
      </c>
      <c r="B11" s="56">
        <f>Entrate_Uscite!B34</f>
        <v>13835717.199999999</v>
      </c>
      <c r="C11" s="56">
        <f>Entrate_Uscite!E34</f>
        <v>28024824.59</v>
      </c>
      <c r="D11" s="56">
        <f>Entrate_Uscite!H34</f>
        <v>29001197.390000001</v>
      </c>
      <c r="E11" s="56">
        <f>Entrate_Uscite!K34</f>
        <v>30976352.25</v>
      </c>
      <c r="F11" s="56">
        <f>Entrate_Uscite!N34</f>
        <v>53265401.469999999</v>
      </c>
      <c r="G11" s="56">
        <f t="shared" si="0"/>
        <v>0.51618377152691108</v>
      </c>
      <c r="H11" s="57">
        <f t="shared" si="1"/>
        <v>71.955048290103292</v>
      </c>
      <c r="I11" s="56">
        <f>Entrate_Uscite!O34</f>
        <v>37411897.859999999</v>
      </c>
      <c r="J11" s="58">
        <f t="shared" si="3"/>
        <v>70.236770638199417</v>
      </c>
    </row>
    <row r="12" spans="1:10" x14ac:dyDescent="0.3">
      <c r="A12" s="59" t="s">
        <v>277</v>
      </c>
      <c r="B12" s="56">
        <f>Entrate_Uscite!B35</f>
        <v>505324598.99000001</v>
      </c>
      <c r="C12" s="56">
        <f>Entrate_Uscite!E35</f>
        <v>349490148.83999997</v>
      </c>
      <c r="D12" s="56">
        <f>Entrate_Uscite!H35</f>
        <v>380714854.44</v>
      </c>
      <c r="E12" s="56">
        <f>Entrate_Uscite!K35</f>
        <v>520804562.76999998</v>
      </c>
      <c r="F12" s="56">
        <f>Entrate_Uscite!N35</f>
        <v>655030709.13999999</v>
      </c>
      <c r="G12" s="56">
        <f t="shared" si="0"/>
        <v>6.3477644508183273</v>
      </c>
      <c r="H12" s="57">
        <f t="shared" si="1"/>
        <v>25.772843781569861</v>
      </c>
      <c r="I12" s="56">
        <f>Entrate_Uscite!O35</f>
        <v>264158497.84999999</v>
      </c>
      <c r="J12" s="58">
        <f t="shared" si="3"/>
        <v>40.327650927514192</v>
      </c>
    </row>
    <row r="13" spans="1:10" x14ac:dyDescent="0.3">
      <c r="A13" s="59" t="s">
        <v>278</v>
      </c>
      <c r="B13" s="56">
        <f>Entrate_Uscite!B36</f>
        <v>0</v>
      </c>
      <c r="C13" s="56">
        <f>Entrate_Uscite!E36</f>
        <v>61025000</v>
      </c>
      <c r="D13" s="56">
        <f>Entrate_Uscite!H36</f>
        <v>1000000</v>
      </c>
      <c r="E13" s="56">
        <f>Entrate_Uscite!K36</f>
        <v>24031270.219999999</v>
      </c>
      <c r="F13" s="56">
        <f>Entrate_Uscite!N36</f>
        <v>9903338</v>
      </c>
      <c r="G13" s="56">
        <f t="shared" si="0"/>
        <v>9.5971159861151345E-2</v>
      </c>
      <c r="H13" s="57">
        <f t="shared" si="1"/>
        <v>-58.789785519710243</v>
      </c>
      <c r="I13" s="56">
        <f>Entrate_Uscite!O36</f>
        <v>8820000</v>
      </c>
      <c r="J13" s="58">
        <f t="shared" si="3"/>
        <v>89.060880280971929</v>
      </c>
    </row>
    <row r="14" spans="1:10" x14ac:dyDescent="0.3">
      <c r="A14" s="59" t="s">
        <v>279</v>
      </c>
      <c r="B14" s="56">
        <f>Entrate_Uscite!B37</f>
        <v>0</v>
      </c>
      <c r="C14" s="56">
        <f>Entrate_Uscite!E37</f>
        <v>0</v>
      </c>
      <c r="D14" s="56">
        <f>Entrate_Uscite!H37</f>
        <v>29559.65</v>
      </c>
      <c r="E14" s="56">
        <f>Entrate_Uscite!K37</f>
        <v>5007.57</v>
      </c>
      <c r="F14" s="56">
        <f>Entrate_Uscite!N37</f>
        <v>0</v>
      </c>
      <c r="G14" s="56">
        <f t="shared" si="0"/>
        <v>0</v>
      </c>
      <c r="H14" s="109">
        <f t="shared" si="1"/>
        <v>-100</v>
      </c>
      <c r="I14" s="56">
        <f>Entrate_Uscite!O37</f>
        <v>0</v>
      </c>
      <c r="J14" s="58" t="str">
        <f t="shared" si="3"/>
        <v>-</v>
      </c>
    </row>
    <row r="15" spans="1:10" x14ac:dyDescent="0.3">
      <c r="A15" s="4" t="s">
        <v>281</v>
      </c>
      <c r="B15" s="46">
        <f>SUM(B11:B14)</f>
        <v>519160316.19</v>
      </c>
      <c r="C15" s="46">
        <f>SUM(C11:C14)</f>
        <v>438539973.42999995</v>
      </c>
      <c r="D15" s="46">
        <f>SUM(D11:D14)</f>
        <v>410745611.47999996</v>
      </c>
      <c r="E15" s="46">
        <f>SUM(E11:E14)</f>
        <v>575817192.81000006</v>
      </c>
      <c r="F15" s="46">
        <f>SUM(F11:F14)</f>
        <v>718199448.61000001</v>
      </c>
      <c r="G15" s="46">
        <f t="shared" si="0"/>
        <v>6.9599193822063903</v>
      </c>
      <c r="H15" s="44">
        <f t="shared" si="1"/>
        <v>24.726989325409264</v>
      </c>
      <c r="I15" s="46">
        <f>SUM(I11:I14)</f>
        <v>310390395.70999998</v>
      </c>
      <c r="J15" s="45">
        <f t="shared" si="3"/>
        <v>43.217854916308859</v>
      </c>
    </row>
    <row r="16" spans="1:10" x14ac:dyDescent="0.3">
      <c r="A16" s="59" t="s">
        <v>282</v>
      </c>
      <c r="B16" s="56">
        <f>Entrate_Uscite!B38</f>
        <v>0</v>
      </c>
      <c r="C16" s="56">
        <f>Entrate_Uscite!E38</f>
        <v>484000</v>
      </c>
      <c r="D16" s="56">
        <f>Entrate_Uscite!H38</f>
        <v>259038</v>
      </c>
      <c r="E16" s="56">
        <f>Entrate_Uscite!K38</f>
        <v>200000</v>
      </c>
      <c r="F16" s="56">
        <f>Entrate_Uscite!N38</f>
        <v>1750000</v>
      </c>
      <c r="G16" s="56">
        <f t="shared" si="0"/>
        <v>1.6958880910357181E-2</v>
      </c>
      <c r="H16" s="57">
        <f t="shared" si="1"/>
        <v>775</v>
      </c>
      <c r="I16" s="56">
        <f>Entrate_Uscite!O38</f>
        <v>1727393.48</v>
      </c>
      <c r="J16" s="58">
        <f t="shared" si="3"/>
        <v>98.708198857142861</v>
      </c>
    </row>
    <row r="17" spans="1:10" x14ac:dyDescent="0.3">
      <c r="A17" s="59" t="s">
        <v>283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122287149.38</v>
      </c>
      <c r="F17" s="56">
        <f>Entrate_Uscite!N39</f>
        <v>35000000</v>
      </c>
      <c r="G17" s="56">
        <f t="shared" si="0"/>
        <v>0.33917761820714359</v>
      </c>
      <c r="H17" s="57">
        <f t="shared" si="1"/>
        <v>-71.378840558921198</v>
      </c>
      <c r="I17" s="56">
        <f>Entrate_Uscite!O39</f>
        <v>35000000</v>
      </c>
      <c r="J17" s="58">
        <f t="shared" si="3"/>
        <v>100</v>
      </c>
    </row>
    <row r="18" spans="1:10" x14ac:dyDescent="0.3">
      <c r="A18" s="59" t="s">
        <v>284</v>
      </c>
      <c r="B18" s="56">
        <f>Entrate_Uscite!B40</f>
        <v>869578.71</v>
      </c>
      <c r="C18" s="56">
        <f>Entrate_Uscite!E40</f>
        <v>5436667.4400000004</v>
      </c>
      <c r="D18" s="56">
        <f>Entrate_Uscite!H40</f>
        <v>5135999.99</v>
      </c>
      <c r="E18" s="56">
        <f>Entrate_Uscite!K40</f>
        <v>23234376.760000002</v>
      </c>
      <c r="F18" s="56">
        <f>Entrate_Uscite!N40</f>
        <v>5067479.78</v>
      </c>
      <c r="G18" s="56">
        <f t="shared" si="0"/>
        <v>4.9107877774093152E-2</v>
      </c>
      <c r="H18" s="57">
        <f t="shared" si="1"/>
        <v>-78.189732256024584</v>
      </c>
      <c r="I18" s="56">
        <f>Entrate_Uscite!O40</f>
        <v>5067479.78</v>
      </c>
      <c r="J18" s="58">
        <f t="shared" ref="J18:J26" si="4">IF(F18&gt;0,I18/F18*100,"-")</f>
        <v>100</v>
      </c>
    </row>
    <row r="19" spans="1:10" x14ac:dyDescent="0.3">
      <c r="A19" s="59" t="s">
        <v>285</v>
      </c>
      <c r="B19" s="56">
        <f>Entrate_Uscite!B41</f>
        <v>0</v>
      </c>
      <c r="C19" s="56">
        <f>Entrate_Uscite!E41</f>
        <v>0</v>
      </c>
      <c r="D19" s="56">
        <f>Entrate_Uscite!H41</f>
        <v>0</v>
      </c>
      <c r="E19" s="56">
        <f>Entrate_Uscite!K41</f>
        <v>0</v>
      </c>
      <c r="F19" s="56">
        <f>Entrate_Uscite!N41</f>
        <v>0</v>
      </c>
      <c r="G19" s="56">
        <f t="shared" si="0"/>
        <v>0</v>
      </c>
      <c r="H19" s="57" t="str">
        <f t="shared" si="1"/>
        <v>-</v>
      </c>
      <c r="I19" s="56">
        <f>Entrate_Uscite!O41</f>
        <v>0</v>
      </c>
      <c r="J19" s="58" t="str">
        <f t="shared" si="4"/>
        <v>-</v>
      </c>
    </row>
    <row r="20" spans="1:10" x14ac:dyDescent="0.3">
      <c r="A20" s="4" t="s">
        <v>286</v>
      </c>
      <c r="B20" s="43">
        <f>SUM(B16:B19)</f>
        <v>869578.71</v>
      </c>
      <c r="C20" s="43">
        <f>SUM(C16:C19)</f>
        <v>5920667.4400000004</v>
      </c>
      <c r="D20" s="43">
        <f>SUM(D16:D19)</f>
        <v>5395037.9900000002</v>
      </c>
      <c r="E20" s="43">
        <f>SUM(E16:E19)</f>
        <v>145721526.13999999</v>
      </c>
      <c r="F20" s="43">
        <f>SUM(F16:F19)</f>
        <v>41817479.780000001</v>
      </c>
      <c r="G20" s="43">
        <f t="shared" si="0"/>
        <v>0.40524437689159398</v>
      </c>
      <c r="H20" s="44">
        <f t="shared" si="1"/>
        <v>-71.303155485878989</v>
      </c>
      <c r="I20" s="43">
        <f>SUM(I16:I19)</f>
        <v>41794873.259999998</v>
      </c>
      <c r="J20" s="40">
        <f t="shared" si="4"/>
        <v>99.945940022882922</v>
      </c>
    </row>
    <row r="21" spans="1:10" x14ac:dyDescent="0.3">
      <c r="A21" s="47" t="s">
        <v>344</v>
      </c>
      <c r="B21" s="48">
        <f>B10+B15+B20</f>
        <v>9287159500.4700012</v>
      </c>
      <c r="C21" s="48">
        <f>C10+C15+C20</f>
        <v>9090821871.4900017</v>
      </c>
      <c r="D21" s="48">
        <f>D10+D15+D20</f>
        <v>9227357577.1100006</v>
      </c>
      <c r="E21" s="48">
        <f>E10+E15+E20</f>
        <v>9809728048.1399975</v>
      </c>
      <c r="F21" s="48">
        <f>F10+F15+F20</f>
        <v>10231362105.360001</v>
      </c>
      <c r="G21" s="48">
        <f>F21/F$31*100</f>
        <v>99.149972283166605</v>
      </c>
      <c r="H21" s="49">
        <f t="shared" si="1"/>
        <v>4.2981217741295836</v>
      </c>
      <c r="I21" s="48">
        <f>I10+I15+I20</f>
        <v>8663600504.7999992</v>
      </c>
      <c r="J21" s="50">
        <f>IF(F21&gt;0,I21/F21*100,"-")</f>
        <v>84.676902406389431</v>
      </c>
    </row>
    <row r="22" spans="1:10" x14ac:dyDescent="0.3">
      <c r="A22" s="59" t="s">
        <v>287</v>
      </c>
      <c r="B22" s="60">
        <f>Entrate_Uscite!B42</f>
        <v>46164496.009999998</v>
      </c>
      <c r="C22" s="60">
        <f>Entrate_Uscite!E42</f>
        <v>34315624.170000002</v>
      </c>
      <c r="D22" s="60">
        <f>Entrate_Uscite!H42</f>
        <v>28333674.609999999</v>
      </c>
      <c r="E22" s="60">
        <f>Entrate_Uscite!K42</f>
        <v>28440840.059999999</v>
      </c>
      <c r="F22" s="60">
        <f>Entrate_Uscite!N42</f>
        <v>28554123.030000001</v>
      </c>
      <c r="G22" s="60">
        <f t="shared" si="0"/>
        <v>0.27671198398026137</v>
      </c>
      <c r="H22" s="61">
        <f t="shared" si="1"/>
        <v>0.39831091402720631</v>
      </c>
      <c r="I22" s="60">
        <f>Entrate_Uscite!O42</f>
        <v>28554123.030000001</v>
      </c>
      <c r="J22" s="58">
        <f t="shared" si="4"/>
        <v>100</v>
      </c>
    </row>
    <row r="23" spans="1:10" x14ac:dyDescent="0.3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82287149.379999995</v>
      </c>
      <c r="F23" s="60">
        <f>Entrate_Uscite!N43</f>
        <v>0</v>
      </c>
      <c r="G23" s="60">
        <f t="shared" si="0"/>
        <v>0</v>
      </c>
      <c r="H23" s="61">
        <f t="shared" si="1"/>
        <v>-100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289</v>
      </c>
      <c r="B24" s="60">
        <f>Entrate_Uscite!B44</f>
        <v>69025378.780000001</v>
      </c>
      <c r="C24" s="60">
        <f>Entrate_Uscite!E44</f>
        <v>74524041.569999993</v>
      </c>
      <c r="D24" s="60">
        <f>Entrate_Uscite!H44</f>
        <v>85004721.599999994</v>
      </c>
      <c r="E24" s="60">
        <f>Entrate_Uscite!K44</f>
        <v>69597001.409999996</v>
      </c>
      <c r="F24" s="60">
        <f>Entrate_Uscite!N44</f>
        <v>59160892.619999997</v>
      </c>
      <c r="G24" s="60">
        <f t="shared" si="0"/>
        <v>0.57331573285314796</v>
      </c>
      <c r="H24" s="61">
        <f t="shared" si="1"/>
        <v>-14.995055215842228</v>
      </c>
      <c r="I24" s="60">
        <f>Entrate_Uscite!O44</f>
        <v>59160892.619999997</v>
      </c>
      <c r="J24" s="58">
        <f t="shared" si="4"/>
        <v>100</v>
      </c>
    </row>
    <row r="25" spans="1:10" x14ac:dyDescent="0.3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115189874.78999999</v>
      </c>
      <c r="C27" s="43">
        <f>SUM(C22:C26)</f>
        <v>108839665.73999999</v>
      </c>
      <c r="D27" s="43">
        <f>SUM(D22:D26)</f>
        <v>113338396.20999999</v>
      </c>
      <c r="E27" s="43">
        <f>SUM(E22:E26)</f>
        <v>180324990.84999999</v>
      </c>
      <c r="F27" s="43">
        <f>SUM(F22:F26)</f>
        <v>87715015.650000006</v>
      </c>
      <c r="G27" s="43">
        <f t="shared" si="0"/>
        <v>0.85002771683340939</v>
      </c>
      <c r="H27" s="44">
        <f t="shared" si="1"/>
        <v>-51.357260445966631</v>
      </c>
      <c r="I27" s="43">
        <f>SUM(I22:I26)</f>
        <v>87715015.650000006</v>
      </c>
      <c r="J27" s="45">
        <f>IF(F27&gt;0,I27/F27*100,"-")</f>
        <v>100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2267221382.6900001</v>
      </c>
      <c r="C29" s="43">
        <f>Entrate_Uscite!E55</f>
        <v>2800235037.8400002</v>
      </c>
      <c r="D29" s="43">
        <f>Entrate_Uscite!H55</f>
        <v>1257072945.95</v>
      </c>
      <c r="E29" s="43">
        <f>Entrate_Uscite!K55</f>
        <v>1297550642.6399999</v>
      </c>
      <c r="F29" s="43">
        <f>Entrate_Uscite!N55</f>
        <v>1908291358.79</v>
      </c>
      <c r="G29" s="43"/>
      <c r="H29" s="44">
        <f t="shared" si="1"/>
        <v>47.068738288887545</v>
      </c>
      <c r="I29" s="43">
        <f>Entrate_Uscite!O55</f>
        <v>1169168250.9300001</v>
      </c>
      <c r="J29" s="45">
        <f>IF(F29&gt;0,I29/F29*100,"-")</f>
        <v>61.267806173546823</v>
      </c>
    </row>
    <row r="30" spans="1:10" x14ac:dyDescent="0.3">
      <c r="A30" s="47" t="s">
        <v>68</v>
      </c>
      <c r="B30" s="48">
        <f>B10+B15+B20+B27+B28+B29</f>
        <v>11669570757.950003</v>
      </c>
      <c r="C30" s="48">
        <f>C10+C15+C20+C27+C28+C29</f>
        <v>11999896575.070002</v>
      </c>
      <c r="D30" s="48">
        <f>D10+D15+D20+D27+D28+D29</f>
        <v>10597768919.27</v>
      </c>
      <c r="E30" s="48">
        <f>E10+E15+E20+E27+E28+E29</f>
        <v>11287603681.629997</v>
      </c>
      <c r="F30" s="48">
        <f>F10+F15+F20+F27+F28+F29</f>
        <v>12227368479.799999</v>
      </c>
      <c r="G30" s="48"/>
      <c r="H30" s="49">
        <f t="shared" si="1"/>
        <v>8.3256360222800936</v>
      </c>
      <c r="I30" s="48">
        <f>I10+I15+I20+I27+I28+I29</f>
        <v>9920483771.3799992</v>
      </c>
      <c r="J30" s="50">
        <f>IF(F30&gt;0,I30/F30*100,"-")</f>
        <v>81.133432657803297</v>
      </c>
    </row>
    <row r="31" spans="1:10" x14ac:dyDescent="0.3">
      <c r="A31" s="38" t="s">
        <v>69</v>
      </c>
      <c r="B31" s="51">
        <f>B30-B29</f>
        <v>9402349375.2600021</v>
      </c>
      <c r="C31" s="51">
        <f>C30-C29</f>
        <v>9199661537.2300014</v>
      </c>
      <c r="D31" s="51">
        <f>D30-D29</f>
        <v>9340695973.3199997</v>
      </c>
      <c r="E31" s="51">
        <f>E30-E29</f>
        <v>9990053038.9899979</v>
      </c>
      <c r="F31" s="51">
        <f>F30-F29</f>
        <v>10319077121.009998</v>
      </c>
      <c r="G31" s="51">
        <f t="shared" si="0"/>
        <v>100</v>
      </c>
      <c r="H31" s="52">
        <f t="shared" si="1"/>
        <v>3.2935168685877585</v>
      </c>
      <c r="I31" s="51">
        <f>I30-I29</f>
        <v>8751315520.4499989</v>
      </c>
      <c r="J31" s="53">
        <f>IF(F31&gt;0,I31/F31*100,"-")</f>
        <v>84.807152983012585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G3" sqref="G3:G6"/>
    </sheetView>
  </sheetViews>
  <sheetFormatPr defaultRowHeight="14.4" x14ac:dyDescent="0.3"/>
  <cols>
    <col min="1" max="1" width="50.6640625" bestFit="1" customWidth="1"/>
    <col min="2" max="7" width="12.5546875" bestFit="1" customWidth="1"/>
    <col min="8" max="8" width="12.3320312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296094624.1099987</v>
      </c>
      <c r="C2" s="64">
        <f>Entrate_Uscite!E58</f>
        <v>408792481.62999916</v>
      </c>
      <c r="D2" s="64">
        <f>Entrate_Uscite!H58</f>
        <v>545401087.79999924</v>
      </c>
      <c r="E2" s="64">
        <f>Entrate_Uscite!K58</f>
        <v>585911641.95000267</v>
      </c>
      <c r="F2" s="64">
        <f>Entrate_Uscite!N58</f>
        <v>485211188.72999954</v>
      </c>
      <c r="G2" s="64">
        <f>F2-E2</f>
        <v>-100700453.22000313</v>
      </c>
      <c r="H2" s="64">
        <f>Entrate_Uscite!O58</f>
        <v>506630486.99000072</v>
      </c>
    </row>
    <row r="3" spans="1:8" x14ac:dyDescent="0.3">
      <c r="A3" s="62" t="s">
        <v>71</v>
      </c>
      <c r="B3" s="64">
        <f>Entrate_Uscite!B59</f>
        <v>-273561055.97000003</v>
      </c>
      <c r="C3" s="64">
        <f>Entrate_Uscite!E59</f>
        <v>-195844871.68999994</v>
      </c>
      <c r="D3" s="64">
        <f>Entrate_Uscite!H59</f>
        <v>-162855666.86999995</v>
      </c>
      <c r="E3" s="64">
        <f>Entrate_Uscite!K59</f>
        <v>-264520085.97000003</v>
      </c>
      <c r="F3" s="64">
        <f>Entrate_Uscite!N59</f>
        <v>-259748312.56999999</v>
      </c>
      <c r="G3" s="64">
        <f t="shared" ref="G3:G6" si="0">F3-E3</f>
        <v>4771773.4000000358</v>
      </c>
      <c r="H3" s="64">
        <f>Entrate_Uscite!O59</f>
        <v>-188189322.75999996</v>
      </c>
    </row>
    <row r="4" spans="1:8" x14ac:dyDescent="0.3">
      <c r="A4" s="62" t="s">
        <v>299</v>
      </c>
      <c r="B4" s="65">
        <f>Entrate_Uscite!B16-Entrate_Uscite!B52</f>
        <v>11051857.399999999</v>
      </c>
      <c r="C4" s="65">
        <f>Entrate_Uscite!E16-Entrate_Uscite!E52</f>
        <v>4026185.1599999992</v>
      </c>
      <c r="D4" s="65">
        <f>Entrate_Uscite!H16-Entrate_Uscite!H52</f>
        <v>2044846.7999999998</v>
      </c>
      <c r="E4" s="65">
        <f>Entrate_Uscite!K16-Entrate_Uscite!K52</f>
        <v>2831015.6599999964</v>
      </c>
      <c r="F4" s="65">
        <f>Entrate_Uscite!N16-Entrate_Uscite!N52</f>
        <v>1610471.9399999976</v>
      </c>
      <c r="G4" s="64">
        <f t="shared" si="0"/>
        <v>-1220543.7199999988</v>
      </c>
      <c r="H4" s="65">
        <f>Entrate_Uscite!O16-Entrate_Uscite!O52</f>
        <v>-1653999.7100000009</v>
      </c>
    </row>
    <row r="5" spans="1:8" x14ac:dyDescent="0.3">
      <c r="A5" s="47" t="s">
        <v>297</v>
      </c>
      <c r="B5" s="66">
        <f>Entrate_Uscite!B60</f>
        <v>33585425.539999008</v>
      </c>
      <c r="C5" s="66">
        <f>Entrate_Uscite!E60</f>
        <v>216973795.09999847</v>
      </c>
      <c r="D5" s="66">
        <f>Entrate_Uscite!H60</f>
        <v>384590267.73000145</v>
      </c>
      <c r="E5" s="66">
        <f>Entrate_Uscite!K60</f>
        <v>324222571.6400032</v>
      </c>
      <c r="F5" s="66">
        <f>Entrate_Uscite!N60</f>
        <v>227073348.09999847</v>
      </c>
      <c r="G5" s="66">
        <f t="shared" si="0"/>
        <v>-97149223.54000473</v>
      </c>
      <c r="H5" s="66">
        <f>SUM(Entrate_Uscite!O14:O16)-SUM(Entrate_Uscite!O50:O52)</f>
        <v>316787164.52000046</v>
      </c>
    </row>
    <row r="6" spans="1:8" x14ac:dyDescent="0.3">
      <c r="A6" s="38" t="s">
        <v>298</v>
      </c>
      <c r="B6" s="67">
        <f>Entrate_Uscite!B61</f>
        <v>-12055163.93000412</v>
      </c>
      <c r="C6" s="67">
        <f>Entrate_Uscite!E61</f>
        <v>166446947.56999779</v>
      </c>
      <c r="D6" s="67">
        <f>Entrate_Uscite!H61</f>
        <v>324683871.52000237</v>
      </c>
      <c r="E6" s="67">
        <f>Entrate_Uscite!K61</f>
        <v>301525156.47000313</v>
      </c>
      <c r="F6" s="67">
        <f>Entrate_Uscite!N61</f>
        <v>267823864.90000153</v>
      </c>
      <c r="G6" s="67">
        <f t="shared" si="0"/>
        <v>-33701291.570001602</v>
      </c>
      <c r="H6" s="67">
        <f>Entrate_Uscite!O61</f>
        <v>357537681.3200016</v>
      </c>
    </row>
    <row r="7" spans="1:8" x14ac:dyDescent="0.3">
      <c r="G7" s="6"/>
    </row>
    <row r="8" spans="1:8" x14ac:dyDescent="0.3">
      <c r="G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G20" sqref="G20"/>
    </sheetView>
  </sheetViews>
  <sheetFormatPr defaultRowHeight="14.4" x14ac:dyDescent="0.3"/>
  <cols>
    <col min="1" max="1" width="36.44140625" bestFit="1" customWidth="1"/>
    <col min="2" max="7" width="13.5546875" bestFit="1" customWidth="1"/>
    <col min="8" max="8" width="12" bestFit="1" customWidth="1"/>
    <col min="9" max="9" width="13.5546875" bestFit="1" customWidth="1"/>
    <col min="10" max="10" width="10" bestFit="1" customWidth="1"/>
  </cols>
  <sheetData>
    <row r="1" spans="1:9" x14ac:dyDescent="0.3">
      <c r="A1" s="41"/>
      <c r="B1" s="100">
        <v>2015</v>
      </c>
      <c r="C1" s="100">
        <v>2016</v>
      </c>
      <c r="D1" s="100">
        <v>2017</v>
      </c>
      <c r="E1" s="69">
        <v>2018</v>
      </c>
      <c r="F1" s="100">
        <v>2019</v>
      </c>
      <c r="G1" s="100">
        <v>2020</v>
      </c>
    </row>
    <row r="2" spans="1:9" x14ac:dyDescent="0.3">
      <c r="A2" t="s">
        <v>5</v>
      </c>
      <c r="B2" s="1">
        <v>260656963.93000001</v>
      </c>
      <c r="C2" s="1">
        <v>212523233.96000001</v>
      </c>
      <c r="D2" s="1">
        <v>274824431.88999999</v>
      </c>
      <c r="E2" s="1">
        <v>382240477.70999998</v>
      </c>
      <c r="F2" s="1">
        <v>918787644.30999994</v>
      </c>
      <c r="G2" s="1">
        <v>1168844593.51</v>
      </c>
    </row>
    <row r="3" spans="1:9" x14ac:dyDescent="0.3">
      <c r="A3" t="s">
        <v>6</v>
      </c>
      <c r="B3" s="1">
        <v>5542053092.3800001</v>
      </c>
      <c r="C3" s="1">
        <v>6276412491.5</v>
      </c>
      <c r="D3" s="1">
        <v>5620047433.6599998</v>
      </c>
      <c r="E3" s="1">
        <v>5019248626.8400002</v>
      </c>
      <c r="F3" s="1">
        <v>4101169131.8400002</v>
      </c>
      <c r="G3" s="1">
        <v>3937260976.9400001</v>
      </c>
    </row>
    <row r="4" spans="1:9" x14ac:dyDescent="0.3">
      <c r="A4" t="s">
        <v>7</v>
      </c>
      <c r="B4" s="1">
        <v>5934255128.2600002</v>
      </c>
      <c r="C4" s="1">
        <v>6403265590.1400003</v>
      </c>
      <c r="D4" s="1">
        <v>6319275474.8599997</v>
      </c>
      <c r="E4" s="1">
        <v>5542244046.1800003</v>
      </c>
      <c r="F4" s="1">
        <v>4804417112.0600004</v>
      </c>
      <c r="G4" s="1">
        <v>4574263827.1099997</v>
      </c>
    </row>
    <row r="5" spans="1:9" x14ac:dyDescent="0.3">
      <c r="A5" t="s">
        <v>8</v>
      </c>
      <c r="B5" s="1">
        <v>146962190.71000001</v>
      </c>
      <c r="C5" s="1">
        <v>76749745.200000003</v>
      </c>
      <c r="D5" s="1">
        <v>69102835.329999998</v>
      </c>
      <c r="E5" s="1">
        <v>108614577.59999999</v>
      </c>
      <c r="F5" s="1">
        <v>113372045.7</v>
      </c>
      <c r="G5" s="1">
        <v>131675333.3</v>
      </c>
    </row>
    <row r="6" spans="1:9" x14ac:dyDescent="0.3">
      <c r="A6" t="s">
        <v>355</v>
      </c>
      <c r="B6" s="1">
        <v>342215912.06</v>
      </c>
      <c r="C6" s="1">
        <v>176004185.87</v>
      </c>
      <c r="D6" s="1">
        <v>186473004.66999999</v>
      </c>
      <c r="E6" s="1">
        <v>226786679.03999999</v>
      </c>
      <c r="F6" s="1">
        <v>280094016.16000003</v>
      </c>
      <c r="G6" s="1">
        <v>302998219.29000002</v>
      </c>
    </row>
    <row r="7" spans="1:9" x14ac:dyDescent="0.3">
      <c r="A7" s="4" t="s">
        <v>0</v>
      </c>
      <c r="B7" s="3">
        <f t="shared" ref="B7:D7" si="0">B2+B3-B4-B5-B6</f>
        <v>-620723174.71999979</v>
      </c>
      <c r="C7" s="3">
        <f t="shared" si="0"/>
        <v>-167083795.7500003</v>
      </c>
      <c r="D7" s="3">
        <f t="shared" si="0"/>
        <v>-679979449.30999947</v>
      </c>
      <c r="E7" s="3">
        <f>E2+E3-E4-E5-E6</f>
        <v>-476156198.2700001</v>
      </c>
      <c r="F7" s="3">
        <f>F2+F3-F4-F5-F6</f>
        <v>-177926397.77000082</v>
      </c>
      <c r="G7" s="3">
        <f>G2+G3-G4-G5-G6</f>
        <v>97168190.750000119</v>
      </c>
    </row>
    <row r="8" spans="1:9" x14ac:dyDescent="0.3">
      <c r="A8" t="s">
        <v>9</v>
      </c>
      <c r="B8" s="1">
        <v>173739277.22999999</v>
      </c>
      <c r="C8" s="1">
        <v>297131521.05000001</v>
      </c>
      <c r="D8" s="1">
        <v>327316785.49000001</v>
      </c>
      <c r="E8" s="1">
        <v>391000615.48000002</v>
      </c>
      <c r="F8" s="1">
        <v>488690314.72000003</v>
      </c>
      <c r="G8" s="1">
        <v>478994905.88</v>
      </c>
    </row>
    <row r="9" spans="1:9" x14ac:dyDescent="0.3">
      <c r="A9" t="s">
        <v>349</v>
      </c>
      <c r="B9" s="1">
        <v>142373368.91</v>
      </c>
      <c r="C9" s="1">
        <v>132036504.87</v>
      </c>
      <c r="D9" s="1">
        <v>125031569.73999999</v>
      </c>
      <c r="E9" s="1">
        <v>38660700.979999997</v>
      </c>
      <c r="F9" s="1">
        <v>80738697.870000005</v>
      </c>
      <c r="G9" s="1">
        <v>72177589.049999997</v>
      </c>
    </row>
    <row r="10" spans="1:9" x14ac:dyDescent="0.3">
      <c r="A10" t="s">
        <v>10</v>
      </c>
      <c r="B10" s="1">
        <v>659434005.88999999</v>
      </c>
      <c r="C10" s="1">
        <v>643642797.20000005</v>
      </c>
      <c r="D10" s="1">
        <v>627502372.45000005</v>
      </c>
      <c r="E10" s="1">
        <v>611003682.78999996</v>
      </c>
      <c r="F10" s="1">
        <v>594137421.25999999</v>
      </c>
      <c r="G10" s="1">
        <v>576894015.08000004</v>
      </c>
    </row>
    <row r="11" spans="1:9" x14ac:dyDescent="0.3">
      <c r="A11" t="s">
        <v>11</v>
      </c>
      <c r="B11" s="1">
        <v>0</v>
      </c>
      <c r="C11" s="1">
        <v>2448000</v>
      </c>
      <c r="D11" s="1">
        <v>4287397.7300000004</v>
      </c>
      <c r="E11" s="1">
        <v>6865783.9000000004</v>
      </c>
      <c r="F11" s="1">
        <v>0</v>
      </c>
      <c r="G11" s="1">
        <v>20839663.739999998</v>
      </c>
    </row>
    <row r="12" spans="1:9" x14ac:dyDescent="0.3">
      <c r="A12" t="s">
        <v>12</v>
      </c>
      <c r="B12" s="1">
        <v>0</v>
      </c>
      <c r="C12" s="1">
        <v>205000</v>
      </c>
      <c r="D12" s="1">
        <v>3200000</v>
      </c>
      <c r="E12" s="1">
        <v>3151000</v>
      </c>
      <c r="F12" s="1">
        <v>4748911</v>
      </c>
      <c r="G12" s="1">
        <v>6685364.2699999996</v>
      </c>
    </row>
    <row r="13" spans="1:9" x14ac:dyDescent="0.3">
      <c r="A13" t="s">
        <v>13</v>
      </c>
      <c r="B13" s="1">
        <v>82734500</v>
      </c>
      <c r="C13" s="1">
        <v>49077805.880000003</v>
      </c>
      <c r="D13" s="1">
        <v>34448827.909999996</v>
      </c>
      <c r="E13" s="1">
        <v>20516658.41</v>
      </c>
      <c r="F13" s="1">
        <v>22203186.719999999</v>
      </c>
      <c r="G13" s="1">
        <v>5155626.25</v>
      </c>
    </row>
    <row r="14" spans="1:9" x14ac:dyDescent="0.3">
      <c r="A14" s="4" t="s">
        <v>1</v>
      </c>
      <c r="B14" s="3">
        <f t="shared" ref="B14:D14" si="1">SUM(B8:B13)</f>
        <v>1058281152.03</v>
      </c>
      <c r="C14" s="3">
        <f t="shared" si="1"/>
        <v>1124541629.0000002</v>
      </c>
      <c r="D14" s="3">
        <f t="shared" si="1"/>
        <v>1121786953.3200002</v>
      </c>
      <c r="E14" s="3">
        <f>SUM(E8:E13)</f>
        <v>1071198441.5599999</v>
      </c>
      <c r="F14" s="3">
        <f>SUM(F8:F13)</f>
        <v>1190518531.5699999</v>
      </c>
      <c r="G14" s="3">
        <f>SUM(G8:G13)</f>
        <v>1160747164.27</v>
      </c>
      <c r="H14" s="97"/>
      <c r="I14" s="97"/>
    </row>
    <row r="15" spans="1:9" x14ac:dyDescent="0.3">
      <c r="A15" t="s">
        <v>15</v>
      </c>
      <c r="B15" s="1">
        <v>264491599.19999999</v>
      </c>
      <c r="C15" s="1">
        <v>298640718.92000002</v>
      </c>
      <c r="D15" s="1">
        <v>52511062.5</v>
      </c>
      <c r="E15" s="1">
        <v>18638823.399999999</v>
      </c>
      <c r="F15" s="1">
        <v>86997658.950000003</v>
      </c>
      <c r="G15" s="1">
        <v>102541935.62</v>
      </c>
    </row>
    <row r="16" spans="1:9" x14ac:dyDescent="0.3">
      <c r="A16" t="s">
        <v>14</v>
      </c>
      <c r="B16" s="1">
        <v>634064149.49000001</v>
      </c>
      <c r="C16" s="1">
        <v>543676248.35000002</v>
      </c>
      <c r="D16" s="1">
        <v>856100351.08000004</v>
      </c>
      <c r="E16" s="1">
        <v>660160028.19000006</v>
      </c>
      <c r="F16" s="1">
        <v>448631692.81999999</v>
      </c>
      <c r="G16" s="1">
        <v>425379894.27999997</v>
      </c>
    </row>
    <row r="17" spans="1:7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3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12067000</v>
      </c>
      <c r="G18" s="1">
        <v>12067000</v>
      </c>
    </row>
    <row r="19" spans="1:7" x14ac:dyDescent="0.3">
      <c r="A19" t="s">
        <v>18</v>
      </c>
      <c r="B19" s="1">
        <v>926367981.20000005</v>
      </c>
      <c r="C19" s="1">
        <v>890825496.97000003</v>
      </c>
      <c r="D19" s="1">
        <v>52885389.460000001</v>
      </c>
      <c r="E19" s="1">
        <v>42791532.869999997</v>
      </c>
      <c r="F19" s="1">
        <v>51303166.060000002</v>
      </c>
      <c r="G19" s="1">
        <v>65258377.359999999</v>
      </c>
    </row>
    <row r="20" spans="1:7" x14ac:dyDescent="0.3">
      <c r="A20" s="4" t="s">
        <v>2</v>
      </c>
      <c r="B20" s="3">
        <f t="shared" ref="B20:D20" si="2">SUM(B15:B19)</f>
        <v>1824923729.8900001</v>
      </c>
      <c r="C20" s="3">
        <f t="shared" si="2"/>
        <v>1733142464.24</v>
      </c>
      <c r="D20" s="3">
        <f t="shared" si="2"/>
        <v>961496803.04000008</v>
      </c>
      <c r="E20" s="3">
        <f>SUM(E15:E19)</f>
        <v>721590384.46000004</v>
      </c>
      <c r="F20" s="3">
        <f>SUM(F15:F19)</f>
        <v>598999517.82999992</v>
      </c>
      <c r="G20" s="3">
        <f>SUM(G15:G19)</f>
        <v>605247207.25999999</v>
      </c>
    </row>
    <row r="21" spans="1:7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3">
      <c r="A22" s="70" t="s">
        <v>4</v>
      </c>
      <c r="B22" s="37">
        <f t="shared" ref="B22:C22" si="3">B7-B14-B20-B21</f>
        <v>-3503928056.6399999</v>
      </c>
      <c r="C22" s="37">
        <f t="shared" si="3"/>
        <v>-3024767888.9900007</v>
      </c>
      <c r="D22" s="37">
        <f>D7-D14-D20-D21</f>
        <v>-2763263205.6699996</v>
      </c>
      <c r="E22" s="37">
        <f>E7-E14-E20-E21</f>
        <v>-2268945024.29</v>
      </c>
      <c r="F22" s="37">
        <f>F7-F14-F20-F21</f>
        <v>-1967444447.1700006</v>
      </c>
      <c r="G22" s="37">
        <f>G7-G14-G20-G21</f>
        <v>-1668826180.7799997</v>
      </c>
    </row>
    <row r="23" spans="1:7" x14ac:dyDescent="0.3">
      <c r="B23" s="1"/>
      <c r="C23" s="1">
        <v>-36511804.840000004</v>
      </c>
      <c r="D23" s="1">
        <v>-177220142.58000001</v>
      </c>
      <c r="E23" s="1">
        <v>-169768662.75999999</v>
      </c>
      <c r="F23" s="1">
        <v>-134877768.21000001</v>
      </c>
      <c r="G23" s="1">
        <v>-17854365.059999999</v>
      </c>
    </row>
    <row r="24" spans="1:7" x14ac:dyDescent="0.3">
      <c r="A24" t="s">
        <v>365</v>
      </c>
      <c r="B24" s="6">
        <f t="shared" ref="B24:E24" si="4">B8/B3*100</f>
        <v>3.134926250866874</v>
      </c>
      <c r="C24" s="6">
        <f t="shared" si="4"/>
        <v>4.7340980449006231</v>
      </c>
      <c r="D24" s="6">
        <f t="shared" si="4"/>
        <v>5.8240929343337982</v>
      </c>
      <c r="E24" s="6">
        <f t="shared" si="4"/>
        <v>7.7900228609748057</v>
      </c>
      <c r="F24" s="6">
        <f t="shared" ref="F24:G24" si="5">F8/F3*100</f>
        <v>11.915878107195931</v>
      </c>
      <c r="G24" s="6">
        <f t="shared" si="5"/>
        <v>12.165688499832948</v>
      </c>
    </row>
    <row r="25" spans="1:7" x14ac:dyDescent="0.3">
      <c r="A25" t="s">
        <v>356</v>
      </c>
    </row>
    <row r="52" spans="1:7" x14ac:dyDescent="0.3">
      <c r="A52" t="s">
        <v>13</v>
      </c>
      <c r="B52" s="1">
        <f t="shared" ref="B52:E52" si="6">SUM(B11:B13)</f>
        <v>82734500</v>
      </c>
      <c r="C52" s="1">
        <f t="shared" si="6"/>
        <v>51730805.880000003</v>
      </c>
      <c r="D52" s="1">
        <f t="shared" si="6"/>
        <v>41936225.640000001</v>
      </c>
      <c r="E52" s="1">
        <f t="shared" si="6"/>
        <v>30533442.310000002</v>
      </c>
      <c r="F52" s="1">
        <f t="shared" ref="F52:G52" si="7">SUM(F11:F13)</f>
        <v>26952097.719999999</v>
      </c>
      <c r="G52" s="1">
        <f t="shared" si="7"/>
        <v>32680654.259999998</v>
      </c>
    </row>
  </sheetData>
  <conditionalFormatting sqref="C22:E22 G22">
    <cfRule type="cellIs" dxfId="64" priority="18" operator="greaterThan">
      <formula>0</formula>
    </cfRule>
  </conditionalFormatting>
  <conditionalFormatting sqref="C22:E22 G22">
    <cfRule type="cellIs" dxfId="63" priority="15" operator="greaterThan">
      <formula>0</formula>
    </cfRule>
    <cfRule type="cellIs" dxfId="62" priority="16" operator="lessThan">
      <formula>0</formula>
    </cfRule>
  </conditionalFormatting>
  <conditionalFormatting sqref="B22">
    <cfRule type="cellIs" dxfId="61" priority="9" operator="greaterThan">
      <formula>0</formula>
    </cfRule>
  </conditionalFormatting>
  <conditionalFormatting sqref="B22">
    <cfRule type="cellIs" dxfId="60" priority="7" operator="greaterThan">
      <formula>0</formula>
    </cfRule>
    <cfRule type="cellIs" dxfId="59" priority="8" operator="lessThan">
      <formula>0</formula>
    </cfRule>
  </conditionalFormatting>
  <conditionalFormatting sqref="F22">
    <cfRule type="cellIs" dxfId="58" priority="3" operator="greaterThan">
      <formula>0</formula>
    </cfRule>
  </conditionalFormatting>
  <conditionalFormatting sqref="F22">
    <cfRule type="cellIs" dxfId="57" priority="1" operator="greaterThan">
      <formula>0</formula>
    </cfRule>
    <cfRule type="cellIs" dxfId="5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G27" sqref="G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99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264</v>
      </c>
    </row>
    <row r="2" spans="1:8" x14ac:dyDescent="0.3">
      <c r="A2" t="s">
        <v>234</v>
      </c>
      <c r="B2" s="26" t="s">
        <v>258</v>
      </c>
      <c r="C2" s="1">
        <v>8091923182.7600002</v>
      </c>
      <c r="D2" s="1">
        <v>8344581631.3999996</v>
      </c>
      <c r="E2" s="1">
        <v>8598186462.4099998</v>
      </c>
      <c r="F2" s="1">
        <v>8751049319.4799995</v>
      </c>
      <c r="G2" s="1">
        <v>8496250927.1099997</v>
      </c>
      <c r="H2" s="1">
        <f>G2-F2</f>
        <v>-254798392.36999989</v>
      </c>
    </row>
    <row r="3" spans="1:8" x14ac:dyDescent="0.3">
      <c r="A3" t="s">
        <v>235</v>
      </c>
      <c r="B3" s="26" t="s">
        <v>258</v>
      </c>
      <c r="C3" s="1">
        <v>432868526.31</v>
      </c>
      <c r="D3" s="1">
        <v>148655065.81999999</v>
      </c>
      <c r="E3" s="1">
        <v>58736875.509999998</v>
      </c>
      <c r="F3" s="1">
        <v>61178536.299999997</v>
      </c>
      <c r="G3" s="1">
        <v>133012957.98999999</v>
      </c>
      <c r="H3" s="1">
        <f t="shared" ref="H3:H28" si="0">G3-F3</f>
        <v>71834421.689999998</v>
      </c>
    </row>
    <row r="4" spans="1:8" x14ac:dyDescent="0.3">
      <c r="A4" t="s">
        <v>236</v>
      </c>
      <c r="B4" s="26" t="s">
        <v>258</v>
      </c>
      <c r="C4" s="1">
        <v>852307740.77999997</v>
      </c>
      <c r="D4" s="1">
        <v>690893471.65999997</v>
      </c>
      <c r="E4" s="1">
        <v>801395343.65999997</v>
      </c>
      <c r="F4" s="1">
        <v>1027636494.85</v>
      </c>
      <c r="G4" s="1">
        <v>1592284955.6500001</v>
      </c>
      <c r="H4" s="1">
        <f t="shared" si="0"/>
        <v>564648460.80000007</v>
      </c>
    </row>
    <row r="5" spans="1:8" x14ac:dyDescent="0.3">
      <c r="A5" t="s">
        <v>237</v>
      </c>
      <c r="B5" s="26" t="s">
        <v>258</v>
      </c>
      <c r="C5" s="1">
        <v>51225653.149999999</v>
      </c>
      <c r="D5" s="1">
        <v>36093799.990000002</v>
      </c>
      <c r="E5" s="1">
        <v>45078076.840000004</v>
      </c>
      <c r="F5" s="1">
        <v>45599204.75</v>
      </c>
      <c r="G5" s="1">
        <v>49140454.479999997</v>
      </c>
      <c r="H5" s="1">
        <f t="shared" si="0"/>
        <v>3541249.7299999967</v>
      </c>
    </row>
    <row r="6" spans="1:8" x14ac:dyDescent="0.3">
      <c r="A6" t="s">
        <v>238</v>
      </c>
      <c r="B6" s="26" t="s">
        <v>258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239</v>
      </c>
      <c r="B7" s="26" t="s">
        <v>258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240</v>
      </c>
      <c r="B8" s="26" t="s">
        <v>258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241</v>
      </c>
      <c r="B9" s="33" t="s">
        <v>258</v>
      </c>
      <c r="C9" s="34">
        <v>23539872.68</v>
      </c>
      <c r="D9" s="34">
        <v>54539302.590000004</v>
      </c>
      <c r="E9" s="34">
        <v>65269138.770000003</v>
      </c>
      <c r="F9" s="34">
        <v>74959421.560000002</v>
      </c>
      <c r="G9" s="34">
        <v>53395367.810000002</v>
      </c>
      <c r="H9" s="1">
        <f t="shared" si="0"/>
        <v>-21564053.75</v>
      </c>
    </row>
    <row r="10" spans="1:8" x14ac:dyDescent="0.3">
      <c r="A10" s="35" t="s">
        <v>262</v>
      </c>
      <c r="B10" s="36" t="s">
        <v>258</v>
      </c>
      <c r="C10" s="94">
        <f t="shared" ref="C10" si="1">SUM(C2:C9)</f>
        <v>9451864975.6800003</v>
      </c>
      <c r="D10" s="94">
        <f t="shared" ref="D10:E10" si="2">SUM(D2:D9)</f>
        <v>9274763271.4599991</v>
      </c>
      <c r="E10" s="94">
        <f t="shared" si="2"/>
        <v>9568665897.1900005</v>
      </c>
      <c r="F10" s="94">
        <f t="shared" ref="F10:G10" si="3">SUM(F2:F9)</f>
        <v>9960422976.9399986</v>
      </c>
      <c r="G10" s="94">
        <f t="shared" si="3"/>
        <v>10324084663.039999</v>
      </c>
      <c r="H10" s="11">
        <f t="shared" si="0"/>
        <v>363661686.10000038</v>
      </c>
    </row>
    <row r="11" spans="1:8" x14ac:dyDescent="0.3">
      <c r="A11" t="s">
        <v>242</v>
      </c>
      <c r="B11" s="26" t="s">
        <v>259</v>
      </c>
      <c r="C11" s="1">
        <v>10989591.449999999</v>
      </c>
      <c r="D11" s="1">
        <v>15579390.52</v>
      </c>
      <c r="E11" s="1">
        <v>14703673.810000001</v>
      </c>
      <c r="F11" s="1">
        <v>17132644.27</v>
      </c>
      <c r="G11" s="1">
        <v>21725622.600000001</v>
      </c>
      <c r="H11" s="1">
        <f t="shared" si="0"/>
        <v>4592978.3300000019</v>
      </c>
    </row>
    <row r="12" spans="1:8" x14ac:dyDescent="0.3">
      <c r="A12" t="s">
        <v>243</v>
      </c>
      <c r="B12" s="26" t="s">
        <v>259</v>
      </c>
      <c r="C12" s="1">
        <v>384496362.60000002</v>
      </c>
      <c r="D12" s="1">
        <v>398381717.48000002</v>
      </c>
      <c r="E12" s="1">
        <v>668610180.08000004</v>
      </c>
      <c r="F12" s="1">
        <v>700400588.97000003</v>
      </c>
      <c r="G12" s="1">
        <v>712157193.99000001</v>
      </c>
      <c r="H12" s="1">
        <f t="shared" si="0"/>
        <v>11756605.019999981</v>
      </c>
    </row>
    <row r="13" spans="1:8" x14ac:dyDescent="0.3">
      <c r="A13" t="s">
        <v>244</v>
      </c>
      <c r="B13" s="26" t="s">
        <v>259</v>
      </c>
      <c r="C13" s="1">
        <v>2021484.08</v>
      </c>
      <c r="D13" s="1">
        <v>2581660.1</v>
      </c>
      <c r="E13" s="1">
        <v>4242029.18</v>
      </c>
      <c r="F13" s="1">
        <v>5900655.75</v>
      </c>
      <c r="G13" s="1">
        <v>5098208.99</v>
      </c>
      <c r="H13" s="1">
        <f t="shared" si="0"/>
        <v>-802446.75999999978</v>
      </c>
    </row>
    <row r="14" spans="1:8" x14ac:dyDescent="0.3">
      <c r="A14" t="s">
        <v>245</v>
      </c>
      <c r="B14" s="26" t="s">
        <v>259</v>
      </c>
      <c r="C14" s="1">
        <v>8422070623.5100002</v>
      </c>
      <c r="D14" s="1">
        <v>8300913197.2200003</v>
      </c>
      <c r="E14" s="1">
        <v>8211020956.6400003</v>
      </c>
      <c r="F14" s="1">
        <v>8569474315.0200005</v>
      </c>
      <c r="G14" s="1">
        <v>9077788392.6299992</v>
      </c>
      <c r="H14" s="1">
        <f t="shared" si="0"/>
        <v>508314077.6099987</v>
      </c>
    </row>
    <row r="15" spans="1:8" x14ac:dyDescent="0.3">
      <c r="A15" t="s">
        <v>246</v>
      </c>
      <c r="B15" s="26" t="s">
        <v>259</v>
      </c>
      <c r="C15" s="1">
        <v>165333421.75999999</v>
      </c>
      <c r="D15" s="1">
        <v>170995093.88</v>
      </c>
      <c r="E15" s="1">
        <v>170347007.59</v>
      </c>
      <c r="F15" s="1">
        <v>162782178.28999999</v>
      </c>
      <c r="G15" s="1">
        <v>163770553.06999999</v>
      </c>
      <c r="H15" s="1">
        <f t="shared" si="0"/>
        <v>988374.78000000119</v>
      </c>
    </row>
    <row r="16" spans="1:8" x14ac:dyDescent="0.3">
      <c r="A16" t="s">
        <v>247</v>
      </c>
      <c r="B16" s="26" t="s">
        <v>259</v>
      </c>
      <c r="C16" s="1">
        <v>21359564.120000001</v>
      </c>
      <c r="D16" s="1">
        <v>59707053.710000001</v>
      </c>
      <c r="E16" s="1">
        <v>110727531.45999999</v>
      </c>
      <c r="F16" s="1">
        <v>174878954.88999999</v>
      </c>
      <c r="G16" s="1">
        <v>42243510.149999999</v>
      </c>
      <c r="H16" s="1">
        <f t="shared" si="0"/>
        <v>-132635444.73999998</v>
      </c>
    </row>
    <row r="17" spans="1:8" x14ac:dyDescent="0.3">
      <c r="A17" t="s">
        <v>248</v>
      </c>
      <c r="B17" s="26" t="s">
        <v>259</v>
      </c>
      <c r="C17" s="1">
        <v>0</v>
      </c>
      <c r="D17" s="1">
        <v>-31884.54</v>
      </c>
      <c r="E17" s="1">
        <v>-88933.87</v>
      </c>
      <c r="F17" s="1">
        <v>-86449.21</v>
      </c>
      <c r="G17" s="1">
        <v>-45512.27</v>
      </c>
      <c r="H17" s="1">
        <f t="shared" si="0"/>
        <v>40936.94000000001</v>
      </c>
    </row>
    <row r="18" spans="1:8" x14ac:dyDescent="0.3">
      <c r="A18" t="s">
        <v>249</v>
      </c>
      <c r="B18" s="26" t="s">
        <v>259</v>
      </c>
      <c r="C18" s="1">
        <v>21003606.879999999</v>
      </c>
      <c r="D18" s="1">
        <v>14580118.76</v>
      </c>
      <c r="E18" s="1">
        <v>3000000</v>
      </c>
      <c r="F18" s="1">
        <v>0</v>
      </c>
      <c r="G18" s="1">
        <v>0</v>
      </c>
      <c r="H18" s="1">
        <f t="shared" si="0"/>
        <v>0</v>
      </c>
    </row>
    <row r="19" spans="1:8" x14ac:dyDescent="0.3">
      <c r="A19" t="s">
        <v>13</v>
      </c>
      <c r="B19" s="26" t="s">
        <v>259</v>
      </c>
      <c r="C19" s="1">
        <v>125423612.06999999</v>
      </c>
      <c r="D19" s="1">
        <v>0</v>
      </c>
      <c r="E19" s="1">
        <v>152133</v>
      </c>
      <c r="F19" s="1">
        <v>1832725.76</v>
      </c>
      <c r="G19" s="1">
        <v>3487422.46</v>
      </c>
      <c r="H19" s="1">
        <f t="shared" si="0"/>
        <v>1654696.7</v>
      </c>
    </row>
    <row r="20" spans="1:8" x14ac:dyDescent="0.3">
      <c r="A20" s="32" t="s">
        <v>250</v>
      </c>
      <c r="B20" s="33" t="s">
        <v>259</v>
      </c>
      <c r="C20" s="34">
        <v>31497157.98</v>
      </c>
      <c r="D20" s="34">
        <v>9882260.0600000005</v>
      </c>
      <c r="E20" s="34">
        <v>8776848.9000000004</v>
      </c>
      <c r="F20" s="34">
        <v>13853035.380000001</v>
      </c>
      <c r="G20" s="34">
        <v>8595278.6699999999</v>
      </c>
      <c r="H20" s="1">
        <f t="shared" si="0"/>
        <v>-5257756.7100000009</v>
      </c>
    </row>
    <row r="21" spans="1:8" x14ac:dyDescent="0.3">
      <c r="A21" s="35" t="s">
        <v>263</v>
      </c>
      <c r="B21" s="36" t="s">
        <v>259</v>
      </c>
      <c r="C21" s="94">
        <f>SUM(C11:C20)</f>
        <v>9184195424.4499989</v>
      </c>
      <c r="D21" s="94">
        <f t="shared" ref="D21:E21" si="4">SUM(D11:D20)</f>
        <v>8972588607.1899967</v>
      </c>
      <c r="E21" s="94">
        <f t="shared" si="4"/>
        <v>9191491426.789999</v>
      </c>
      <c r="F21" s="94">
        <f t="shared" ref="F21:G21" si="5">SUM(F11:F20)</f>
        <v>9646168649.1200008</v>
      </c>
      <c r="G21" s="94">
        <f t="shared" si="5"/>
        <v>10034820670.289997</v>
      </c>
      <c r="H21" s="11">
        <f t="shared" si="0"/>
        <v>388652021.16999626</v>
      </c>
    </row>
    <row r="22" spans="1:8" x14ac:dyDescent="0.3">
      <c r="A22" t="s">
        <v>251</v>
      </c>
      <c r="B22" s="26" t="s">
        <v>258</v>
      </c>
      <c r="C22" s="1">
        <v>5817389.3799999999</v>
      </c>
      <c r="D22" s="1">
        <v>9223373.25</v>
      </c>
      <c r="E22" s="1">
        <v>9898274.5299999993</v>
      </c>
      <c r="F22" s="1">
        <v>5988631.8700000001</v>
      </c>
      <c r="G22" s="1">
        <v>4986174.62</v>
      </c>
      <c r="H22" s="1">
        <f t="shared" si="0"/>
        <v>-1002457.25</v>
      </c>
    </row>
    <row r="23" spans="1:8" x14ac:dyDescent="0.3">
      <c r="A23" t="s">
        <v>252</v>
      </c>
      <c r="B23" s="26" t="s">
        <v>259</v>
      </c>
      <c r="C23" s="1">
        <v>64167845.579999998</v>
      </c>
      <c r="D23" s="1">
        <v>70671908.969999999</v>
      </c>
      <c r="E23" s="1">
        <v>60029461.640000001</v>
      </c>
      <c r="F23" s="1">
        <v>63938194</v>
      </c>
      <c r="G23" s="1">
        <v>48508638.799999997</v>
      </c>
      <c r="H23" s="1">
        <f t="shared" si="0"/>
        <v>-15429555.200000003</v>
      </c>
    </row>
    <row r="24" spans="1:8" x14ac:dyDescent="0.3">
      <c r="A24" t="s">
        <v>253</v>
      </c>
      <c r="B24" s="26" t="s">
        <v>258</v>
      </c>
      <c r="C24" s="1">
        <v>-16798442.059999999</v>
      </c>
      <c r="D24" s="1">
        <v>-6307455.3399999999</v>
      </c>
      <c r="E24" s="1">
        <v>-609127.65</v>
      </c>
      <c r="F24" s="1">
        <v>-14278805.59</v>
      </c>
      <c r="G24" s="1">
        <v>10784919.470000001</v>
      </c>
      <c r="H24" s="1">
        <f t="shared" si="0"/>
        <v>25063725.060000002</v>
      </c>
    </row>
    <row r="25" spans="1:8" x14ac:dyDescent="0.3">
      <c r="A25" t="s">
        <v>254</v>
      </c>
      <c r="B25" s="26" t="s">
        <v>258</v>
      </c>
      <c r="C25" s="1">
        <v>410230399.26999998</v>
      </c>
      <c r="D25" s="1">
        <v>409497087.75</v>
      </c>
      <c r="E25" s="1">
        <v>540552380.73000002</v>
      </c>
      <c r="F25" s="1">
        <v>156725890.97</v>
      </c>
      <c r="G25" s="1">
        <v>180772118.78999999</v>
      </c>
      <c r="H25" s="1">
        <f t="shared" si="0"/>
        <v>24046227.819999993</v>
      </c>
    </row>
    <row r="26" spans="1:8" x14ac:dyDescent="0.3">
      <c r="A26" t="s">
        <v>255</v>
      </c>
      <c r="B26" s="26" t="s">
        <v>259</v>
      </c>
      <c r="C26" s="1">
        <v>114036685.40000001</v>
      </c>
      <c r="D26" s="1">
        <v>364381543.07999998</v>
      </c>
      <c r="E26" s="1">
        <v>284027337.54000002</v>
      </c>
      <c r="F26" s="1">
        <v>73498466.659999996</v>
      </c>
      <c r="G26" s="1">
        <v>104194307.7</v>
      </c>
      <c r="H26" s="1">
        <f t="shared" si="0"/>
        <v>30695841.040000007</v>
      </c>
    </row>
    <row r="27" spans="1:8" x14ac:dyDescent="0.3">
      <c r="A27" t="s">
        <v>256</v>
      </c>
      <c r="B27" s="26" t="s">
        <v>259</v>
      </c>
      <c r="C27" s="1">
        <v>11617846.039999999</v>
      </c>
      <c r="D27" s="1">
        <v>11776962.970000001</v>
      </c>
      <c r="E27" s="1">
        <v>12113276.800000001</v>
      </c>
      <c r="F27" s="1">
        <v>10415239.359999999</v>
      </c>
      <c r="G27" s="1">
        <v>11697476.949999999</v>
      </c>
      <c r="H27" s="1">
        <f t="shared" si="0"/>
        <v>1282237.5899999999</v>
      </c>
    </row>
    <row r="28" spans="1:8" x14ac:dyDescent="0.3">
      <c r="A28" s="10" t="s">
        <v>257</v>
      </c>
      <c r="B28" s="36" t="s">
        <v>260</v>
      </c>
      <c r="C28" s="37">
        <f>C10-C21+C22-C23+C24+C25-C26-C27</f>
        <v>477096520.80000144</v>
      </c>
      <c r="D28" s="37">
        <f t="shared" ref="D28:E28" si="6">D10-D21+D22-D23+D24+D25-D26-D27</f>
        <v>267757254.91000244</v>
      </c>
      <c r="E28" s="37">
        <f t="shared" si="6"/>
        <v>570845922.03000164</v>
      </c>
      <c r="F28" s="37">
        <f t="shared" ref="F28:G28" si="7">F10-F21+F22-F23+F24+F25-F26-F27</f>
        <v>314838145.04999781</v>
      </c>
      <c r="G28" s="37">
        <f t="shared" si="7"/>
        <v>321406782.18000191</v>
      </c>
      <c r="H28" s="37">
        <f t="shared" si="0"/>
        <v>6568637.130004108</v>
      </c>
    </row>
  </sheetData>
  <conditionalFormatting sqref="C28:E28 G28:H28">
    <cfRule type="cellIs" dxfId="55" priority="16" operator="greaterThan">
      <formula>0</formula>
    </cfRule>
  </conditionalFormatting>
  <conditionalFormatting sqref="C28:E28 G28">
    <cfRule type="cellIs" dxfId="54" priority="13" operator="greaterThan">
      <formula>0</formula>
    </cfRule>
  </conditionalFormatting>
  <conditionalFormatting sqref="F28">
    <cfRule type="cellIs" dxfId="53" priority="2" operator="greaterThan">
      <formula>0</formula>
    </cfRule>
  </conditionalFormatting>
  <conditionalFormatting sqref="F28">
    <cfRule type="cellIs" dxfId="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G3" sqref="G3:G15"/>
    </sheetView>
  </sheetViews>
  <sheetFormatPr defaultRowHeight="14.4" x14ac:dyDescent="0.3"/>
  <cols>
    <col min="1" max="1" width="50.6640625" bestFit="1" customWidth="1"/>
    <col min="2" max="5" width="13.33203125" bestFit="1" customWidth="1"/>
    <col min="6" max="6" width="14.2187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 x14ac:dyDescent="0.3">
      <c r="A2" s="71" t="s">
        <v>341</v>
      </c>
      <c r="B2" s="64">
        <f>Conto_economico!C10</f>
        <v>9451864975.6800003</v>
      </c>
      <c r="C2" s="64">
        <f>Conto_economico!D10</f>
        <v>9274763271.4599991</v>
      </c>
      <c r="D2" s="64">
        <f>Conto_economico!E10</f>
        <v>9568665897.1900005</v>
      </c>
      <c r="E2" s="64">
        <f>Conto_economico!F10</f>
        <v>9960422976.9399986</v>
      </c>
      <c r="F2" s="64">
        <f>Conto_economico!G10</f>
        <v>10324084663.039999</v>
      </c>
      <c r="G2" s="64">
        <f>F2-E2</f>
        <v>363661686.10000038</v>
      </c>
    </row>
    <row r="3" spans="1:7" x14ac:dyDescent="0.3">
      <c r="A3" s="71" t="s">
        <v>336</v>
      </c>
      <c r="B3" s="64">
        <f>Conto_economico!C2</f>
        <v>8091923182.7600002</v>
      </c>
      <c r="C3" s="64">
        <f>Conto_economico!D2</f>
        <v>8344581631.3999996</v>
      </c>
      <c r="D3" s="64">
        <f>Conto_economico!E2</f>
        <v>8598186462.4099998</v>
      </c>
      <c r="E3" s="64">
        <f>Conto_economico!F2</f>
        <v>8751049319.4799995</v>
      </c>
      <c r="F3" s="64">
        <f>Conto_economico!G2</f>
        <v>8496250927.1099997</v>
      </c>
      <c r="G3" s="64">
        <f t="shared" ref="G3:G15" si="0">F3-E3</f>
        <v>-254798392.36999989</v>
      </c>
    </row>
    <row r="4" spans="1:7" x14ac:dyDescent="0.3">
      <c r="A4" s="71" t="s">
        <v>337</v>
      </c>
      <c r="B4" s="64">
        <f>Conto_economico!C4</f>
        <v>852307740.77999997</v>
      </c>
      <c r="C4" s="64">
        <f>Conto_economico!D4</f>
        <v>690893471.65999997</v>
      </c>
      <c r="D4" s="64">
        <f>Conto_economico!E4</f>
        <v>801395343.65999997</v>
      </c>
      <c r="E4" s="64">
        <f>Conto_economico!F4</f>
        <v>1027636494.85</v>
      </c>
      <c r="F4" s="64">
        <f>Conto_economico!G4</f>
        <v>1592284955.6500001</v>
      </c>
      <c r="G4" s="64">
        <f t="shared" si="0"/>
        <v>564648460.80000007</v>
      </c>
    </row>
    <row r="5" spans="1:7" x14ac:dyDescent="0.3">
      <c r="A5" s="71" t="s">
        <v>342</v>
      </c>
      <c r="B5" s="65">
        <f>Conto_economico!C21</f>
        <v>9184195424.4499989</v>
      </c>
      <c r="C5" s="65">
        <f>Conto_economico!D21</f>
        <v>8972588607.1899967</v>
      </c>
      <c r="D5" s="65">
        <f>Conto_economico!E21</f>
        <v>9191491426.789999</v>
      </c>
      <c r="E5" s="65">
        <f>Conto_economico!F21</f>
        <v>9646168649.1200008</v>
      </c>
      <c r="F5" s="65">
        <f>Conto_economico!G21</f>
        <v>10034820670.289997</v>
      </c>
      <c r="G5" s="64">
        <f t="shared" si="0"/>
        <v>388652021.16999626</v>
      </c>
    </row>
    <row r="6" spans="1:7" x14ac:dyDescent="0.3">
      <c r="A6" s="71" t="s">
        <v>338</v>
      </c>
      <c r="B6" s="64">
        <f>Conto_economico!C12</f>
        <v>384496362.60000002</v>
      </c>
      <c r="C6" s="64">
        <f>Conto_economico!D12</f>
        <v>398381717.48000002</v>
      </c>
      <c r="D6" s="64">
        <f>Conto_economico!E12</f>
        <v>668610180.08000004</v>
      </c>
      <c r="E6" s="64">
        <f>Conto_economico!F12</f>
        <v>700400588.97000003</v>
      </c>
      <c r="F6" s="64">
        <f>Conto_economico!G12</f>
        <v>712157193.99000001</v>
      </c>
      <c r="G6" s="64">
        <f t="shared" si="0"/>
        <v>11756605.019999981</v>
      </c>
    </row>
    <row r="7" spans="1:7" x14ac:dyDescent="0.3">
      <c r="A7" s="71" t="s">
        <v>339</v>
      </c>
      <c r="B7" s="64">
        <f>Conto_economico!C15</f>
        <v>165333421.75999999</v>
      </c>
      <c r="C7" s="64">
        <f>Conto_economico!D15</f>
        <v>170995093.88</v>
      </c>
      <c r="D7" s="64">
        <f>Conto_economico!E15</f>
        <v>170347007.59</v>
      </c>
      <c r="E7" s="64">
        <f>Conto_economico!F15</f>
        <v>162782178.28999999</v>
      </c>
      <c r="F7" s="64">
        <f>Conto_economico!G15</f>
        <v>163770553.06999999</v>
      </c>
      <c r="G7" s="64">
        <f t="shared" si="0"/>
        <v>988374.78000000119</v>
      </c>
    </row>
    <row r="8" spans="1:7" x14ac:dyDescent="0.3">
      <c r="A8" s="71" t="s">
        <v>340</v>
      </c>
      <c r="B8" s="64">
        <f>Conto_economico!C16</f>
        <v>21359564.120000001</v>
      </c>
      <c r="C8" s="64">
        <f>Conto_economico!D16</f>
        <v>59707053.710000001</v>
      </c>
      <c r="D8" s="64">
        <f>Conto_economico!E16</f>
        <v>110727531.45999999</v>
      </c>
      <c r="E8" s="64">
        <f>Conto_economico!F16</f>
        <v>174878954.88999999</v>
      </c>
      <c r="F8" s="64">
        <f>Conto_economico!G16</f>
        <v>42243510.149999999</v>
      </c>
      <c r="G8" s="64">
        <f t="shared" si="0"/>
        <v>-132635444.73999998</v>
      </c>
    </row>
    <row r="9" spans="1:7" x14ac:dyDescent="0.3">
      <c r="A9" s="47" t="s">
        <v>304</v>
      </c>
      <c r="B9" s="66">
        <f t="shared" ref="B9:D9" si="1">B2-B5</f>
        <v>267669551.23000145</v>
      </c>
      <c r="C9" s="66">
        <f t="shared" si="1"/>
        <v>302174664.27000237</v>
      </c>
      <c r="D9" s="66">
        <f t="shared" si="1"/>
        <v>377174470.40000153</v>
      </c>
      <c r="E9" s="66">
        <f t="shared" ref="E9:F9" si="2">E2-E5</f>
        <v>314254327.81999779</v>
      </c>
      <c r="F9" s="66">
        <f t="shared" si="2"/>
        <v>289263992.75000191</v>
      </c>
      <c r="G9" s="66">
        <f t="shared" si="0"/>
        <v>-24990335.06999588</v>
      </c>
    </row>
    <row r="10" spans="1:7" x14ac:dyDescent="0.3">
      <c r="A10" s="71" t="s">
        <v>305</v>
      </c>
      <c r="B10" s="64">
        <f>Conto_economico!C22-Conto_economico!C23</f>
        <v>-58350456.199999996</v>
      </c>
      <c r="C10" s="64">
        <f>Conto_economico!D22-Conto_economico!D23</f>
        <v>-61448535.719999999</v>
      </c>
      <c r="D10" s="64">
        <f>Conto_economico!E22-Conto_economico!E23</f>
        <v>-50131187.109999999</v>
      </c>
      <c r="E10" s="64">
        <f>Conto_economico!F22-Conto_economico!F23</f>
        <v>-57949562.130000003</v>
      </c>
      <c r="F10" s="64">
        <f>Conto_economico!G22-Conto_economico!G23</f>
        <v>-43522464.18</v>
      </c>
      <c r="G10" s="64">
        <f t="shared" si="0"/>
        <v>14427097.950000003</v>
      </c>
    </row>
    <row r="11" spans="1:7" x14ac:dyDescent="0.3">
      <c r="A11" s="71" t="s">
        <v>306</v>
      </c>
      <c r="B11" s="65">
        <f>Conto_economico!C25-Conto_economico!C26</f>
        <v>296193713.87</v>
      </c>
      <c r="C11" s="65">
        <f>Conto_economico!D25-Conto_economico!D26</f>
        <v>45115544.670000017</v>
      </c>
      <c r="D11" s="65">
        <f>Conto_economico!E25-Conto_economico!E26</f>
        <v>256525043.19</v>
      </c>
      <c r="E11" s="65">
        <f>Conto_economico!F25-Conto_economico!F26</f>
        <v>83227424.310000002</v>
      </c>
      <c r="F11" s="65">
        <f>Conto_economico!G25-Conto_economico!G26</f>
        <v>76577811.089999989</v>
      </c>
      <c r="G11" s="64">
        <f t="shared" si="0"/>
        <v>-6649613.2200000137</v>
      </c>
    </row>
    <row r="12" spans="1:7" x14ac:dyDescent="0.3">
      <c r="A12" s="71" t="s">
        <v>253</v>
      </c>
      <c r="B12" s="65">
        <f>Conto_economico!C24</f>
        <v>-16798442.059999999</v>
      </c>
      <c r="C12" s="65">
        <f>Conto_economico!D24</f>
        <v>-6307455.3399999999</v>
      </c>
      <c r="D12" s="65">
        <f>Conto_economico!E24</f>
        <v>-609127.65</v>
      </c>
      <c r="E12" s="65">
        <f>Conto_economico!F24</f>
        <v>-14278805.59</v>
      </c>
      <c r="F12" s="65">
        <f>Conto_economico!G24</f>
        <v>10784919.470000001</v>
      </c>
      <c r="G12" s="64">
        <f t="shared" si="0"/>
        <v>25063725.060000002</v>
      </c>
    </row>
    <row r="13" spans="1:7" x14ac:dyDescent="0.3">
      <c r="A13" s="47" t="s">
        <v>307</v>
      </c>
      <c r="B13" s="66">
        <f t="shared" ref="B13:D13" si="3">SUM(B9:B12)</f>
        <v>488714366.84000146</v>
      </c>
      <c r="C13" s="66">
        <f t="shared" si="3"/>
        <v>279534217.88000244</v>
      </c>
      <c r="D13" s="66">
        <f t="shared" si="3"/>
        <v>582959198.83000147</v>
      </c>
      <c r="E13" s="66">
        <f t="shared" ref="E13:F13" si="4">SUM(E9:E12)</f>
        <v>325253384.40999782</v>
      </c>
      <c r="F13" s="66">
        <f t="shared" si="4"/>
        <v>333104259.1300019</v>
      </c>
      <c r="G13" s="66">
        <f t="shared" si="0"/>
        <v>7850874.7200040817</v>
      </c>
    </row>
    <row r="14" spans="1:7" x14ac:dyDescent="0.3">
      <c r="A14" s="71" t="s">
        <v>256</v>
      </c>
      <c r="B14" s="64">
        <f>Conto_economico!C27</f>
        <v>11617846.039999999</v>
      </c>
      <c r="C14" s="64">
        <f>Conto_economico!D27</f>
        <v>11776962.970000001</v>
      </c>
      <c r="D14" s="64">
        <f>Conto_economico!E27</f>
        <v>12113276.800000001</v>
      </c>
      <c r="E14" s="64">
        <f>Conto_economico!F27</f>
        <v>10415239.359999999</v>
      </c>
      <c r="F14" s="64">
        <f>Conto_economico!G27</f>
        <v>11697476.949999999</v>
      </c>
      <c r="G14" s="64">
        <f t="shared" si="0"/>
        <v>1282237.5899999999</v>
      </c>
    </row>
    <row r="15" spans="1:7" x14ac:dyDescent="0.3">
      <c r="A15" s="70" t="s">
        <v>257</v>
      </c>
      <c r="B15" s="67">
        <f t="shared" ref="B15:D15" si="5">B13-B14</f>
        <v>477096520.80000144</v>
      </c>
      <c r="C15" s="67">
        <f t="shared" si="5"/>
        <v>267757254.91000244</v>
      </c>
      <c r="D15" s="67">
        <f t="shared" si="5"/>
        <v>570845922.03000152</v>
      </c>
      <c r="E15" s="67">
        <f t="shared" ref="E15:F15" si="6">E13-E14</f>
        <v>314838145.04999781</v>
      </c>
      <c r="F15" s="67">
        <f t="shared" si="6"/>
        <v>321406782.18000191</v>
      </c>
      <c r="G15" s="67">
        <f t="shared" si="0"/>
        <v>6568637.130004108</v>
      </c>
    </row>
  </sheetData>
  <conditionalFormatting sqref="B15:D15 F15:G15">
    <cfRule type="cellIs" dxfId="51" priority="15" operator="greaterThan">
      <formula>0</formula>
    </cfRule>
  </conditionalFormatting>
  <conditionalFormatting sqref="B9:D9 B13:D13 F13:G13 F9:G9">
    <cfRule type="cellIs" dxfId="50" priority="14" operator="lessThan">
      <formula>0</formula>
    </cfRule>
  </conditionalFormatting>
  <conditionalFormatting sqref="E15">
    <cfRule type="cellIs" dxfId="49" priority="2" operator="greaterThan">
      <formula>0</formula>
    </cfRule>
  </conditionalFormatting>
  <conditionalFormatting sqref="E13 E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opLeftCell="A19" workbookViewId="0">
      <selection activeCell="F20" sqref="F20"/>
    </sheetView>
  </sheetViews>
  <sheetFormatPr defaultRowHeight="14.4" x14ac:dyDescent="0.3"/>
  <cols>
    <col min="1" max="1" width="51.6640625" style="32" bestFit="1" customWidth="1"/>
    <col min="2" max="6" width="13.88671875" bestFit="1" customWidth="1"/>
    <col min="7" max="8" width="12.6640625" bestFit="1" customWidth="1"/>
  </cols>
  <sheetData>
    <row r="1" spans="1:6" x14ac:dyDescent="0.3">
      <c r="A1" s="73"/>
      <c r="B1" s="100">
        <v>2016</v>
      </c>
      <c r="C1" s="69">
        <v>2017</v>
      </c>
      <c r="D1" s="69">
        <v>2018</v>
      </c>
      <c r="E1" s="69">
        <v>2019</v>
      </c>
      <c r="F1" s="69">
        <v>2020</v>
      </c>
    </row>
    <row r="2" spans="1:6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</row>
    <row r="3" spans="1:6" x14ac:dyDescent="0.3">
      <c r="A3" s="32" t="s">
        <v>212</v>
      </c>
      <c r="B3" s="1">
        <v>41266920.75</v>
      </c>
      <c r="C3" s="1">
        <v>33901656.109999999</v>
      </c>
      <c r="D3" s="1">
        <v>35117008.049999997</v>
      </c>
      <c r="E3" s="1">
        <v>31637019.98</v>
      </c>
      <c r="F3" s="1">
        <v>48681038.200000003</v>
      </c>
    </row>
    <row r="4" spans="1:6" x14ac:dyDescent="0.3">
      <c r="A4" s="32" t="s">
        <v>213</v>
      </c>
      <c r="B4" s="1">
        <v>671789067.85000002</v>
      </c>
      <c r="C4" s="1">
        <v>807267166.76999998</v>
      </c>
      <c r="D4" s="1">
        <v>863811863.49000001</v>
      </c>
      <c r="E4" s="1">
        <v>885546510.48000002</v>
      </c>
      <c r="F4" s="1">
        <v>899446704.13999999</v>
      </c>
    </row>
    <row r="5" spans="1:6" x14ac:dyDescent="0.3">
      <c r="A5" s="32" t="s">
        <v>227</v>
      </c>
      <c r="B5" s="1">
        <v>287014400.44</v>
      </c>
      <c r="C5" s="1">
        <v>283984930.62</v>
      </c>
      <c r="D5" s="1">
        <v>274334691.62</v>
      </c>
      <c r="E5" s="1">
        <v>255896628.34999999</v>
      </c>
      <c r="F5" s="1">
        <v>339068697.60000002</v>
      </c>
    </row>
    <row r="6" spans="1:6" x14ac:dyDescent="0.3">
      <c r="A6" s="32" t="s">
        <v>228</v>
      </c>
      <c r="B6" s="1">
        <v>176440396.25</v>
      </c>
      <c r="C6" s="1">
        <v>154059789.50999999</v>
      </c>
      <c r="D6" s="1">
        <v>151177625.56999999</v>
      </c>
      <c r="E6" s="1">
        <v>143228394.5</v>
      </c>
      <c r="F6" s="1">
        <v>138394001.15000001</v>
      </c>
    </row>
    <row r="7" spans="1:6" x14ac:dyDescent="0.3">
      <c r="A7" s="32" t="s">
        <v>229</v>
      </c>
      <c r="B7" s="1">
        <v>9153738.2799999993</v>
      </c>
      <c r="C7" s="1">
        <v>15701457.35</v>
      </c>
      <c r="D7" s="1">
        <v>15393058.949999999</v>
      </c>
      <c r="E7" s="1">
        <v>15324093.460000001</v>
      </c>
      <c r="F7" s="1">
        <v>12178482.300000001</v>
      </c>
    </row>
    <row r="8" spans="1:6" x14ac:dyDescent="0.3">
      <c r="A8" s="32" t="s">
        <v>230</v>
      </c>
      <c r="B8" s="1">
        <v>0</v>
      </c>
      <c r="C8" s="1">
        <v>31884.54</v>
      </c>
      <c r="D8" s="1">
        <v>120818.41</v>
      </c>
      <c r="E8" s="1">
        <v>207267.62</v>
      </c>
      <c r="F8" s="1">
        <v>252779.89</v>
      </c>
    </row>
    <row r="9" spans="1:6" x14ac:dyDescent="0.3">
      <c r="A9" s="32" t="s">
        <v>214</v>
      </c>
      <c r="B9" s="1">
        <v>6456228021.25</v>
      </c>
      <c r="C9" s="1">
        <v>5738245665.2799997</v>
      </c>
      <c r="D9" s="1">
        <v>5032855349.21</v>
      </c>
      <c r="E9" s="1">
        <v>3961804782.6199999</v>
      </c>
      <c r="F9" s="1">
        <v>3820569393.46</v>
      </c>
    </row>
    <row r="10" spans="1:6" x14ac:dyDescent="0.3">
      <c r="A10" s="98" t="s">
        <v>358</v>
      </c>
      <c r="B10" s="1">
        <v>2969439284.1999998</v>
      </c>
      <c r="C10" s="1">
        <v>2732584981.3899999</v>
      </c>
      <c r="D10" s="1">
        <v>2420911012.8000002</v>
      </c>
      <c r="E10" s="1">
        <v>1705923589.8800001</v>
      </c>
      <c r="F10" s="1">
        <v>1141067786.71</v>
      </c>
    </row>
    <row r="11" spans="1:6" x14ac:dyDescent="0.3">
      <c r="A11" s="98" t="s">
        <v>364</v>
      </c>
      <c r="B11" s="1">
        <v>888945823.91999996</v>
      </c>
      <c r="C11" s="1">
        <v>882236378.42999995</v>
      </c>
      <c r="D11" s="1">
        <v>652860453.67999995</v>
      </c>
      <c r="E11" s="1">
        <v>605577339.57000005</v>
      </c>
      <c r="F11" s="1">
        <v>860381409.80999994</v>
      </c>
    </row>
    <row r="12" spans="1:6" x14ac:dyDescent="0.3">
      <c r="A12" s="32" t="s">
        <v>231</v>
      </c>
      <c r="B12" s="1">
        <v>0</v>
      </c>
      <c r="C12" s="1">
        <v>0</v>
      </c>
      <c r="D12" s="1">
        <v>18794528.719999999</v>
      </c>
      <c r="E12" s="1">
        <v>17009468.210000001</v>
      </c>
      <c r="F12" s="1">
        <v>16332021.26</v>
      </c>
    </row>
    <row r="13" spans="1:6" x14ac:dyDescent="0.3">
      <c r="A13" s="32" t="s">
        <v>215</v>
      </c>
      <c r="B13" s="1">
        <v>229741241</v>
      </c>
      <c r="C13" s="1">
        <v>289450823.55000001</v>
      </c>
      <c r="D13" s="1">
        <v>400584172.39999998</v>
      </c>
      <c r="E13" s="1">
        <v>970089570.00999999</v>
      </c>
      <c r="F13" s="1">
        <v>1215957820.75</v>
      </c>
    </row>
    <row r="14" spans="1:6" x14ac:dyDescent="0.3">
      <c r="A14" s="32" t="s">
        <v>216</v>
      </c>
      <c r="B14" s="1">
        <v>134648.26</v>
      </c>
      <c r="C14" s="1">
        <v>51940.97</v>
      </c>
      <c r="D14" s="1">
        <v>342036.06</v>
      </c>
      <c r="E14" s="1">
        <v>554175.68999999994</v>
      </c>
      <c r="F14" s="1">
        <v>426675.35</v>
      </c>
    </row>
    <row r="15" spans="1:6" x14ac:dyDescent="0.3">
      <c r="A15" s="10" t="s">
        <v>217</v>
      </c>
      <c r="B15" s="11">
        <f t="shared" ref="B15:C15" si="0">SUM(B2:B9)+SUM(B12:B14)</f>
        <v>7871768434.0799999</v>
      </c>
      <c r="C15" s="11">
        <f t="shared" si="0"/>
        <v>7322695314.6999998</v>
      </c>
      <c r="D15" s="11">
        <f>SUM(D2:D9)+SUM(D12:D14)</f>
        <v>6792531152.4800005</v>
      </c>
      <c r="E15" s="11">
        <f>SUM(E2:E9)+SUM(E12:E14)</f>
        <v>6281297910.9200001</v>
      </c>
      <c r="F15" s="11">
        <f>SUM(F2:F9)+SUM(F12:F14)</f>
        <v>6491307614.0999994</v>
      </c>
    </row>
    <row r="16" spans="1:6" x14ac:dyDescent="0.3">
      <c r="A16" s="32" t="s">
        <v>218</v>
      </c>
      <c r="B16" s="1">
        <v>-3109565049.2199998</v>
      </c>
      <c r="C16" s="1">
        <v>-3349560887.0100002</v>
      </c>
      <c r="D16" s="1">
        <v>-3216962229.46</v>
      </c>
      <c r="E16" s="1">
        <v>-2753995156.9200001</v>
      </c>
      <c r="F16" s="1">
        <v>-2753995156.9200001</v>
      </c>
    </row>
    <row r="17" spans="1:8" x14ac:dyDescent="0.3">
      <c r="A17" s="32" t="s">
        <v>219</v>
      </c>
      <c r="B17" s="1">
        <v>0</v>
      </c>
      <c r="C17" s="1">
        <v>801114147.77999997</v>
      </c>
      <c r="D17" s="1">
        <v>933814493.55999994</v>
      </c>
      <c r="E17" s="1">
        <v>1033790984.99</v>
      </c>
      <c r="F17" s="1">
        <v>1409777435.6700001</v>
      </c>
    </row>
    <row r="18" spans="1:8" x14ac:dyDescent="0.3">
      <c r="A18" s="32" t="s">
        <v>220</v>
      </c>
      <c r="B18" s="1">
        <v>477096520.80000001</v>
      </c>
      <c r="C18" s="1">
        <v>267757254.91</v>
      </c>
      <c r="D18" s="1">
        <v>570845922.02999997</v>
      </c>
      <c r="E18" s="1">
        <v>314838145.05000001</v>
      </c>
      <c r="F18" s="1">
        <v>321406782.18000001</v>
      </c>
    </row>
    <row r="19" spans="1:8" x14ac:dyDescent="0.3">
      <c r="A19" s="32" t="s">
        <v>221</v>
      </c>
      <c r="B19" s="1">
        <v>51730805.880000003</v>
      </c>
      <c r="C19" s="1">
        <v>41936225.640000001</v>
      </c>
      <c r="D19" s="1">
        <v>23716658.41</v>
      </c>
      <c r="E19" s="1">
        <v>8952097.7200000007</v>
      </c>
      <c r="F19" s="1">
        <v>12111689.970000001</v>
      </c>
    </row>
    <row r="20" spans="1:8" x14ac:dyDescent="0.3">
      <c r="A20" s="32" t="s">
        <v>208</v>
      </c>
      <c r="B20" s="1">
        <v>4661514025.7700005</v>
      </c>
      <c r="C20" s="1">
        <v>4715902608.1300001</v>
      </c>
      <c r="D20" s="1">
        <v>4580433710.3199997</v>
      </c>
      <c r="E20" s="1">
        <v>4031324993.7199998</v>
      </c>
      <c r="F20" s="1">
        <v>3859733994.5999999</v>
      </c>
    </row>
    <row r="21" spans="1:8" x14ac:dyDescent="0.3">
      <c r="A21" s="32" t="s">
        <v>222</v>
      </c>
      <c r="B21" s="1">
        <v>1093007.0900000001</v>
      </c>
      <c r="C21" s="1">
        <v>312785.48</v>
      </c>
      <c r="D21" s="1">
        <v>592849.69999999995</v>
      </c>
      <c r="E21" s="1">
        <v>540604.09</v>
      </c>
      <c r="F21" s="1">
        <v>512217.3</v>
      </c>
    </row>
    <row r="22" spans="1:8" x14ac:dyDescent="0.3">
      <c r="A22" s="32" t="s">
        <v>223</v>
      </c>
      <c r="B22" s="1">
        <v>2140149535.3499999</v>
      </c>
      <c r="C22" s="1">
        <v>1762965755.96</v>
      </c>
      <c r="D22" s="1">
        <v>1125004187.72</v>
      </c>
      <c r="E22" s="1">
        <v>1563632250.5699999</v>
      </c>
      <c r="F22" s="1">
        <v>1968333724.52</v>
      </c>
    </row>
    <row r="23" spans="1:8" x14ac:dyDescent="0.3">
      <c r="A23" s="98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8" x14ac:dyDescent="0.3">
      <c r="A24" s="98" t="s">
        <v>360</v>
      </c>
      <c r="B24" s="1">
        <v>1984512785.78</v>
      </c>
      <c r="C24" s="1">
        <v>1604068147.8800001</v>
      </c>
      <c r="D24" s="1">
        <v>983883061.11000001</v>
      </c>
      <c r="E24" s="1">
        <v>1389328793.6900001</v>
      </c>
      <c r="F24" s="1">
        <v>1741942913.73</v>
      </c>
    </row>
    <row r="25" spans="1:8" x14ac:dyDescent="0.3">
      <c r="A25" s="32" t="s">
        <v>224</v>
      </c>
      <c r="B25" s="1">
        <f>2727076930.05+234585</f>
        <v>2727311515.0500002</v>
      </c>
      <c r="C25" s="1">
        <f>2141645050.08+23625</f>
        <v>2141668675.0799999</v>
      </c>
      <c r="D25" s="1">
        <f>1847433227.77+1600756</f>
        <v>1849033983.77</v>
      </c>
      <c r="E25" s="1">
        <f>1173509675.41+156900</f>
        <v>1173666575.4100001</v>
      </c>
      <c r="F25" s="1">
        <f>618500+742635046.55</f>
        <v>743253546.54999995</v>
      </c>
      <c r="G25" s="1"/>
      <c r="H25" s="1"/>
    </row>
    <row r="26" spans="1:8" x14ac:dyDescent="0.3">
      <c r="A26" s="32" t="s">
        <v>225</v>
      </c>
      <c r="B26" s="1">
        <v>922438073.36000001</v>
      </c>
      <c r="C26" s="1">
        <v>940598748.73000002</v>
      </c>
      <c r="D26" s="1">
        <v>926051576.42999995</v>
      </c>
      <c r="E26" s="1">
        <v>908547416.28999996</v>
      </c>
      <c r="F26" s="1">
        <v>930173380.23000002</v>
      </c>
    </row>
    <row r="27" spans="1:8" x14ac:dyDescent="0.3">
      <c r="A27" s="72" t="s">
        <v>226</v>
      </c>
      <c r="B27" s="3">
        <f t="shared" ref="B27:C27" si="1">SUM(B16:B26)-B23-B24</f>
        <v>7871768434.0800009</v>
      </c>
      <c r="C27" s="3">
        <f t="shared" si="1"/>
        <v>7322695314.6999998</v>
      </c>
      <c r="D27" s="3">
        <f>SUM(D16:D26)-D23-D24</f>
        <v>6792531152.4800005</v>
      </c>
      <c r="E27" s="3">
        <f>SUM(E16:E26)-E23-E24</f>
        <v>6281297910.9200001</v>
      </c>
      <c r="F27" s="3">
        <f>SUM(F16:F26)-F23-F24</f>
        <v>6491307614.1000004</v>
      </c>
    </row>
    <row r="28" spans="1:8" x14ac:dyDescent="0.3">
      <c r="A28" s="10" t="s">
        <v>265</v>
      </c>
      <c r="B28" s="11">
        <f>B16+B17+B18</f>
        <v>-2632468528.4199996</v>
      </c>
      <c r="C28" s="11">
        <f>C16+C17+C18</f>
        <v>-2280689484.3200006</v>
      </c>
      <c r="D28" s="11">
        <f>D16+D17+D18</f>
        <v>-1712301813.8700001</v>
      </c>
      <c r="E28" s="11">
        <f>E16+E17+E18</f>
        <v>-1405366026.8800001</v>
      </c>
      <c r="F28" s="11">
        <f>F16+F17+F18</f>
        <v>-1022810939.0699999</v>
      </c>
    </row>
    <row r="29" spans="1:8" x14ac:dyDescent="0.3">
      <c r="D29" s="6">
        <f>D28/D27*100</f>
        <v>-25.208597140475781</v>
      </c>
      <c r="E29" s="6">
        <f>E28/E27*100</f>
        <v>-22.373815838869536</v>
      </c>
      <c r="F29" s="6">
        <f>F28/F27*100</f>
        <v>-15.75662408677592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0" workbookViewId="0">
      <selection activeCell="G193" sqref="G1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6" t="s">
        <v>209</v>
      </c>
      <c r="B1" s="116"/>
      <c r="C1" s="2" t="s">
        <v>210</v>
      </c>
      <c r="D1" s="96">
        <v>2016</v>
      </c>
      <c r="E1" s="96">
        <v>2017</v>
      </c>
      <c r="F1" s="96">
        <v>2018</v>
      </c>
      <c r="G1" s="96">
        <v>2019</v>
      </c>
      <c r="H1" s="96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3.9600000000000004</v>
      </c>
      <c r="E3" s="7">
        <v>3.7800000000000002</v>
      </c>
      <c r="F3" s="7">
        <v>3.93</v>
      </c>
      <c r="G3" s="7">
        <v>4.41</v>
      </c>
      <c r="H3" s="7">
        <v>3.37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101.884542334218</v>
      </c>
      <c r="E5" s="7">
        <v>98.631204416144897</v>
      </c>
      <c r="F5" s="7">
        <v>101.698983495595</v>
      </c>
      <c r="G5" s="7">
        <v>103.84</v>
      </c>
      <c r="H5" s="7">
        <v>105.11999999999999</v>
      </c>
    </row>
    <row r="6" spans="1:8" x14ac:dyDescent="0.3">
      <c r="A6" t="s">
        <v>82</v>
      </c>
      <c r="B6" t="s">
        <v>83</v>
      </c>
      <c r="D6" s="7">
        <v>92.59361564228</v>
      </c>
      <c r="E6" s="7">
        <v>92.631738950597992</v>
      </c>
      <c r="F6" s="7">
        <v>94.502642732584903</v>
      </c>
      <c r="G6" s="7">
        <v>95.38</v>
      </c>
      <c r="H6" s="7">
        <v>94.05</v>
      </c>
    </row>
    <row r="7" spans="1:8" x14ac:dyDescent="0.3">
      <c r="A7" t="s">
        <v>84</v>
      </c>
      <c r="B7" t="s">
        <v>85</v>
      </c>
      <c r="D7" s="7">
        <v>86.398950313302308</v>
      </c>
      <c r="E7" s="7">
        <v>87.113373463581496</v>
      </c>
      <c r="F7" s="7">
        <v>89.354426651377196</v>
      </c>
      <c r="G7" s="7">
        <v>90.31</v>
      </c>
      <c r="H7" s="7">
        <v>86.960000000000008</v>
      </c>
    </row>
    <row r="8" spans="1:8" x14ac:dyDescent="0.3">
      <c r="A8" t="s">
        <v>86</v>
      </c>
      <c r="B8" t="s">
        <v>87</v>
      </c>
      <c r="D8" s="7">
        <v>78.520166199142409</v>
      </c>
      <c r="E8" s="7">
        <v>81.814506043520893</v>
      </c>
      <c r="F8" s="7">
        <v>83.0316013805175</v>
      </c>
      <c r="G8" s="7">
        <v>82.94</v>
      </c>
      <c r="H8" s="7">
        <v>77.8</v>
      </c>
    </row>
    <row r="9" spans="1:8" x14ac:dyDescent="0.3">
      <c r="A9" t="s">
        <v>88</v>
      </c>
      <c r="B9" t="s">
        <v>89</v>
      </c>
      <c r="D9" s="7">
        <v>73.131506243788806</v>
      </c>
      <c r="E9" s="7">
        <v>69.470284611683795</v>
      </c>
      <c r="F9" s="7">
        <v>77.564801707049497</v>
      </c>
      <c r="G9" s="7">
        <v>86.42</v>
      </c>
      <c r="H9" s="7">
        <v>81.73</v>
      </c>
    </row>
    <row r="10" spans="1:8" x14ac:dyDescent="0.3">
      <c r="A10" t="s">
        <v>90</v>
      </c>
      <c r="B10" t="s">
        <v>91</v>
      </c>
      <c r="D10" s="7">
        <v>57.302820757132501</v>
      </c>
      <c r="E10" s="7">
        <v>62.239691927879406</v>
      </c>
      <c r="F10" s="7">
        <v>65.949904054532198</v>
      </c>
      <c r="G10" s="7">
        <v>72.25</v>
      </c>
      <c r="H10" s="7">
        <v>73.41</v>
      </c>
    </row>
    <row r="11" spans="1:8" x14ac:dyDescent="0.3">
      <c r="A11" t="s">
        <v>92</v>
      </c>
      <c r="B11" t="s">
        <v>93</v>
      </c>
      <c r="D11" s="7">
        <v>65.772556510845007</v>
      </c>
      <c r="E11" s="7">
        <v>60.701844768182703</v>
      </c>
      <c r="F11" s="7">
        <v>67.639721256100202</v>
      </c>
      <c r="G11" s="7">
        <v>74.28</v>
      </c>
      <c r="H11" s="7">
        <v>69.45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51.536652395962705</v>
      </c>
      <c r="E12" s="7">
        <v>54.383887138850795</v>
      </c>
      <c r="F12" s="7">
        <v>57.511049199390698</v>
      </c>
      <c r="G12" s="7">
        <v>62.1</v>
      </c>
      <c r="H12" s="7">
        <v>62.38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2.0099999999999998</v>
      </c>
      <c r="E17" s="7">
        <v>2.0556491265733299</v>
      </c>
      <c r="F17" s="7">
        <v>2.3042321229872798</v>
      </c>
      <c r="G17" s="7">
        <v>2.21</v>
      </c>
      <c r="H17" s="7">
        <v>2.1</v>
      </c>
    </row>
    <row r="18" spans="1:8" x14ac:dyDescent="0.3">
      <c r="A18" t="s">
        <v>104</v>
      </c>
      <c r="B18" t="s">
        <v>105</v>
      </c>
      <c r="D18" s="7">
        <v>22.29</v>
      </c>
      <c r="E18" s="7">
        <v>26.0317730382138</v>
      </c>
      <c r="F18" s="7">
        <v>33.844065222752398</v>
      </c>
      <c r="G18" s="7">
        <v>34.25</v>
      </c>
      <c r="H18" s="7">
        <v>34.21</v>
      </c>
    </row>
    <row r="19" spans="1:8" x14ac:dyDescent="0.3">
      <c r="A19" t="s">
        <v>106</v>
      </c>
      <c r="B19" t="s">
        <v>107</v>
      </c>
      <c r="D19" s="7">
        <v>1.7000000000000002</v>
      </c>
      <c r="E19" s="7">
        <v>2.1198563668751098</v>
      </c>
      <c r="F19" s="7">
        <v>2.3006652677270703</v>
      </c>
      <c r="G19" s="7">
        <v>2.48</v>
      </c>
      <c r="H19" s="7">
        <v>2.94</v>
      </c>
    </row>
    <row r="20" spans="1:8" x14ac:dyDescent="0.3">
      <c r="A20" t="s">
        <v>108</v>
      </c>
      <c r="B20" t="s">
        <v>109</v>
      </c>
      <c r="D20" s="7">
        <v>47.06</v>
      </c>
      <c r="E20" s="7">
        <v>47.549692403639703</v>
      </c>
      <c r="F20" s="7">
        <v>54.524482152375903</v>
      </c>
      <c r="G20" s="7">
        <v>52.92</v>
      </c>
      <c r="H20" s="7">
        <v>54.25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3.5408161458315499</v>
      </c>
      <c r="E22" s="7">
        <v>3.73558985930593</v>
      </c>
      <c r="F22" s="7">
        <v>6.7650752192938697</v>
      </c>
      <c r="G22" s="7">
        <v>7.04</v>
      </c>
      <c r="H22" s="7">
        <v>6.81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0.70798480545003106</v>
      </c>
      <c r="E24" s="7">
        <v>0.66672638387492</v>
      </c>
      <c r="F24" s="7">
        <v>0.59654623858634903</v>
      </c>
      <c r="G24" s="7">
        <v>0.54</v>
      </c>
      <c r="H24" s="7">
        <v>0.49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3.0837083151034298E-4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5.5906106805203599</v>
      </c>
      <c r="E28" s="7">
        <v>4.1554108839588304</v>
      </c>
      <c r="F28" s="7">
        <v>4.4428292794724005</v>
      </c>
      <c r="G28" s="7">
        <v>5.71</v>
      </c>
      <c r="H28" s="7">
        <v>6.9500000000000011</v>
      </c>
    </row>
    <row r="29" spans="1:8" x14ac:dyDescent="0.3">
      <c r="A29" t="s">
        <v>123</v>
      </c>
      <c r="B29" t="s">
        <v>124</v>
      </c>
      <c r="D29" s="7">
        <v>3.7</v>
      </c>
      <c r="E29" s="7">
        <v>7.49</v>
      </c>
      <c r="F29" s="7">
        <v>7.7606223521314597</v>
      </c>
      <c r="G29" s="7">
        <v>8.31</v>
      </c>
      <c r="H29" s="7">
        <v>14.52</v>
      </c>
    </row>
    <row r="30" spans="1:8" x14ac:dyDescent="0.3">
      <c r="A30" t="s">
        <v>125</v>
      </c>
      <c r="B30" t="s">
        <v>126</v>
      </c>
      <c r="D30" s="7">
        <v>134.94999999999999</v>
      </c>
      <c r="E30" s="7">
        <v>93.385713330645302</v>
      </c>
      <c r="F30" s="7">
        <v>101.878007636137</v>
      </c>
      <c r="G30" s="7">
        <v>139.63999999999999</v>
      </c>
      <c r="H30" s="7">
        <v>178.56</v>
      </c>
    </row>
    <row r="31" spans="1:8" x14ac:dyDescent="0.3">
      <c r="A31" t="s">
        <v>127</v>
      </c>
      <c r="B31" t="s">
        <v>128</v>
      </c>
      <c r="D31" s="7">
        <v>138.65</v>
      </c>
      <c r="E31" s="7">
        <v>100.87410247119701</v>
      </c>
      <c r="F31" s="7">
        <v>109.638629988269</v>
      </c>
      <c r="G31" s="7">
        <v>147.94</v>
      </c>
      <c r="H31" s="7">
        <v>193.08</v>
      </c>
    </row>
    <row r="32" spans="1:8" x14ac:dyDescent="0.3">
      <c r="A32" t="s">
        <v>129</v>
      </c>
      <c r="B32" t="s">
        <v>130</v>
      </c>
      <c r="D32" s="7">
        <v>55.779999999999994</v>
      </c>
      <c r="E32" s="7">
        <v>48.6251634196122</v>
      </c>
      <c r="F32" s="7">
        <v>71.542435407574601</v>
      </c>
      <c r="G32" s="7">
        <v>49.32</v>
      </c>
      <c r="H32" s="7">
        <v>24.7</v>
      </c>
    </row>
    <row r="33" spans="1:8" x14ac:dyDescent="0.3">
      <c r="A33" t="s">
        <v>131</v>
      </c>
      <c r="B33" t="s">
        <v>132</v>
      </c>
      <c r="D33" s="7">
        <v>2.12</v>
      </c>
      <c r="E33" s="7">
        <v>0.83620145814244307</v>
      </c>
      <c r="F33" s="7">
        <v>0.330311288448906</v>
      </c>
      <c r="G33" s="7">
        <v>0.95</v>
      </c>
      <c r="H33" s="7">
        <v>0.51</v>
      </c>
    </row>
    <row r="34" spans="1:8" x14ac:dyDescent="0.3">
      <c r="A34" t="s">
        <v>133</v>
      </c>
      <c r="B34" t="s">
        <v>134</v>
      </c>
      <c r="D34" s="7">
        <v>13.320000000000002</v>
      </c>
      <c r="E34" s="7">
        <v>11.26</v>
      </c>
      <c r="F34" s="7">
        <v>9.1771305287262912</v>
      </c>
      <c r="G34" s="7">
        <v>9.84</v>
      </c>
      <c r="H34" s="7">
        <v>13.81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60.690495750235698</v>
      </c>
      <c r="E36" s="7">
        <v>48.195379611252697</v>
      </c>
      <c r="F36" s="7">
        <v>63.503216023486196</v>
      </c>
      <c r="G36" s="7">
        <v>69.03</v>
      </c>
      <c r="H36" s="7">
        <v>80.510000000000005</v>
      </c>
    </row>
    <row r="37" spans="1:8" x14ac:dyDescent="0.3">
      <c r="A37" t="s">
        <v>138</v>
      </c>
      <c r="B37" t="s">
        <v>139</v>
      </c>
      <c r="D37" s="7">
        <v>16.267002470049</v>
      </c>
      <c r="E37" s="7">
        <v>22.767641873833501</v>
      </c>
      <c r="F37" s="7">
        <v>14.4162546936272</v>
      </c>
      <c r="G37" s="7">
        <v>25.96</v>
      </c>
      <c r="H37" s="7">
        <v>38.440000000000005</v>
      </c>
    </row>
    <row r="38" spans="1:8" x14ac:dyDescent="0.3">
      <c r="A38" t="s">
        <v>140</v>
      </c>
      <c r="B38" t="s">
        <v>141</v>
      </c>
      <c r="D38" s="7">
        <v>6.1009200407216503E-2</v>
      </c>
      <c r="E38" s="7">
        <v>0.37061167240723403</v>
      </c>
      <c r="F38" s="7">
        <v>2.1455214814378302E-5</v>
      </c>
      <c r="G38" s="7">
        <v>18.95</v>
      </c>
      <c r="H38" s="7">
        <v>0.03</v>
      </c>
    </row>
    <row r="39" spans="1:8" x14ac:dyDescent="0.3">
      <c r="A39" t="s">
        <v>142</v>
      </c>
      <c r="B39" t="s">
        <v>143</v>
      </c>
      <c r="D39" s="7">
        <v>36.487625433477398</v>
      </c>
      <c r="E39" s="7">
        <v>36.184886037993799</v>
      </c>
      <c r="F39" s="7">
        <v>39.7577562340093</v>
      </c>
      <c r="G39" s="7">
        <v>33.880000000000003</v>
      </c>
      <c r="H39" s="7">
        <v>36.26</v>
      </c>
    </row>
    <row r="40" spans="1:8" x14ac:dyDescent="0.3">
      <c r="A40" t="s">
        <v>144</v>
      </c>
      <c r="B40" t="s">
        <v>145</v>
      </c>
      <c r="D40" s="7">
        <v>20.635046404337402</v>
      </c>
      <c r="E40" s="7">
        <v>26.782047325223203</v>
      </c>
      <c r="F40" s="7">
        <v>32.033912620894299</v>
      </c>
      <c r="G40" s="7">
        <v>40.01</v>
      </c>
      <c r="H40" s="7">
        <v>48.33</v>
      </c>
    </row>
    <row r="41" spans="1:8" x14ac:dyDescent="0.3">
      <c r="A41" t="s">
        <v>146</v>
      </c>
      <c r="B41" t="s">
        <v>147</v>
      </c>
      <c r="D41" s="7">
        <v>2.67816964501292</v>
      </c>
      <c r="E41" s="7">
        <v>0.94485809537097309</v>
      </c>
      <c r="F41" s="7">
        <v>0.60124735476260704</v>
      </c>
      <c r="G41" s="7">
        <v>23.41</v>
      </c>
      <c r="H41" s="7">
        <v>3.9899999999999998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73.930683212829095</v>
      </c>
      <c r="E43" s="7">
        <v>73.528778876955698</v>
      </c>
      <c r="F43" s="7">
        <v>76.367354136590606</v>
      </c>
      <c r="G43" s="7">
        <v>75.13</v>
      </c>
      <c r="H43" s="7">
        <v>75.819999999999993</v>
      </c>
    </row>
    <row r="44" spans="1:8" x14ac:dyDescent="0.3">
      <c r="A44" t="s">
        <v>151</v>
      </c>
      <c r="B44" t="s">
        <v>152</v>
      </c>
      <c r="D44" s="7">
        <v>88.926377007934192</v>
      </c>
      <c r="E44" s="7">
        <v>85.534800218199905</v>
      </c>
      <c r="F44" s="7">
        <v>87.695820053170905</v>
      </c>
      <c r="G44" s="7">
        <v>88.06</v>
      </c>
      <c r="H44" s="7">
        <v>88.14</v>
      </c>
    </row>
    <row r="45" spans="1:8" x14ac:dyDescent="0.3">
      <c r="A45" t="s">
        <v>153</v>
      </c>
      <c r="B45" t="s">
        <v>154</v>
      </c>
      <c r="D45" s="7">
        <v>84.103756060384811</v>
      </c>
      <c r="E45" s="7">
        <v>86.7915151895142</v>
      </c>
      <c r="F45" s="7">
        <v>87.570052895341306</v>
      </c>
      <c r="G45" s="7">
        <v>87.43</v>
      </c>
      <c r="H45" s="7">
        <v>86.5</v>
      </c>
    </row>
    <row r="46" spans="1:8" x14ac:dyDescent="0.3">
      <c r="A46" t="s">
        <v>155</v>
      </c>
      <c r="B46" t="s">
        <v>156</v>
      </c>
      <c r="D46" s="7">
        <v>39.380945730692005</v>
      </c>
      <c r="E46" s="7">
        <v>37.7027313682201</v>
      </c>
      <c r="F46" s="7">
        <v>59.594436246823598</v>
      </c>
      <c r="G46" s="7">
        <v>56.77</v>
      </c>
      <c r="H46" s="7">
        <v>57.9</v>
      </c>
    </row>
    <row r="47" spans="1:8" x14ac:dyDescent="0.3">
      <c r="A47" t="s">
        <v>157</v>
      </c>
      <c r="B47" t="s">
        <v>158</v>
      </c>
      <c r="D47" s="7">
        <v>-6.95</v>
      </c>
      <c r="E47" s="7">
        <v>-26.56</v>
      </c>
      <c r="F47" s="7">
        <v>-27.81</v>
      </c>
      <c r="G47" s="7">
        <v>-21.78</v>
      </c>
      <c r="H47" s="7">
        <v>-25.48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162</v>
      </c>
      <c r="B50" t="s">
        <v>163</v>
      </c>
      <c r="D50" s="7">
        <v>2.79</v>
      </c>
      <c r="E50" s="7">
        <v>2.3348565538644199</v>
      </c>
      <c r="F50" s="7">
        <v>2.4033235125468799</v>
      </c>
      <c r="G50" s="7">
        <v>3.94</v>
      </c>
      <c r="H50" s="7">
        <v>2.1800000000000002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1.66</v>
      </c>
      <c r="E51" s="7">
        <v>1.66809695163604</v>
      </c>
      <c r="F51" s="7">
        <v>1.6778955412194101</v>
      </c>
      <c r="G51" s="7">
        <v>2.34</v>
      </c>
      <c r="H51" s="7">
        <v>1.34</v>
      </c>
    </row>
    <row r="52" spans="1:8" x14ac:dyDescent="0.3">
      <c r="A52" t="s">
        <v>166</v>
      </c>
      <c r="B52" t="s">
        <v>167</v>
      </c>
      <c r="D52" s="7">
        <v>1244.93</v>
      </c>
      <c r="E52" s="7">
        <v>1260.1154296331499</v>
      </c>
      <c r="F52" s="7">
        <v>1225.70857184755</v>
      </c>
      <c r="G52" s="7">
        <v>1080.8900000000001</v>
      </c>
      <c r="H52" s="7">
        <v>1052.18</v>
      </c>
    </row>
    <row r="53" spans="1:8" x14ac:dyDescent="0.3">
      <c r="A53" t="s">
        <v>168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169</v>
      </c>
      <c r="B54" t="s">
        <v>170</v>
      </c>
      <c r="D54" s="7">
        <v>0</v>
      </c>
      <c r="E54" s="7">
        <v>0</v>
      </c>
      <c r="F54" s="7">
        <v>0</v>
      </c>
      <c r="G54" s="7">
        <v>-1105.7630974540646</v>
      </c>
      <c r="H54" s="7">
        <v>-1717.461411907577</v>
      </c>
    </row>
    <row r="55" spans="1:8" x14ac:dyDescent="0.3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173</v>
      </c>
      <c r="B56" t="s">
        <v>174</v>
      </c>
      <c r="D56" s="7">
        <v>0</v>
      </c>
      <c r="E56" s="7">
        <v>0</v>
      </c>
      <c r="F56" s="7">
        <v>0</v>
      </c>
      <c r="G56" s="7">
        <v>669.10730869117094</v>
      </c>
      <c r="H56" s="7">
        <v>1194.5752568929031</v>
      </c>
    </row>
    <row r="57" spans="1:8" x14ac:dyDescent="0.3">
      <c r="A57" t="s">
        <v>175</v>
      </c>
      <c r="B57" t="s">
        <v>176</v>
      </c>
      <c r="D57" s="7">
        <v>0</v>
      </c>
      <c r="E57" s="7">
        <v>0</v>
      </c>
      <c r="F57" s="7">
        <v>0</v>
      </c>
      <c r="G57" s="7">
        <v>336.65578876289368</v>
      </c>
      <c r="H57" s="7">
        <v>622.88615501467416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0</v>
      </c>
      <c r="E59" s="7">
        <v>2.6273161523033401</v>
      </c>
      <c r="F59" s="7">
        <v>2.7489409145075703</v>
      </c>
      <c r="G59" s="7">
        <v>13.28813937280588</v>
      </c>
      <c r="H59" s="7">
        <v>15.177977036126103</v>
      </c>
    </row>
    <row r="60" spans="1:8" x14ac:dyDescent="0.3">
      <c r="A60" t="s">
        <v>180</v>
      </c>
      <c r="B60" t="s">
        <v>181</v>
      </c>
      <c r="D60" s="7"/>
      <c r="E60" s="7"/>
      <c r="F60" s="7"/>
      <c r="G60" s="7">
        <v>-13.28813937280588</v>
      </c>
      <c r="H60" s="7">
        <v>-15.177977036126103</v>
      </c>
    </row>
    <row r="61" spans="1:8" x14ac:dyDescent="0.3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100</v>
      </c>
      <c r="H61" s="7">
        <v>100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31.59</v>
      </c>
      <c r="E62" s="7">
        <v>26.506217167721701</v>
      </c>
      <c r="F62" s="7">
        <v>22.193024719544997</v>
      </c>
      <c r="G62" s="7">
        <v>16.559449041405053</v>
      </c>
      <c r="H62" s="7">
        <v>13.26396187982764</v>
      </c>
    </row>
    <row r="63" spans="1:8" x14ac:dyDescent="0.3">
      <c r="A63" t="s">
        <v>352</v>
      </c>
      <c r="B63" t="s">
        <v>353</v>
      </c>
      <c r="C63" s="7"/>
      <c r="D63" s="7">
        <v>100</v>
      </c>
      <c r="E63" s="7">
        <v>74.444760234891206</v>
      </c>
      <c r="F63" s="7">
        <v>69.732776720542304</v>
      </c>
      <c r="G63" s="7">
        <v>66.099999999999994</v>
      </c>
      <c r="H63" s="7">
        <v>61.240000000000009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</v>
      </c>
      <c r="E65" s="7">
        <v>0</v>
      </c>
      <c r="F65" s="7">
        <v>0</v>
      </c>
      <c r="G65" s="7">
        <v>0</v>
      </c>
      <c r="H65" s="7">
        <v>0.02</v>
      </c>
    </row>
    <row r="66" spans="1:8" x14ac:dyDescent="0.3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0.02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84.67</v>
      </c>
      <c r="E69" s="7">
        <v>70.794699189245705</v>
      </c>
      <c r="F69" s="30">
        <v>72.252206120108994</v>
      </c>
      <c r="G69" s="30">
        <v>44.23</v>
      </c>
      <c r="H69" s="30">
        <v>46.06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4.9399999999999995</v>
      </c>
      <c r="E71" s="30">
        <v>2.5698599073496897</v>
      </c>
      <c r="F71" s="7">
        <v>2.6769708348323697</v>
      </c>
      <c r="G71" s="7">
        <v>2.78</v>
      </c>
      <c r="H71" s="7">
        <v>2.5</v>
      </c>
    </row>
    <row r="72" spans="1:8" x14ac:dyDescent="0.3">
      <c r="A72" t="s">
        <v>199</v>
      </c>
      <c r="B72" t="s">
        <v>200</v>
      </c>
      <c r="D72" s="7">
        <v>5.1100000000000003</v>
      </c>
      <c r="E72" s="30">
        <v>2.7006349906254798</v>
      </c>
      <c r="F72" s="7">
        <v>2.8476721959131797</v>
      </c>
      <c r="G72" s="7">
        <v>2.95</v>
      </c>
      <c r="H72" s="7">
        <v>2.62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62.71</v>
      </c>
      <c r="E74" s="7">
        <v>68.59</v>
      </c>
      <c r="F74" s="7">
        <v>69.489999999999995</v>
      </c>
      <c r="G74" s="7">
        <v>75.430000000000007</v>
      </c>
      <c r="H74" s="7">
        <v>77.599999999999994</v>
      </c>
    </row>
    <row r="75" spans="1:8" x14ac:dyDescent="0.3">
      <c r="B75" t="s">
        <v>202</v>
      </c>
      <c r="D75" s="7">
        <v>79.92</v>
      </c>
      <c r="E75" s="7">
        <v>82.56</v>
      </c>
      <c r="F75" s="7">
        <v>82.15</v>
      </c>
      <c r="G75" s="7">
        <v>88.8</v>
      </c>
      <c r="H75" s="7">
        <v>90.21</v>
      </c>
    </row>
    <row r="76" spans="1:8" x14ac:dyDescent="0.3">
      <c r="B76" t="s">
        <v>203</v>
      </c>
      <c r="D76" s="7">
        <v>26.1</v>
      </c>
      <c r="E76" s="7">
        <v>42.97</v>
      </c>
      <c r="F76" s="7">
        <v>42.92</v>
      </c>
      <c r="G76" s="7">
        <v>44.2</v>
      </c>
      <c r="H76" s="7">
        <v>42.03</v>
      </c>
    </row>
    <row r="77" spans="1:8" x14ac:dyDescent="0.3">
      <c r="A77" s="8" t="s">
        <v>36</v>
      </c>
      <c r="B77" s="8"/>
      <c r="C77" s="9">
        <v>47</v>
      </c>
      <c r="D77" s="7">
        <v>63.429711804000263</v>
      </c>
      <c r="E77" s="7">
        <v>67.986308233024189</v>
      </c>
      <c r="F77" s="30">
        <v>69.343028104050788</v>
      </c>
      <c r="G77" s="30">
        <v>75.104444611763157</v>
      </c>
      <c r="H77" s="30">
        <v>76.250811062392984</v>
      </c>
    </row>
    <row r="78" spans="1:8" x14ac:dyDescent="0.3">
      <c r="A78" s="31" t="s">
        <v>333</v>
      </c>
      <c r="B78" s="31"/>
      <c r="C78" s="63"/>
      <c r="D78" s="30">
        <v>57.854133703212248</v>
      </c>
      <c r="E78" s="30">
        <v>63.792748473435545</v>
      </c>
      <c r="F78" s="30">
        <v>66.881627960599459</v>
      </c>
      <c r="G78" s="30">
        <v>73.034174418013208</v>
      </c>
      <c r="H78" s="30">
        <v>73.267846220003818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1.4077550012348725</v>
      </c>
      <c r="E80" s="7">
        <v>1.2288685287776422</v>
      </c>
      <c r="F80" s="30">
        <v>1.1299435028248588</v>
      </c>
      <c r="G80" s="30">
        <v>1.181235234559568</v>
      </c>
      <c r="H80" s="30">
        <v>1.0596962204168139</v>
      </c>
    </row>
    <row r="81" spans="1:8" x14ac:dyDescent="0.3">
      <c r="A81">
        <v>9</v>
      </c>
      <c r="B81" t="s">
        <v>345</v>
      </c>
      <c r="D81" s="7">
        <v>0.24697456162015313</v>
      </c>
      <c r="E81" s="7">
        <v>1.7548549077105215</v>
      </c>
      <c r="F81" s="30">
        <v>1.6723163841807911</v>
      </c>
      <c r="G81" s="30">
        <v>1.93497581280234</v>
      </c>
      <c r="H81" s="30">
        <v>1.7661603673613562</v>
      </c>
    </row>
    <row r="82" spans="1:8" x14ac:dyDescent="0.3">
      <c r="A82">
        <v>10</v>
      </c>
      <c r="B82" t="s">
        <v>205</v>
      </c>
      <c r="D82" s="7">
        <v>7.273400839713509</v>
      </c>
      <c r="E82" s="7">
        <v>6.9495902942894014</v>
      </c>
      <c r="F82" s="30">
        <v>7.7175141242937855</v>
      </c>
      <c r="G82" s="30">
        <v>7.73990325120936</v>
      </c>
      <c r="H82" s="30">
        <v>7.8182032261862693</v>
      </c>
    </row>
    <row r="83" spans="1:8" x14ac:dyDescent="0.3">
      <c r="A83">
        <v>12</v>
      </c>
      <c r="B83" t="s">
        <v>206</v>
      </c>
      <c r="D83" s="7">
        <v>0.20992837737713019</v>
      </c>
      <c r="E83" s="7">
        <v>0.98195239850445848</v>
      </c>
      <c r="F83" s="30">
        <v>0.89265536723163852</v>
      </c>
      <c r="G83" s="30">
        <v>1.06873664079199</v>
      </c>
      <c r="H83" s="30">
        <v>1.295184269398328</v>
      </c>
    </row>
    <row r="84" spans="1:8" x14ac:dyDescent="0.3">
      <c r="A84">
        <v>13</v>
      </c>
      <c r="B84" t="s">
        <v>354</v>
      </c>
      <c r="D84" s="7">
        <v>76.20400098789824</v>
      </c>
      <c r="E84" s="7">
        <v>78.456905203085057</v>
      </c>
      <c r="F84" s="30">
        <v>76.937853107344637</v>
      </c>
      <c r="G84" s="30">
        <v>74.834064574192809</v>
      </c>
      <c r="H84" s="30">
        <v>76.356999882255963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56.78</v>
      </c>
      <c r="E86" s="7">
        <v>75.649037285618704</v>
      </c>
      <c r="F86" s="7">
        <v>64.3</v>
      </c>
      <c r="G86" s="7">
        <v>88.01</v>
      </c>
      <c r="H86" s="7">
        <v>84.95</v>
      </c>
    </row>
    <row r="87" spans="1:8" x14ac:dyDescent="0.3">
      <c r="A87">
        <v>9</v>
      </c>
      <c r="B87" t="s">
        <v>345</v>
      </c>
      <c r="D87" s="7">
        <v>39.64</v>
      </c>
      <c r="E87" s="7">
        <v>53.630544511880302</v>
      </c>
      <c r="F87" s="7">
        <v>53.78</v>
      </c>
      <c r="G87" s="7">
        <v>60.88</v>
      </c>
      <c r="H87" s="7">
        <v>56.19</v>
      </c>
    </row>
    <row r="88" spans="1:8" x14ac:dyDescent="0.3">
      <c r="A88">
        <v>10</v>
      </c>
      <c r="B88" t="s">
        <v>205</v>
      </c>
      <c r="D88" s="7">
        <v>69.11</v>
      </c>
      <c r="E88" s="7">
        <v>73.589039554236194</v>
      </c>
      <c r="F88" s="7">
        <v>73.34</v>
      </c>
      <c r="G88" s="7">
        <v>74.53</v>
      </c>
      <c r="H88" s="7">
        <v>73.69</v>
      </c>
    </row>
    <row r="89" spans="1:8" x14ac:dyDescent="0.3">
      <c r="A89">
        <v>12</v>
      </c>
      <c r="B89" t="s">
        <v>206</v>
      </c>
      <c r="D89" s="7">
        <v>60.86</v>
      </c>
      <c r="E89" s="7">
        <v>59.358688618315497</v>
      </c>
      <c r="F89" s="7">
        <v>76.319999999999993</v>
      </c>
      <c r="G89" s="7">
        <v>62.02</v>
      </c>
      <c r="H89" s="7">
        <v>83.17</v>
      </c>
    </row>
    <row r="90" spans="1:8" x14ac:dyDescent="0.3">
      <c r="A90">
        <v>13</v>
      </c>
      <c r="B90" t="s">
        <v>354</v>
      </c>
      <c r="D90" s="7">
        <v>71.91</v>
      </c>
      <c r="E90" s="7">
        <v>72.746866195617997</v>
      </c>
      <c r="F90" s="7">
        <v>79.33</v>
      </c>
      <c r="G90" s="7">
        <v>80.23</v>
      </c>
      <c r="H90" s="7">
        <v>81.78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2022-06-11T09:09:00Z</dcterms:modified>
</cp:coreProperties>
</file>