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11" activeTab="13"/>
  </bookViews>
  <sheets>
    <sheet name="Risultato_amministrazione_2016" sheetId="15" r:id="rId1"/>
    <sheet name="Risultato_amministrazione_2017" sheetId="14" r:id="rId2"/>
    <sheet name="Risultato_amministrazione_2018" sheetId="1" r:id="rId3"/>
    <sheet name="Risultato_amministrazione_2019" sheetId="23" r:id="rId4"/>
    <sheet name="Risultato_amministrazione" sheetId="21" r:id="rId5"/>
    <sheet name="Conto_economico_2016" sheetId="17" r:id="rId6"/>
    <sheet name="Conto_economico_2017" sheetId="16" r:id="rId7"/>
    <sheet name="Conto_economico_2018" sheetId="6" r:id="rId8"/>
    <sheet name="Conto_economico_2019" sheetId="24" r:id="rId9"/>
    <sheet name="Tav_contoeconomico" sheetId="10" r:id="rId10"/>
    <sheet name="Stato_patrimoniale_2016" sheetId="20" r:id="rId11"/>
    <sheet name="Stato_patrimoniale_2017" sheetId="19" r:id="rId12"/>
    <sheet name="Stato_patrimoniale_2018" sheetId="5" r:id="rId13"/>
    <sheet name="Stato_patrimoniale_2019" sheetId="25" r:id="rId14"/>
    <sheet name="Tav_Stato_Patrimoniale" sheetId="22" r:id="rId15"/>
  </sheets>
  <calcPr calcId="152511"/>
</workbook>
</file>

<file path=xl/calcChain.xml><?xml version="1.0" encoding="utf-8"?>
<calcChain xmlns="http://schemas.openxmlformats.org/spreadsheetml/2006/main">
  <c r="Y21" i="24" l="1"/>
  <c r="Y12" i="24"/>
  <c r="Y13" i="24"/>
  <c r="Y14" i="24"/>
  <c r="Y15" i="24"/>
  <c r="Y16" i="24"/>
  <c r="Y17" i="24"/>
  <c r="Y18" i="24"/>
  <c r="Y19" i="24"/>
  <c r="Y20" i="24"/>
  <c r="Y11" i="24"/>
  <c r="C28" i="23" l="1"/>
  <c r="D28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Q28" i="23"/>
  <c r="R28" i="23"/>
  <c r="S28" i="23"/>
  <c r="T28" i="23"/>
  <c r="U28" i="23"/>
  <c r="V28" i="23"/>
  <c r="W28" i="23"/>
  <c r="B28" i="23"/>
  <c r="C26" i="23" l="1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S26" i="23"/>
  <c r="T26" i="23"/>
  <c r="U26" i="23"/>
  <c r="V26" i="23"/>
  <c r="W26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B27" i="23"/>
  <c r="B26" i="23"/>
  <c r="P28" i="25" l="1"/>
  <c r="P31" i="25" s="1"/>
  <c r="P27" i="25"/>
  <c r="P15" i="25"/>
  <c r="Q21" i="24"/>
  <c r="Q10" i="24"/>
  <c r="Q28" i="24" s="1"/>
  <c r="P20" i="23"/>
  <c r="P14" i="23"/>
  <c r="P7" i="23"/>
  <c r="P22" i="23" s="1"/>
  <c r="V28" i="25" l="1"/>
  <c r="V31" i="25" s="1"/>
  <c r="V27" i="25"/>
  <c r="V15" i="25"/>
  <c r="W21" i="24"/>
  <c r="W10" i="24"/>
  <c r="W28" i="24" s="1"/>
  <c r="V20" i="23"/>
  <c r="V14" i="23"/>
  <c r="V7" i="23"/>
  <c r="V22" i="23" s="1"/>
  <c r="U28" i="25" l="1"/>
  <c r="U31" i="25" s="1"/>
  <c r="U27" i="25"/>
  <c r="U15" i="25"/>
  <c r="V21" i="24"/>
  <c r="V10" i="24"/>
  <c r="V28" i="24" s="1"/>
  <c r="U20" i="23"/>
  <c r="U14" i="23"/>
  <c r="U22" i="23" s="1"/>
  <c r="U7" i="23"/>
  <c r="T28" i="25" l="1"/>
  <c r="T31" i="25" s="1"/>
  <c r="T27" i="25"/>
  <c r="T15" i="25"/>
  <c r="U21" i="24"/>
  <c r="U10" i="24"/>
  <c r="U28" i="24" s="1"/>
  <c r="T20" i="23"/>
  <c r="T14" i="23"/>
  <c r="T7" i="23"/>
  <c r="T22" i="23" s="1"/>
  <c r="R28" i="25" l="1"/>
  <c r="R31" i="25" s="1"/>
  <c r="R27" i="25"/>
  <c r="R15" i="25"/>
  <c r="S21" i="24"/>
  <c r="S10" i="24"/>
  <c r="S28" i="24" s="1"/>
  <c r="R20" i="23"/>
  <c r="R14" i="23"/>
  <c r="R7" i="23"/>
  <c r="R22" i="23" s="1"/>
  <c r="Q28" i="25" l="1"/>
  <c r="Q31" i="25" s="1"/>
  <c r="Q27" i="25"/>
  <c r="Q15" i="25"/>
  <c r="R21" i="24"/>
  <c r="R10" i="24"/>
  <c r="R28" i="24" s="1"/>
  <c r="Q20" i="23"/>
  <c r="Q14" i="23"/>
  <c r="Q7" i="23"/>
  <c r="Q22" i="23" s="1"/>
  <c r="N28" i="25" l="1"/>
  <c r="N31" i="25" s="1"/>
  <c r="N27" i="25"/>
  <c r="N15" i="25"/>
  <c r="O21" i="24"/>
  <c r="O10" i="24"/>
  <c r="O28" i="24" s="1"/>
  <c r="N20" i="23"/>
  <c r="N14" i="23"/>
  <c r="N7" i="23"/>
  <c r="N22" i="23" s="1"/>
  <c r="M28" i="25" l="1"/>
  <c r="M31" i="25" s="1"/>
  <c r="M27" i="25"/>
  <c r="M15" i="25"/>
  <c r="N21" i="24"/>
  <c r="N10" i="24"/>
  <c r="N28" i="24" s="1"/>
  <c r="M20" i="23"/>
  <c r="M14" i="23"/>
  <c r="M6" i="23"/>
  <c r="M7" i="23" s="1"/>
  <c r="M22" i="23" s="1"/>
  <c r="L28" i="25" l="1"/>
  <c r="L31" i="25" s="1"/>
  <c r="L27" i="25"/>
  <c r="L15" i="25"/>
  <c r="M21" i="24"/>
  <c r="M10" i="24"/>
  <c r="M28" i="24" s="1"/>
  <c r="L20" i="23"/>
  <c r="L14" i="23"/>
  <c r="L22" i="23" s="1"/>
  <c r="L7" i="23"/>
  <c r="K28" i="25" l="1"/>
  <c r="K31" i="25" s="1"/>
  <c r="K25" i="25"/>
  <c r="K27" i="25" s="1"/>
  <c r="K15" i="25"/>
  <c r="L21" i="24"/>
  <c r="L10" i="24"/>
  <c r="L28" i="24" s="1"/>
  <c r="K20" i="23"/>
  <c r="K14" i="23"/>
  <c r="K7" i="23"/>
  <c r="K22" i="23" s="1"/>
  <c r="J28" i="25" l="1"/>
  <c r="J31" i="25" s="1"/>
  <c r="J27" i="25"/>
  <c r="J15" i="25"/>
  <c r="K21" i="24"/>
  <c r="K10" i="24"/>
  <c r="K28" i="24" s="1"/>
  <c r="J20" i="23"/>
  <c r="J14" i="23"/>
  <c r="J7" i="23"/>
  <c r="J22" i="23" s="1"/>
  <c r="I28" i="25" l="1"/>
  <c r="I31" i="25" s="1"/>
  <c r="I27" i="25"/>
  <c r="I15" i="25"/>
  <c r="J21" i="24"/>
  <c r="J10" i="24"/>
  <c r="J28" i="24" s="1"/>
  <c r="I20" i="23"/>
  <c r="I14" i="23"/>
  <c r="I7" i="23"/>
  <c r="I22" i="23" s="1"/>
  <c r="H28" i="25" l="1"/>
  <c r="H31" i="25" s="1"/>
  <c r="H25" i="25"/>
  <c r="H22" i="25"/>
  <c r="H20" i="25"/>
  <c r="H6" i="25"/>
  <c r="H5" i="25"/>
  <c r="I21" i="24"/>
  <c r="I10" i="24"/>
  <c r="I28" i="24" s="1"/>
  <c r="H20" i="23"/>
  <c r="H14" i="23"/>
  <c r="H7" i="23"/>
  <c r="H22" i="23" s="1"/>
  <c r="H27" i="25" l="1"/>
  <c r="H15" i="25"/>
  <c r="G28" i="25"/>
  <c r="G31" i="25" s="1"/>
  <c r="G25" i="25"/>
  <c r="G19" i="25"/>
  <c r="G27" i="25" s="1"/>
  <c r="G15" i="25"/>
  <c r="H21" i="24"/>
  <c r="H10" i="24"/>
  <c r="H28" i="24" s="1"/>
  <c r="G20" i="23"/>
  <c r="G14" i="23"/>
  <c r="G7" i="23"/>
  <c r="G22" i="23" s="1"/>
  <c r="F28" i="25" l="1"/>
  <c r="F31" i="25" s="1"/>
  <c r="F19" i="25"/>
  <c r="F27" i="25" s="1"/>
  <c r="F15" i="25"/>
  <c r="G21" i="24"/>
  <c r="G10" i="24"/>
  <c r="G28" i="24" s="1"/>
  <c r="F20" i="23"/>
  <c r="F14" i="23"/>
  <c r="F7" i="23"/>
  <c r="F22" i="23" s="1"/>
  <c r="E28" i="25" l="1"/>
  <c r="E31" i="25" s="1"/>
  <c r="E25" i="25"/>
  <c r="E19" i="25"/>
  <c r="E27" i="25" s="1"/>
  <c r="E15" i="25"/>
  <c r="F21" i="24"/>
  <c r="F10" i="24"/>
  <c r="F28" i="24" s="1"/>
  <c r="E20" i="23"/>
  <c r="E14" i="23"/>
  <c r="E7" i="23"/>
  <c r="E22" i="23" s="1"/>
  <c r="D28" i="25" l="1"/>
  <c r="D31" i="25" s="1"/>
  <c r="D19" i="25"/>
  <c r="D27" i="25" s="1"/>
  <c r="D15" i="25"/>
  <c r="E21" i="24"/>
  <c r="E10" i="24"/>
  <c r="E28" i="24" s="1"/>
  <c r="D20" i="23"/>
  <c r="D14" i="23"/>
  <c r="D6" i="23"/>
  <c r="D7" i="23" s="1"/>
  <c r="D22" i="23" s="1"/>
  <c r="C28" i="25" l="1"/>
  <c r="C31" i="25" s="1"/>
  <c r="C27" i="25"/>
  <c r="C15" i="25"/>
  <c r="D21" i="24"/>
  <c r="D10" i="24"/>
  <c r="D28" i="24" s="1"/>
  <c r="C20" i="23"/>
  <c r="C14" i="23"/>
  <c r="C7" i="23"/>
  <c r="C22" i="23" s="1"/>
  <c r="B28" i="25" l="1"/>
  <c r="B31" i="25" s="1"/>
  <c r="B27" i="25"/>
  <c r="B15" i="25"/>
  <c r="C21" i="24"/>
  <c r="C10" i="24"/>
  <c r="C28" i="24" s="1"/>
  <c r="B20" i="23"/>
  <c r="B14" i="23"/>
  <c r="B7" i="23"/>
  <c r="B22" i="23" s="1"/>
  <c r="F105" i="25" l="1"/>
  <c r="F104" i="25"/>
  <c r="F103" i="25"/>
  <c r="F102" i="25"/>
  <c r="F101" i="25"/>
  <c r="F100" i="25"/>
  <c r="F99" i="25"/>
  <c r="F98" i="25"/>
  <c r="F97" i="25"/>
  <c r="F96" i="25"/>
  <c r="F95" i="25"/>
  <c r="F94" i="25"/>
  <c r="F93" i="25"/>
  <c r="F92" i="25"/>
  <c r="F91" i="25"/>
  <c r="F90" i="25"/>
  <c r="F89" i="25"/>
  <c r="F88" i="25"/>
  <c r="F87" i="25"/>
  <c r="F86" i="25"/>
  <c r="F85" i="25"/>
  <c r="V30" i="25"/>
  <c r="U30" i="25"/>
  <c r="T30" i="25"/>
  <c r="S30" i="25"/>
  <c r="R30" i="25"/>
  <c r="Q30" i="25"/>
  <c r="P30" i="25"/>
  <c r="O30" i="25"/>
  <c r="N30" i="25"/>
  <c r="M30" i="25"/>
  <c r="L30" i="25"/>
  <c r="J30" i="25"/>
  <c r="I30" i="25"/>
  <c r="G30" i="25"/>
  <c r="F30" i="25"/>
  <c r="E30" i="25"/>
  <c r="D30" i="25"/>
  <c r="C30" i="25"/>
  <c r="B30" i="25"/>
  <c r="U29" i="25"/>
  <c r="T29" i="25"/>
  <c r="M29" i="25"/>
  <c r="L29" i="25"/>
  <c r="C29" i="25"/>
  <c r="V29" i="25"/>
  <c r="S28" i="25"/>
  <c r="S31" i="25" s="1"/>
  <c r="R29" i="25"/>
  <c r="Q29" i="25"/>
  <c r="O28" i="25"/>
  <c r="N29" i="25"/>
  <c r="J29" i="25"/>
  <c r="I29" i="25"/>
  <c r="G29" i="25"/>
  <c r="B29" i="25"/>
  <c r="S27" i="25"/>
  <c r="P29" i="25"/>
  <c r="O27" i="25"/>
  <c r="H29" i="25"/>
  <c r="W26" i="25"/>
  <c r="E26" i="22" s="1"/>
  <c r="K30" i="25"/>
  <c r="W24" i="25"/>
  <c r="E24" i="22" s="1"/>
  <c r="W23" i="25"/>
  <c r="E23" i="22" s="1"/>
  <c r="H30" i="25"/>
  <c r="W21" i="25"/>
  <c r="E21" i="22" s="1"/>
  <c r="W20" i="25"/>
  <c r="E20" i="22" s="1"/>
  <c r="E29" i="25"/>
  <c r="W18" i="25"/>
  <c r="E18" i="22" s="1"/>
  <c r="W17" i="25"/>
  <c r="E17" i="22" s="1"/>
  <c r="W16" i="25"/>
  <c r="E16" i="22" s="1"/>
  <c r="S15" i="25"/>
  <c r="O15" i="25"/>
  <c r="W14" i="25"/>
  <c r="E14" i="22" s="1"/>
  <c r="W13" i="25"/>
  <c r="E13" i="22" s="1"/>
  <c r="W12" i="25"/>
  <c r="E12" i="22" s="1"/>
  <c r="W11" i="25"/>
  <c r="E11" i="22" s="1"/>
  <c r="W10" i="25"/>
  <c r="E10" i="22" s="1"/>
  <c r="W9" i="25"/>
  <c r="E9" i="22" s="1"/>
  <c r="W8" i="25"/>
  <c r="E8" i="22" s="1"/>
  <c r="W7" i="25"/>
  <c r="E7" i="22" s="1"/>
  <c r="W6" i="25"/>
  <c r="E6" i="22" s="1"/>
  <c r="W4" i="25"/>
  <c r="E4" i="22" s="1"/>
  <c r="W3" i="25"/>
  <c r="E3" i="22" s="1"/>
  <c r="W2" i="25"/>
  <c r="E2" i="22" s="1"/>
  <c r="T28" i="24"/>
  <c r="P28" i="24"/>
  <c r="X27" i="24"/>
  <c r="E17" i="10" s="1"/>
  <c r="X26" i="24"/>
  <c r="X25" i="24"/>
  <c r="X24" i="24"/>
  <c r="E15" i="10" s="1"/>
  <c r="X23" i="24"/>
  <c r="X22" i="24"/>
  <c r="T21" i="24"/>
  <c r="P21" i="24"/>
  <c r="X21" i="24"/>
  <c r="E7" i="10" s="1"/>
  <c r="X20" i="24"/>
  <c r="X19" i="24"/>
  <c r="X18" i="24"/>
  <c r="X17" i="24"/>
  <c r="X16" i="24"/>
  <c r="X15" i="24"/>
  <c r="X14" i="24"/>
  <c r="X13" i="24"/>
  <c r="X12" i="24"/>
  <c r="X11" i="24"/>
  <c r="T10" i="24"/>
  <c r="P10" i="24"/>
  <c r="X9" i="24"/>
  <c r="X8" i="24"/>
  <c r="X7" i="24"/>
  <c r="X6" i="24"/>
  <c r="X5" i="24"/>
  <c r="E6" i="10" s="1"/>
  <c r="X4" i="24"/>
  <c r="E5" i="10" s="1"/>
  <c r="X3" i="24"/>
  <c r="E4" i="10" s="1"/>
  <c r="X2" i="24"/>
  <c r="E3" i="10" s="1"/>
  <c r="R25" i="23"/>
  <c r="P25" i="23"/>
  <c r="J25" i="23"/>
  <c r="I25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W23" i="23"/>
  <c r="E23" i="21" s="1"/>
  <c r="W21" i="23"/>
  <c r="E21" i="21" s="1"/>
  <c r="S20" i="23"/>
  <c r="O20" i="23"/>
  <c r="W20" i="23"/>
  <c r="E20" i="21" s="1"/>
  <c r="W19" i="23"/>
  <c r="E19" i="21" s="1"/>
  <c r="W18" i="23"/>
  <c r="E18" i="21" s="1"/>
  <c r="W17" i="23"/>
  <c r="E17" i="21" s="1"/>
  <c r="W16" i="23"/>
  <c r="E16" i="21" s="1"/>
  <c r="W15" i="23"/>
  <c r="E15" i="21" s="1"/>
  <c r="S14" i="23"/>
  <c r="O14" i="23"/>
  <c r="W14" i="23" s="1"/>
  <c r="E14" i="21" s="1"/>
  <c r="W13" i="23"/>
  <c r="E13" i="21" s="1"/>
  <c r="W12" i="23"/>
  <c r="E12" i="21" s="1"/>
  <c r="W11" i="23"/>
  <c r="E11" i="21" s="1"/>
  <c r="W10" i="23"/>
  <c r="E10" i="21" s="1"/>
  <c r="W9" i="23"/>
  <c r="E9" i="21" s="1"/>
  <c r="W8" i="23"/>
  <c r="V25" i="23"/>
  <c r="U25" i="23"/>
  <c r="S7" i="23"/>
  <c r="S25" i="23" s="1"/>
  <c r="O7" i="23"/>
  <c r="O25" i="23" s="1"/>
  <c r="N25" i="23"/>
  <c r="M25" i="23"/>
  <c r="K25" i="23"/>
  <c r="G25" i="23"/>
  <c r="F25" i="23"/>
  <c r="E25" i="23"/>
  <c r="D25" i="23"/>
  <c r="W6" i="23"/>
  <c r="E6" i="21" s="1"/>
  <c r="W5" i="23"/>
  <c r="E5" i="21" s="1"/>
  <c r="W4" i="23"/>
  <c r="E4" i="21" s="1"/>
  <c r="W3" i="23"/>
  <c r="E3" i="21" s="1"/>
  <c r="W2" i="23"/>
  <c r="E2" i="21" s="1"/>
  <c r="F102" i="5"/>
  <c r="F86" i="5"/>
  <c r="F100" i="5"/>
  <c r="F98" i="5"/>
  <c r="F91" i="5"/>
  <c r="F101" i="5"/>
  <c r="F96" i="5"/>
  <c r="F93" i="5"/>
  <c r="F92" i="5"/>
  <c r="F99" i="5"/>
  <c r="F97" i="5"/>
  <c r="F85" i="5"/>
  <c r="F104" i="5"/>
  <c r="F103" i="5"/>
  <c r="F87" i="5"/>
  <c r="F90" i="5"/>
  <c r="F105" i="5"/>
  <c r="F94" i="5"/>
  <c r="F89" i="5"/>
  <c r="F95" i="5"/>
  <c r="F88" i="5"/>
  <c r="O29" i="25" l="1"/>
  <c r="O31" i="25"/>
  <c r="S29" i="25"/>
  <c r="E13" i="10"/>
  <c r="E14" i="10"/>
  <c r="E8" i="10"/>
  <c r="E10" i="10"/>
  <c r="E9" i="10"/>
  <c r="E11" i="10"/>
  <c r="W24" i="23"/>
  <c r="E8" i="21"/>
  <c r="E24" i="21" s="1"/>
  <c r="D29" i="25"/>
  <c r="F29" i="25"/>
  <c r="W15" i="25"/>
  <c r="E15" i="22" s="1"/>
  <c r="W25" i="25"/>
  <c r="E25" i="22" s="1"/>
  <c r="W22" i="25"/>
  <c r="K29" i="25"/>
  <c r="W5" i="25"/>
  <c r="E5" i="22" s="1"/>
  <c r="W19" i="25"/>
  <c r="E19" i="22" s="1"/>
  <c r="W28" i="25"/>
  <c r="X28" i="24"/>
  <c r="X10" i="24"/>
  <c r="E2" i="10" s="1"/>
  <c r="E12" i="10" s="1"/>
  <c r="E52" i="21"/>
  <c r="O22" i="23"/>
  <c r="C25" i="23"/>
  <c r="H25" i="23"/>
  <c r="W22" i="23"/>
  <c r="E22" i="21" s="1"/>
  <c r="Q25" i="23"/>
  <c r="L25" i="23"/>
  <c r="T25" i="23"/>
  <c r="B25" i="23"/>
  <c r="W7" i="23"/>
  <c r="S22" i="23"/>
  <c r="C30" i="5"/>
  <c r="D30" i="5"/>
  <c r="F30" i="5"/>
  <c r="G30" i="5"/>
  <c r="I30" i="5"/>
  <c r="J30" i="5"/>
  <c r="L30" i="5"/>
  <c r="M30" i="5"/>
  <c r="N30" i="5"/>
  <c r="O30" i="5"/>
  <c r="P30" i="5"/>
  <c r="Q30" i="5"/>
  <c r="R30" i="5"/>
  <c r="S30" i="5"/>
  <c r="T30" i="5"/>
  <c r="U30" i="5"/>
  <c r="V30" i="5"/>
  <c r="B30" i="5"/>
  <c r="F28" i="5"/>
  <c r="F19" i="5"/>
  <c r="F27" i="5" s="1"/>
  <c r="F15" i="5"/>
  <c r="E28" i="5"/>
  <c r="E25" i="5"/>
  <c r="E30" i="5" s="1"/>
  <c r="E19" i="5"/>
  <c r="E27" i="5" s="1"/>
  <c r="E15" i="5"/>
  <c r="F28" i="19"/>
  <c r="F19" i="19"/>
  <c r="F27" i="19" s="1"/>
  <c r="F15" i="19"/>
  <c r="E28" i="19"/>
  <c r="E25" i="19"/>
  <c r="E19" i="19"/>
  <c r="E27" i="19" s="1"/>
  <c r="E15" i="19"/>
  <c r="F28" i="20"/>
  <c r="F27" i="20"/>
  <c r="F15" i="20"/>
  <c r="E28" i="20"/>
  <c r="E27" i="20"/>
  <c r="E29" i="20" s="1"/>
  <c r="E15" i="20"/>
  <c r="G28" i="6"/>
  <c r="G21" i="6"/>
  <c r="G10" i="6"/>
  <c r="F21" i="6"/>
  <c r="F10" i="6"/>
  <c r="G21" i="16"/>
  <c r="G10" i="16"/>
  <c r="G28" i="16" s="1"/>
  <c r="F21" i="16"/>
  <c r="F10" i="16"/>
  <c r="F28" i="17"/>
  <c r="F21" i="17"/>
  <c r="F10" i="17"/>
  <c r="F20" i="1"/>
  <c r="F14" i="1"/>
  <c r="F7" i="1"/>
  <c r="F22" i="1" s="1"/>
  <c r="E20" i="1"/>
  <c r="E14" i="1"/>
  <c r="E7" i="1"/>
  <c r="E24" i="1"/>
  <c r="F20" i="14"/>
  <c r="F14" i="14"/>
  <c r="F7" i="14"/>
  <c r="F22" i="14" s="1"/>
  <c r="E20" i="14"/>
  <c r="E14" i="14"/>
  <c r="E7" i="14"/>
  <c r="E22" i="14" s="1"/>
  <c r="E24" i="14"/>
  <c r="F20" i="15"/>
  <c r="F14" i="15"/>
  <c r="F22" i="15" s="1"/>
  <c r="F7" i="15"/>
  <c r="E20" i="15"/>
  <c r="E22" i="15" s="1"/>
  <c r="E14" i="15"/>
  <c r="E7" i="15"/>
  <c r="E24" i="15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C24" i="1"/>
  <c r="B24" i="1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D24" i="14"/>
  <c r="C24" i="14"/>
  <c r="B24" i="14"/>
  <c r="C24" i="15"/>
  <c r="D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B24" i="15"/>
  <c r="V28" i="5"/>
  <c r="V27" i="5"/>
  <c r="V15" i="5"/>
  <c r="V28" i="19"/>
  <c r="V27" i="19"/>
  <c r="V15" i="19"/>
  <c r="V28" i="20"/>
  <c r="V27" i="20"/>
  <c r="V15" i="20"/>
  <c r="W21" i="6"/>
  <c r="W10" i="6"/>
  <c r="W28" i="6" s="1"/>
  <c r="W21" i="16"/>
  <c r="W28" i="16" s="1"/>
  <c r="W10" i="16"/>
  <c r="W21" i="17"/>
  <c r="W28" i="17" s="1"/>
  <c r="W10" i="17"/>
  <c r="V20" i="1"/>
  <c r="V14" i="1"/>
  <c r="V7" i="1"/>
  <c r="V20" i="14"/>
  <c r="V14" i="14"/>
  <c r="V7" i="14"/>
  <c r="V20" i="15"/>
  <c r="V14" i="15"/>
  <c r="V13" i="15"/>
  <c r="V7" i="15"/>
  <c r="E28" i="22" l="1"/>
  <c r="W31" i="25"/>
  <c r="E16" i="10"/>
  <c r="E18" i="10" s="1"/>
  <c r="W30" i="25"/>
  <c r="E22" i="22"/>
  <c r="E30" i="22" s="1"/>
  <c r="W25" i="23"/>
  <c r="E7" i="21"/>
  <c r="W27" i="25"/>
  <c r="E29" i="19"/>
  <c r="F28" i="6"/>
  <c r="V22" i="14"/>
  <c r="F28" i="16"/>
  <c r="V22" i="1"/>
  <c r="E22" i="1"/>
  <c r="E29" i="5"/>
  <c r="E25" i="1"/>
  <c r="V22" i="15"/>
  <c r="G28" i="5"/>
  <c r="G19" i="5"/>
  <c r="G27" i="5" s="1"/>
  <c r="G15" i="5"/>
  <c r="G28" i="19"/>
  <c r="G27" i="19"/>
  <c r="G25" i="19"/>
  <c r="G15" i="19"/>
  <c r="G28" i="20"/>
  <c r="G25" i="20"/>
  <c r="G27" i="20" s="1"/>
  <c r="G15" i="20"/>
  <c r="H21" i="6"/>
  <c r="H10" i="6"/>
  <c r="H28" i="6" s="1"/>
  <c r="H28" i="16"/>
  <c r="H21" i="16"/>
  <c r="H10" i="16"/>
  <c r="H21" i="17"/>
  <c r="H10" i="17"/>
  <c r="H28" i="17" s="1"/>
  <c r="G20" i="1"/>
  <c r="G9" i="1"/>
  <c r="G14" i="1" s="1"/>
  <c r="G7" i="1"/>
  <c r="G20" i="14"/>
  <c r="G14" i="14"/>
  <c r="G9" i="14"/>
  <c r="G7" i="14"/>
  <c r="G20" i="15"/>
  <c r="G14" i="15"/>
  <c r="G7" i="15"/>
  <c r="W29" i="25" l="1"/>
  <c r="E27" i="22"/>
  <c r="E29" i="22" s="1"/>
  <c r="G22" i="14"/>
  <c r="G22" i="15"/>
  <c r="G22" i="1"/>
  <c r="C28" i="5"/>
  <c r="C27" i="5"/>
  <c r="C15" i="5"/>
  <c r="C28" i="19"/>
  <c r="C27" i="19"/>
  <c r="C15" i="19"/>
  <c r="C28" i="20"/>
  <c r="C27" i="20"/>
  <c r="C15" i="20"/>
  <c r="D21" i="6"/>
  <c r="D10" i="6"/>
  <c r="D28" i="6" s="1"/>
  <c r="D21" i="16"/>
  <c r="D28" i="16" s="1"/>
  <c r="D10" i="16"/>
  <c r="C20" i="1"/>
  <c r="C14" i="1"/>
  <c r="C7" i="1"/>
  <c r="C20" i="14"/>
  <c r="C14" i="14"/>
  <c r="C7" i="14"/>
  <c r="C22" i="14" s="1"/>
  <c r="C22" i="1" l="1"/>
  <c r="L28" i="5"/>
  <c r="L27" i="5"/>
  <c r="L15" i="5"/>
  <c r="L28" i="19"/>
  <c r="L25" i="19"/>
  <c r="L27" i="19" s="1"/>
  <c r="L15" i="19"/>
  <c r="L28" i="20"/>
  <c r="L25" i="20"/>
  <c r="L27" i="20" s="1"/>
  <c r="L15" i="20"/>
  <c r="M21" i="6"/>
  <c r="M10" i="6"/>
  <c r="M21" i="16"/>
  <c r="M28" i="16" s="1"/>
  <c r="M10" i="16"/>
  <c r="M21" i="17"/>
  <c r="M10" i="17"/>
  <c r="M28" i="17" s="1"/>
  <c r="L20" i="1"/>
  <c r="L14" i="1"/>
  <c r="L7" i="1"/>
  <c r="L22" i="1" s="1"/>
  <c r="L20" i="14"/>
  <c r="L14" i="14"/>
  <c r="L7" i="14"/>
  <c r="L20" i="15"/>
  <c r="L14" i="15"/>
  <c r="L7" i="15"/>
  <c r="M28" i="6" l="1"/>
  <c r="L22" i="14"/>
  <c r="L22" i="15"/>
  <c r="K28" i="5" l="1"/>
  <c r="K25" i="5"/>
  <c r="K30" i="5" s="1"/>
  <c r="K15" i="5"/>
  <c r="K28" i="19"/>
  <c r="K27" i="19"/>
  <c r="K25" i="19"/>
  <c r="K15" i="19"/>
  <c r="K28" i="20"/>
  <c r="K27" i="20"/>
  <c r="K25" i="20"/>
  <c r="K15" i="20"/>
  <c r="L21" i="6"/>
  <c r="L10" i="6"/>
  <c r="L28" i="6" s="1"/>
  <c r="L21" i="16"/>
  <c r="L10" i="16"/>
  <c r="L21" i="17"/>
  <c r="L10" i="17"/>
  <c r="K20" i="1"/>
  <c r="K14" i="1"/>
  <c r="K7" i="1"/>
  <c r="K20" i="14"/>
  <c r="K14" i="14"/>
  <c r="K7" i="14"/>
  <c r="K22" i="14" s="1"/>
  <c r="K20" i="15"/>
  <c r="K14" i="15"/>
  <c r="K7" i="15"/>
  <c r="K22" i="15" s="1"/>
  <c r="L28" i="16" l="1"/>
  <c r="L28" i="17"/>
  <c r="K27" i="5"/>
  <c r="K22" i="1"/>
  <c r="U28" i="5"/>
  <c r="U27" i="5"/>
  <c r="U15" i="5"/>
  <c r="U28" i="19"/>
  <c r="U27" i="19"/>
  <c r="U15" i="19"/>
  <c r="U28" i="20"/>
  <c r="U27" i="20"/>
  <c r="U15" i="20"/>
  <c r="V21" i="6"/>
  <c r="V10" i="6"/>
  <c r="V21" i="16"/>
  <c r="V10" i="16"/>
  <c r="V21" i="17"/>
  <c r="V10" i="17"/>
  <c r="U20" i="1"/>
  <c r="U14" i="1"/>
  <c r="U7" i="1"/>
  <c r="U20" i="14"/>
  <c r="U14" i="14"/>
  <c r="U7" i="14"/>
  <c r="U19" i="15"/>
  <c r="U20" i="15" s="1"/>
  <c r="U14" i="15"/>
  <c r="U6" i="15"/>
  <c r="U2" i="15"/>
  <c r="V28" i="6" l="1"/>
  <c r="V28" i="17"/>
  <c r="U22" i="14"/>
  <c r="V28" i="16"/>
  <c r="U7" i="15"/>
  <c r="U22" i="15" s="1"/>
  <c r="U22" i="1"/>
  <c r="R28" i="5" l="1"/>
  <c r="R27" i="5"/>
  <c r="R15" i="5"/>
  <c r="R28" i="19"/>
  <c r="R27" i="19"/>
  <c r="R15" i="19"/>
  <c r="R28" i="20"/>
  <c r="R27" i="20"/>
  <c r="R15" i="20"/>
  <c r="S21" i="6"/>
  <c r="S10" i="6"/>
  <c r="S28" i="6" s="1"/>
  <c r="S21" i="16"/>
  <c r="S10" i="16"/>
  <c r="S28" i="16" s="1"/>
  <c r="S21" i="17"/>
  <c r="S10" i="17"/>
  <c r="S28" i="17" s="1"/>
  <c r="R20" i="1"/>
  <c r="R14" i="1"/>
  <c r="R7" i="1"/>
  <c r="R20" i="14"/>
  <c r="R14" i="14"/>
  <c r="R7" i="14"/>
  <c r="R22" i="14" s="1"/>
  <c r="R20" i="15"/>
  <c r="R14" i="15"/>
  <c r="R7" i="15"/>
  <c r="B28" i="5"/>
  <c r="B27" i="5"/>
  <c r="B15" i="5"/>
  <c r="B28" i="19"/>
  <c r="B27" i="19"/>
  <c r="B15" i="19"/>
  <c r="B28" i="20"/>
  <c r="B27" i="20"/>
  <c r="B6" i="20"/>
  <c r="B15" i="20" s="1"/>
  <c r="R22" i="15" l="1"/>
  <c r="R22" i="1"/>
  <c r="C21" i="6"/>
  <c r="C10" i="6"/>
  <c r="C28" i="6" s="1"/>
  <c r="C21" i="16"/>
  <c r="C10" i="16"/>
  <c r="C28" i="16" s="1"/>
  <c r="C21" i="17"/>
  <c r="C10" i="17"/>
  <c r="C28" i="17" s="1"/>
  <c r="C5" i="17"/>
  <c r="B20" i="1"/>
  <c r="B14" i="1"/>
  <c r="B7" i="1"/>
  <c r="B22" i="1" s="1"/>
  <c r="B20" i="14"/>
  <c r="B14" i="14"/>
  <c r="B7" i="14"/>
  <c r="B22" i="14" s="1"/>
  <c r="B20" i="15"/>
  <c r="B14" i="15"/>
  <c r="B7" i="15"/>
  <c r="B22" i="15" l="1"/>
  <c r="P28" i="5"/>
  <c r="P27" i="5"/>
  <c r="P15" i="5"/>
  <c r="P28" i="19"/>
  <c r="P27" i="19"/>
  <c r="P15" i="19"/>
  <c r="P28" i="20"/>
  <c r="P27" i="20"/>
  <c r="P15" i="20"/>
  <c r="Q21" i="6"/>
  <c r="Q10" i="6"/>
  <c r="Q28" i="6" s="1"/>
  <c r="Q21" i="16"/>
  <c r="Q10" i="16"/>
  <c r="Q21" i="17"/>
  <c r="Q10" i="17"/>
  <c r="P20" i="1"/>
  <c r="P14" i="1"/>
  <c r="P7" i="1"/>
  <c r="P20" i="14"/>
  <c r="P14" i="14"/>
  <c r="P7" i="14"/>
  <c r="P22" i="14" s="1"/>
  <c r="P20" i="15"/>
  <c r="P10" i="15"/>
  <c r="P14" i="15" s="1"/>
  <c r="P7" i="15"/>
  <c r="Q28" i="16" l="1"/>
  <c r="Q28" i="17"/>
  <c r="P22" i="1"/>
  <c r="P22" i="15"/>
  <c r="M28" i="5"/>
  <c r="M27" i="5"/>
  <c r="M15" i="5"/>
  <c r="M28" i="19"/>
  <c r="M27" i="19"/>
  <c r="M15" i="19"/>
  <c r="M28" i="20"/>
  <c r="M27" i="20"/>
  <c r="M15" i="20"/>
  <c r="N21" i="6"/>
  <c r="N10" i="6"/>
  <c r="N28" i="6" s="1"/>
  <c r="N21" i="16"/>
  <c r="N10" i="16"/>
  <c r="N21" i="17"/>
  <c r="N10" i="17"/>
  <c r="N28" i="17" s="1"/>
  <c r="M20" i="1"/>
  <c r="M14" i="1"/>
  <c r="M6" i="1"/>
  <c r="M7" i="1" s="1"/>
  <c r="M20" i="14"/>
  <c r="M14" i="14"/>
  <c r="M7" i="14"/>
  <c r="M6" i="14"/>
  <c r="M20" i="15"/>
  <c r="M14" i="15"/>
  <c r="M7" i="15"/>
  <c r="M22" i="14" l="1"/>
  <c r="N28" i="16"/>
  <c r="M22" i="1"/>
  <c r="M22" i="15"/>
  <c r="W23" i="20"/>
  <c r="B23" i="22" s="1"/>
  <c r="W24" i="20"/>
  <c r="B24" i="22" s="1"/>
  <c r="W10" i="20"/>
  <c r="B10" i="22" s="1"/>
  <c r="W11" i="20"/>
  <c r="B11" i="22" s="1"/>
  <c r="W23" i="19"/>
  <c r="C23" i="22" s="1"/>
  <c r="W10" i="19"/>
  <c r="C10" i="22" s="1"/>
  <c r="W11" i="19"/>
  <c r="C11" i="22" s="1"/>
  <c r="W23" i="5"/>
  <c r="D23" i="22" s="1"/>
  <c r="F23" i="22" s="1"/>
  <c r="W24" i="5"/>
  <c r="D24" i="22" s="1"/>
  <c r="F24" i="22" s="1"/>
  <c r="W10" i="5"/>
  <c r="D10" i="22" s="1"/>
  <c r="F10" i="22" s="1"/>
  <c r="W11" i="5"/>
  <c r="D11" i="22" s="1"/>
  <c r="F11" i="22" s="1"/>
  <c r="D28" i="5"/>
  <c r="D19" i="5"/>
  <c r="D27" i="5" s="1"/>
  <c r="D15" i="5"/>
  <c r="D28" i="19"/>
  <c r="D19" i="19"/>
  <c r="D27" i="19" s="1"/>
  <c r="D15" i="19"/>
  <c r="D28" i="20"/>
  <c r="D25" i="20"/>
  <c r="D27" i="20" s="1"/>
  <c r="D19" i="20"/>
  <c r="D15" i="20"/>
  <c r="E21" i="6"/>
  <c r="E10" i="6"/>
  <c r="E28" i="6" s="1"/>
  <c r="E21" i="16"/>
  <c r="E10" i="16"/>
  <c r="E28" i="16" s="1"/>
  <c r="E21" i="17"/>
  <c r="E10" i="17"/>
  <c r="E28" i="17" s="1"/>
  <c r="D20" i="1"/>
  <c r="D14" i="1"/>
  <c r="D7" i="1"/>
  <c r="D22" i="1" s="1"/>
  <c r="D20" i="14"/>
  <c r="D14" i="14"/>
  <c r="D7" i="14"/>
  <c r="D20" i="15"/>
  <c r="D14" i="15"/>
  <c r="D6" i="15"/>
  <c r="D7" i="15" s="1"/>
  <c r="D22" i="14" l="1"/>
  <c r="D22" i="15"/>
  <c r="I28" i="5" l="1"/>
  <c r="I27" i="5"/>
  <c r="I15" i="5"/>
  <c r="I28" i="19"/>
  <c r="I27" i="19"/>
  <c r="I15" i="19"/>
  <c r="I28" i="20"/>
  <c r="I27" i="20"/>
  <c r="I15" i="20"/>
  <c r="J21" i="6"/>
  <c r="J10" i="6"/>
  <c r="J28" i="6" s="1"/>
  <c r="J21" i="16"/>
  <c r="J10" i="16"/>
  <c r="J28" i="16" s="1"/>
  <c r="J28" i="17"/>
  <c r="J21" i="17"/>
  <c r="J10" i="17"/>
  <c r="I20" i="14"/>
  <c r="I13" i="14"/>
  <c r="I14" i="14" s="1"/>
  <c r="I7" i="14"/>
  <c r="I20" i="15"/>
  <c r="I13" i="15"/>
  <c r="I14" i="15" s="1"/>
  <c r="I7" i="15"/>
  <c r="I22" i="14" l="1"/>
  <c r="I22" i="15"/>
  <c r="N28" i="5"/>
  <c r="N27" i="5"/>
  <c r="N15" i="5"/>
  <c r="N28" i="19"/>
  <c r="N27" i="19"/>
  <c r="N15" i="19"/>
  <c r="N28" i="20"/>
  <c r="N27" i="20"/>
  <c r="N15" i="20"/>
  <c r="O21" i="6"/>
  <c r="O10" i="6"/>
  <c r="O28" i="6" s="1"/>
  <c r="O21" i="16"/>
  <c r="O10" i="16"/>
  <c r="O28" i="16" s="1"/>
  <c r="O21" i="17"/>
  <c r="O10" i="17"/>
  <c r="O28" i="17" s="1"/>
  <c r="W23" i="1"/>
  <c r="N20" i="1"/>
  <c r="N14" i="1"/>
  <c r="N7" i="1"/>
  <c r="N20" i="14"/>
  <c r="N14" i="14"/>
  <c r="N7" i="14"/>
  <c r="N20" i="15"/>
  <c r="N14" i="15"/>
  <c r="N7" i="15"/>
  <c r="N22" i="15" s="1"/>
  <c r="N22" i="14" l="1"/>
  <c r="N22" i="1"/>
  <c r="H28" i="5"/>
  <c r="H25" i="5"/>
  <c r="H22" i="5"/>
  <c r="H20" i="5"/>
  <c r="H6" i="5"/>
  <c r="H5" i="5"/>
  <c r="H28" i="19"/>
  <c r="H25" i="19"/>
  <c r="H24" i="19"/>
  <c r="H20" i="19"/>
  <c r="H6" i="19"/>
  <c r="H5" i="19"/>
  <c r="H15" i="19" s="1"/>
  <c r="H28" i="20"/>
  <c r="H25" i="20"/>
  <c r="H22" i="20"/>
  <c r="H20" i="20"/>
  <c r="H27" i="20" s="1"/>
  <c r="H6" i="20"/>
  <c r="H5" i="20"/>
  <c r="H15" i="20" s="1"/>
  <c r="I21" i="6"/>
  <c r="I10" i="6"/>
  <c r="I21" i="16"/>
  <c r="I10" i="16"/>
  <c r="I28" i="16" s="1"/>
  <c r="H20" i="1"/>
  <c r="H14" i="1"/>
  <c r="H7" i="1"/>
  <c r="H22" i="1" s="1"/>
  <c r="H20" i="14"/>
  <c r="H14" i="14"/>
  <c r="H7" i="14"/>
  <c r="H20" i="15"/>
  <c r="H14" i="15"/>
  <c r="H7" i="15"/>
  <c r="H22" i="19" l="1"/>
  <c r="W24" i="19"/>
  <c r="C24" i="22" s="1"/>
  <c r="H22" i="14"/>
  <c r="I28" i="6"/>
  <c r="H30" i="5"/>
  <c r="H22" i="15"/>
  <c r="H15" i="5"/>
  <c r="H27" i="5"/>
  <c r="H27" i="19"/>
  <c r="J28" i="5" l="1"/>
  <c r="J27" i="5"/>
  <c r="J15" i="5"/>
  <c r="J28" i="20"/>
  <c r="J25" i="20"/>
  <c r="J27" i="20" s="1"/>
  <c r="J15" i="20"/>
  <c r="K28" i="6"/>
  <c r="K21" i="6"/>
  <c r="K10" i="6"/>
  <c r="K21" i="16"/>
  <c r="K10" i="16"/>
  <c r="K28" i="16" s="1"/>
  <c r="K21" i="17"/>
  <c r="K10" i="17"/>
  <c r="K28" i="17" s="1"/>
  <c r="J22" i="1"/>
  <c r="J20" i="1"/>
  <c r="J14" i="1"/>
  <c r="J7" i="1"/>
  <c r="J20" i="14"/>
  <c r="J14" i="14"/>
  <c r="J7" i="14"/>
  <c r="J22" i="14" s="1"/>
  <c r="J20" i="15"/>
  <c r="J14" i="15"/>
  <c r="J7" i="15"/>
  <c r="J22" i="15" l="1"/>
  <c r="T28" i="5"/>
  <c r="T27" i="5"/>
  <c r="T15" i="5"/>
  <c r="T28" i="19"/>
  <c r="T27" i="19"/>
  <c r="T15" i="19"/>
  <c r="T28" i="20"/>
  <c r="T27" i="20"/>
  <c r="T15" i="20"/>
  <c r="U21" i="6"/>
  <c r="U10" i="6"/>
  <c r="U28" i="6" s="1"/>
  <c r="U21" i="16"/>
  <c r="U10" i="16"/>
  <c r="U28" i="16" s="1"/>
  <c r="U21" i="17"/>
  <c r="U28" i="17" s="1"/>
  <c r="U10" i="17"/>
  <c r="T20" i="1"/>
  <c r="T14" i="1"/>
  <c r="T7" i="1"/>
  <c r="T22" i="1" s="1"/>
  <c r="T20" i="14"/>
  <c r="T14" i="14"/>
  <c r="T7" i="14"/>
  <c r="T22" i="14" s="1"/>
  <c r="T20" i="15"/>
  <c r="T14" i="15"/>
  <c r="T7" i="15"/>
  <c r="T22" i="15" l="1"/>
  <c r="Q28" i="5"/>
  <c r="Q27" i="5"/>
  <c r="Q15" i="5"/>
  <c r="Q28" i="19"/>
  <c r="Q27" i="19"/>
  <c r="Q15" i="19"/>
  <c r="Q28" i="20"/>
  <c r="Q27" i="20"/>
  <c r="Q15" i="20"/>
  <c r="S28" i="5"/>
  <c r="O28" i="5"/>
  <c r="S27" i="5"/>
  <c r="O27" i="5"/>
  <c r="S15" i="5"/>
  <c r="O15" i="5"/>
  <c r="T29" i="19"/>
  <c r="S28" i="19"/>
  <c r="S29" i="19" s="1"/>
  <c r="O28" i="19"/>
  <c r="M29" i="19"/>
  <c r="L29" i="19"/>
  <c r="G29" i="19"/>
  <c r="S27" i="19"/>
  <c r="O27" i="19"/>
  <c r="O29" i="19" s="1"/>
  <c r="S15" i="19"/>
  <c r="O15" i="19"/>
  <c r="B29" i="19"/>
  <c r="C29" i="19"/>
  <c r="F29" i="19"/>
  <c r="H29" i="19"/>
  <c r="J29" i="19"/>
  <c r="K29" i="19"/>
  <c r="P29" i="19"/>
  <c r="O15" i="20"/>
  <c r="S15" i="20"/>
  <c r="O27" i="20"/>
  <c r="S27" i="20"/>
  <c r="O28" i="20"/>
  <c r="S28" i="20"/>
  <c r="R28" i="6"/>
  <c r="R21" i="6"/>
  <c r="R10" i="6"/>
  <c r="R21" i="16"/>
  <c r="R10" i="16"/>
  <c r="R28" i="16" s="1"/>
  <c r="R28" i="17"/>
  <c r="R21" i="17"/>
  <c r="R10" i="17"/>
  <c r="T28" i="6"/>
  <c r="P28" i="6"/>
  <c r="T21" i="6"/>
  <c r="P21" i="6"/>
  <c r="T10" i="6"/>
  <c r="P10" i="6"/>
  <c r="T28" i="16"/>
  <c r="P28" i="16"/>
  <c r="T21" i="16"/>
  <c r="P21" i="16"/>
  <c r="T10" i="16"/>
  <c r="P10" i="16"/>
  <c r="D10" i="17"/>
  <c r="G10" i="17"/>
  <c r="I10" i="17"/>
  <c r="P10" i="17"/>
  <c r="T10" i="17"/>
  <c r="D21" i="17"/>
  <c r="G21" i="17"/>
  <c r="I21" i="17"/>
  <c r="P21" i="17"/>
  <c r="T21" i="17"/>
  <c r="D28" i="17"/>
  <c r="G28" i="17"/>
  <c r="I28" i="17"/>
  <c r="P28" i="17"/>
  <c r="T28" i="17"/>
  <c r="W9" i="14"/>
  <c r="C9" i="21" s="1"/>
  <c r="Q20" i="1"/>
  <c r="Q14" i="1"/>
  <c r="Q7" i="1"/>
  <c r="Q20" i="14"/>
  <c r="Q14" i="14"/>
  <c r="Q7" i="14"/>
  <c r="W16" i="1"/>
  <c r="W17" i="1"/>
  <c r="W18" i="1"/>
  <c r="W19" i="1"/>
  <c r="W21" i="1"/>
  <c r="W15" i="1"/>
  <c r="W11" i="1"/>
  <c r="W12" i="1"/>
  <c r="W13" i="1"/>
  <c r="W10" i="1"/>
  <c r="D10" i="21" s="1"/>
  <c r="S20" i="1"/>
  <c r="O20" i="1"/>
  <c r="S14" i="1"/>
  <c r="O14" i="1"/>
  <c r="S7" i="1"/>
  <c r="O7" i="1"/>
  <c r="S20" i="14"/>
  <c r="O20" i="14"/>
  <c r="S14" i="14"/>
  <c r="O14" i="14"/>
  <c r="S7" i="14"/>
  <c r="O7" i="14"/>
  <c r="Q20" i="15"/>
  <c r="Q14" i="15"/>
  <c r="Q7" i="15"/>
  <c r="W9" i="15"/>
  <c r="B9" i="21" s="1"/>
  <c r="C7" i="15"/>
  <c r="O7" i="15"/>
  <c r="S7" i="15"/>
  <c r="C14" i="15"/>
  <c r="O14" i="15"/>
  <c r="S14" i="15"/>
  <c r="C20" i="15"/>
  <c r="O20" i="15"/>
  <c r="S20" i="15"/>
  <c r="F10" i="21" l="1"/>
  <c r="G10" i="21"/>
  <c r="S22" i="14"/>
  <c r="Q22" i="1"/>
  <c r="Q22" i="14"/>
  <c r="O22" i="14"/>
  <c r="W14" i="1"/>
  <c r="W20" i="1"/>
  <c r="Q22" i="15"/>
  <c r="O22" i="1"/>
  <c r="S22" i="1"/>
  <c r="I29" i="19"/>
  <c r="Q29" i="19"/>
  <c r="U29" i="19"/>
  <c r="N29" i="19"/>
  <c r="R29" i="19"/>
  <c r="V29" i="19"/>
  <c r="D29" i="19"/>
  <c r="C22" i="15"/>
  <c r="S22" i="15"/>
  <c r="O22" i="15"/>
  <c r="C25" i="1"/>
  <c r="D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B25" i="1"/>
  <c r="W22" i="1" l="1"/>
  <c r="V29" i="5"/>
  <c r="V29" i="20" l="1"/>
  <c r="U29" i="5" l="1"/>
  <c r="U29" i="20" l="1"/>
  <c r="T29" i="5" l="1"/>
  <c r="T29" i="20"/>
  <c r="S29" i="5"/>
  <c r="D23" i="21"/>
  <c r="W23" i="14"/>
  <c r="C23" i="21" s="1"/>
  <c r="F23" i="21" l="1"/>
  <c r="G23" i="21"/>
  <c r="S29" i="20"/>
  <c r="W23" i="15"/>
  <c r="B23" i="21" s="1"/>
  <c r="R29" i="5"/>
  <c r="R29" i="20" l="1"/>
  <c r="X28" i="6"/>
  <c r="X27" i="6"/>
  <c r="D17" i="10" s="1"/>
  <c r="F17" i="10" s="1"/>
  <c r="X26" i="6"/>
  <c r="X25" i="6"/>
  <c r="X24" i="6"/>
  <c r="D15" i="10" s="1"/>
  <c r="F15" i="10" s="1"/>
  <c r="X23" i="6"/>
  <c r="X22" i="6"/>
  <c r="X21" i="6"/>
  <c r="D7" i="10" s="1"/>
  <c r="F7" i="10" s="1"/>
  <c r="X20" i="6"/>
  <c r="X19" i="6"/>
  <c r="X18" i="6"/>
  <c r="X17" i="6"/>
  <c r="X16" i="6"/>
  <c r="D11" i="10" s="1"/>
  <c r="F11" i="10" s="1"/>
  <c r="X15" i="6"/>
  <c r="D10" i="10" s="1"/>
  <c r="F10" i="10" s="1"/>
  <c r="X14" i="6"/>
  <c r="D9" i="10" s="1"/>
  <c r="F9" i="10" s="1"/>
  <c r="X13" i="6"/>
  <c r="X12" i="6"/>
  <c r="D8" i="10" s="1"/>
  <c r="F8" i="10" s="1"/>
  <c r="X11" i="6"/>
  <c r="X10" i="6"/>
  <c r="D2" i="10" s="1"/>
  <c r="F2" i="10" s="1"/>
  <c r="X9" i="6"/>
  <c r="X8" i="6"/>
  <c r="X7" i="6"/>
  <c r="X6" i="6"/>
  <c r="X5" i="6"/>
  <c r="D6" i="10" s="1"/>
  <c r="F6" i="10" s="1"/>
  <c r="X4" i="6"/>
  <c r="D5" i="10" s="1"/>
  <c r="F5" i="10" s="1"/>
  <c r="X3" i="6"/>
  <c r="D4" i="10" s="1"/>
  <c r="F4" i="10" s="1"/>
  <c r="X2" i="6"/>
  <c r="D3" i="10" s="1"/>
  <c r="F3" i="10" s="1"/>
  <c r="X28" i="16"/>
  <c r="X27" i="16"/>
  <c r="C17" i="10" s="1"/>
  <c r="X26" i="16"/>
  <c r="X25" i="16"/>
  <c r="X24" i="16"/>
  <c r="C15" i="10" s="1"/>
  <c r="X23" i="16"/>
  <c r="X22" i="16"/>
  <c r="X21" i="16"/>
  <c r="C7" i="10" s="1"/>
  <c r="X20" i="16"/>
  <c r="Y20" i="6" s="1"/>
  <c r="X19" i="16"/>
  <c r="X18" i="16"/>
  <c r="Y18" i="6" s="1"/>
  <c r="X17" i="16"/>
  <c r="X16" i="16"/>
  <c r="X15" i="16"/>
  <c r="X14" i="16"/>
  <c r="X13" i="16"/>
  <c r="X12" i="16"/>
  <c r="X11" i="16"/>
  <c r="X10" i="16"/>
  <c r="C2" i="10" s="1"/>
  <c r="X9" i="16"/>
  <c r="X8" i="16"/>
  <c r="X7" i="16"/>
  <c r="X6" i="16"/>
  <c r="X5" i="16"/>
  <c r="C6" i="10" s="1"/>
  <c r="X4" i="16"/>
  <c r="C5" i="10" s="1"/>
  <c r="X3" i="16"/>
  <c r="C4" i="10" s="1"/>
  <c r="X2" i="16"/>
  <c r="C3" i="10" s="1"/>
  <c r="X3" i="17"/>
  <c r="B4" i="10" s="1"/>
  <c r="X6" i="17"/>
  <c r="X7" i="17"/>
  <c r="X8" i="17"/>
  <c r="X9" i="17"/>
  <c r="X11" i="17"/>
  <c r="X12" i="17"/>
  <c r="B8" i="10" s="1"/>
  <c r="X13" i="17"/>
  <c r="X15" i="17"/>
  <c r="B10" i="10" s="1"/>
  <c r="X17" i="17"/>
  <c r="X18" i="17"/>
  <c r="X19" i="17"/>
  <c r="X20" i="17"/>
  <c r="X22" i="17"/>
  <c r="X23" i="17"/>
  <c r="X24" i="17"/>
  <c r="B15" i="10" s="1"/>
  <c r="X25" i="17"/>
  <c r="X26" i="17"/>
  <c r="X27" i="17"/>
  <c r="B17" i="10" s="1"/>
  <c r="X2" i="17"/>
  <c r="B3" i="10" s="1"/>
  <c r="D22" i="21"/>
  <c r="D21" i="21"/>
  <c r="D20" i="21"/>
  <c r="D19" i="21"/>
  <c r="D18" i="21"/>
  <c r="D17" i="21"/>
  <c r="D16" i="21"/>
  <c r="D15" i="21"/>
  <c r="D14" i="21"/>
  <c r="D13" i="21"/>
  <c r="D12" i="21"/>
  <c r="D11" i="21"/>
  <c r="W9" i="1"/>
  <c r="W8" i="1"/>
  <c r="W7" i="1"/>
  <c r="W6" i="1"/>
  <c r="D6" i="21" s="1"/>
  <c r="W5" i="1"/>
  <c r="D5" i="21" s="1"/>
  <c r="W4" i="1"/>
  <c r="D4" i="21" s="1"/>
  <c r="W3" i="1"/>
  <c r="D3" i="21" s="1"/>
  <c r="W2" i="1"/>
  <c r="D2" i="21" s="1"/>
  <c r="W22" i="14"/>
  <c r="C22" i="21" s="1"/>
  <c r="W21" i="14"/>
  <c r="C21" i="21" s="1"/>
  <c r="W20" i="14"/>
  <c r="C20" i="21" s="1"/>
  <c r="W19" i="14"/>
  <c r="C19" i="21" s="1"/>
  <c r="W18" i="14"/>
  <c r="C18" i="21" s="1"/>
  <c r="W17" i="14"/>
  <c r="C17" i="21" s="1"/>
  <c r="W16" i="14"/>
  <c r="C16" i="21" s="1"/>
  <c r="W15" i="14"/>
  <c r="C15" i="21" s="1"/>
  <c r="W14" i="14"/>
  <c r="C14" i="21" s="1"/>
  <c r="W13" i="14"/>
  <c r="C13" i="21" s="1"/>
  <c r="W12" i="14"/>
  <c r="C12" i="21" s="1"/>
  <c r="W11" i="14"/>
  <c r="C11" i="21" s="1"/>
  <c r="W10" i="14"/>
  <c r="C10" i="21" s="1"/>
  <c r="W8" i="14"/>
  <c r="W7" i="14"/>
  <c r="C7" i="21" s="1"/>
  <c r="W6" i="14"/>
  <c r="C6" i="21" s="1"/>
  <c r="W5" i="14"/>
  <c r="C5" i="21" s="1"/>
  <c r="W4" i="14"/>
  <c r="C4" i="21" s="1"/>
  <c r="W3" i="14"/>
  <c r="C3" i="21" s="1"/>
  <c r="W2" i="14"/>
  <c r="C2" i="21" s="1"/>
  <c r="W3" i="15"/>
  <c r="B3" i="21" s="1"/>
  <c r="W4" i="15"/>
  <c r="B4" i="21" s="1"/>
  <c r="W5" i="15"/>
  <c r="B5" i="21" s="1"/>
  <c r="W6" i="15"/>
  <c r="B6" i="21" s="1"/>
  <c r="W10" i="15"/>
  <c r="B10" i="21" s="1"/>
  <c r="W11" i="15"/>
  <c r="B11" i="21" s="1"/>
  <c r="W12" i="15"/>
  <c r="B12" i="21" s="1"/>
  <c r="W15" i="15"/>
  <c r="B15" i="21" s="1"/>
  <c r="W16" i="15"/>
  <c r="B16" i="21" s="1"/>
  <c r="W17" i="15"/>
  <c r="B17" i="21" s="1"/>
  <c r="W18" i="15"/>
  <c r="B18" i="21" s="1"/>
  <c r="W19" i="15"/>
  <c r="B19" i="21" s="1"/>
  <c r="W21" i="15"/>
  <c r="B21" i="21" s="1"/>
  <c r="W2" i="15"/>
  <c r="B2" i="21" s="1"/>
  <c r="W26" i="5"/>
  <c r="D26" i="22" s="1"/>
  <c r="F26" i="22" s="1"/>
  <c r="W22" i="5"/>
  <c r="D22" i="22" s="1"/>
  <c r="F22" i="22" s="1"/>
  <c r="W21" i="5"/>
  <c r="D21" i="22" s="1"/>
  <c r="F21" i="22" s="1"/>
  <c r="W20" i="5"/>
  <c r="W19" i="5"/>
  <c r="D19" i="22" s="1"/>
  <c r="F19" i="22" s="1"/>
  <c r="W18" i="5"/>
  <c r="D18" i="22" s="1"/>
  <c r="F18" i="22" s="1"/>
  <c r="W17" i="5"/>
  <c r="D17" i="22" s="1"/>
  <c r="F17" i="22" s="1"/>
  <c r="W16" i="5"/>
  <c r="D16" i="22" s="1"/>
  <c r="F16" i="22" s="1"/>
  <c r="W14" i="5"/>
  <c r="D14" i="22" s="1"/>
  <c r="F14" i="22" s="1"/>
  <c r="W13" i="5"/>
  <c r="D13" i="22" s="1"/>
  <c r="F13" i="22" s="1"/>
  <c r="W12" i="5"/>
  <c r="D12" i="22" s="1"/>
  <c r="F12" i="22" s="1"/>
  <c r="W9" i="5"/>
  <c r="D9" i="22" s="1"/>
  <c r="F9" i="22" s="1"/>
  <c r="W8" i="5"/>
  <c r="D8" i="22" s="1"/>
  <c r="F8" i="22" s="1"/>
  <c r="W7" i="5"/>
  <c r="D7" i="22" s="1"/>
  <c r="F7" i="22" s="1"/>
  <c r="W6" i="5"/>
  <c r="D6" i="22" s="1"/>
  <c r="F6" i="22" s="1"/>
  <c r="W5" i="5"/>
  <c r="D5" i="22" s="1"/>
  <c r="F5" i="22" s="1"/>
  <c r="W4" i="5"/>
  <c r="D4" i="22" s="1"/>
  <c r="F4" i="22" s="1"/>
  <c r="W3" i="5"/>
  <c r="D3" i="22" s="1"/>
  <c r="F3" i="22" s="1"/>
  <c r="W2" i="5"/>
  <c r="D2" i="22" s="1"/>
  <c r="F2" i="22" s="1"/>
  <c r="W26" i="19"/>
  <c r="C26" i="22" s="1"/>
  <c r="W22" i="19"/>
  <c r="C22" i="22" s="1"/>
  <c r="W21" i="19"/>
  <c r="C21" i="22" s="1"/>
  <c r="W20" i="19"/>
  <c r="C20" i="22" s="1"/>
  <c r="W19" i="19"/>
  <c r="C19" i="22" s="1"/>
  <c r="W18" i="19"/>
  <c r="C18" i="22" s="1"/>
  <c r="W17" i="19"/>
  <c r="C17" i="22" s="1"/>
  <c r="W16" i="19"/>
  <c r="C16" i="22" s="1"/>
  <c r="W14" i="19"/>
  <c r="C14" i="22" s="1"/>
  <c r="W13" i="19"/>
  <c r="C13" i="22" s="1"/>
  <c r="W12" i="19"/>
  <c r="C12" i="22" s="1"/>
  <c r="W9" i="19"/>
  <c r="C9" i="22" s="1"/>
  <c r="W8" i="19"/>
  <c r="C8" i="22" s="1"/>
  <c r="W7" i="19"/>
  <c r="C7" i="22" s="1"/>
  <c r="W6" i="19"/>
  <c r="C6" i="22" s="1"/>
  <c r="W5" i="19"/>
  <c r="C5" i="22" s="1"/>
  <c r="W4" i="19"/>
  <c r="C4" i="22" s="1"/>
  <c r="W3" i="19"/>
  <c r="C3" i="22" s="1"/>
  <c r="W2" i="19"/>
  <c r="C2" i="22" s="1"/>
  <c r="F2" i="21" l="1"/>
  <c r="G2" i="21"/>
  <c r="F11" i="21"/>
  <c r="G11" i="21"/>
  <c r="F19" i="21"/>
  <c r="G19" i="21"/>
  <c r="F3" i="21"/>
  <c r="G3" i="21"/>
  <c r="F12" i="21"/>
  <c r="G12" i="21"/>
  <c r="F20" i="21"/>
  <c r="G20" i="21"/>
  <c r="F18" i="21"/>
  <c r="G18" i="21"/>
  <c r="F4" i="21"/>
  <c r="G4" i="21"/>
  <c r="F13" i="21"/>
  <c r="G13" i="21"/>
  <c r="F21" i="21"/>
  <c r="G21" i="21"/>
  <c r="F16" i="21"/>
  <c r="G16" i="21"/>
  <c r="F5" i="21"/>
  <c r="G5" i="21"/>
  <c r="F14" i="21"/>
  <c r="G14" i="21"/>
  <c r="F22" i="21"/>
  <c r="G22" i="21"/>
  <c r="F17" i="21"/>
  <c r="G17" i="21"/>
  <c r="F6" i="21"/>
  <c r="G6" i="21"/>
  <c r="F15" i="21"/>
  <c r="G15" i="21"/>
  <c r="W25" i="1"/>
  <c r="Y11" i="6"/>
  <c r="Y19" i="6"/>
  <c r="Y13" i="6"/>
  <c r="Y17" i="6"/>
  <c r="C8" i="10"/>
  <c r="Y12" i="6"/>
  <c r="C10" i="10"/>
  <c r="Y15" i="6"/>
  <c r="C9" i="10"/>
  <c r="Y14" i="6"/>
  <c r="C11" i="10"/>
  <c r="Y16" i="6"/>
  <c r="D52" i="21"/>
  <c r="C8" i="21"/>
  <c r="C24" i="21" s="1"/>
  <c r="W24" i="14"/>
  <c r="C52" i="21"/>
  <c r="D8" i="21"/>
  <c r="G8" i="21" s="1"/>
  <c r="W24" i="1"/>
  <c r="D9" i="21"/>
  <c r="D20" i="22"/>
  <c r="F20" i="22" s="1"/>
  <c r="D14" i="10"/>
  <c r="F14" i="10" s="1"/>
  <c r="D13" i="10"/>
  <c r="F13" i="10" s="1"/>
  <c r="C13" i="10"/>
  <c r="C14" i="10"/>
  <c r="B13" i="10"/>
  <c r="B14" i="10"/>
  <c r="D7" i="21"/>
  <c r="G7" i="21" s="1"/>
  <c r="K29" i="20"/>
  <c r="W3" i="20"/>
  <c r="B3" i="22" s="1"/>
  <c r="W4" i="20"/>
  <c r="B4" i="22" s="1"/>
  <c r="W7" i="20"/>
  <c r="B7" i="22" s="1"/>
  <c r="W8" i="20"/>
  <c r="B8" i="22" s="1"/>
  <c r="W9" i="20"/>
  <c r="B9" i="22" s="1"/>
  <c r="W12" i="20"/>
  <c r="B12" i="22" s="1"/>
  <c r="W13" i="20"/>
  <c r="B13" i="22" s="1"/>
  <c r="W14" i="20"/>
  <c r="B14" i="22" s="1"/>
  <c r="W16" i="20"/>
  <c r="B16" i="22" s="1"/>
  <c r="W18" i="20"/>
  <c r="B18" i="22" s="1"/>
  <c r="W19" i="20"/>
  <c r="B19" i="22" s="1"/>
  <c r="W21" i="20"/>
  <c r="B21" i="22" s="1"/>
  <c r="W26" i="20"/>
  <c r="B26" i="22" s="1"/>
  <c r="W2" i="20"/>
  <c r="B2" i="22" s="1"/>
  <c r="F52" i="21" l="1"/>
  <c r="G52" i="21"/>
  <c r="F9" i="21"/>
  <c r="G9" i="21"/>
  <c r="D24" i="21"/>
  <c r="F8" i="21"/>
  <c r="F7" i="21"/>
  <c r="Q29" i="5"/>
  <c r="Q29" i="20"/>
  <c r="P29" i="20"/>
  <c r="P29" i="5" l="1"/>
  <c r="O29" i="5"/>
  <c r="W13" i="15" l="1"/>
  <c r="B13" i="21" s="1"/>
  <c r="B52" i="21" s="1"/>
  <c r="O29" i="20" l="1"/>
  <c r="N29" i="5"/>
  <c r="N29" i="20" l="1"/>
  <c r="M29" i="5"/>
  <c r="M29" i="20" l="1"/>
  <c r="L29" i="5" l="1"/>
  <c r="L29" i="20" l="1"/>
  <c r="K29" i="5"/>
  <c r="J29" i="5" l="1"/>
  <c r="W6" i="20" l="1"/>
  <c r="B6" i="22" s="1"/>
  <c r="W25" i="5" l="1"/>
  <c r="W30" i="5" s="1"/>
  <c r="I29" i="5"/>
  <c r="J29" i="20"/>
  <c r="W25" i="19"/>
  <c r="C25" i="22" s="1"/>
  <c r="C30" i="22" s="1"/>
  <c r="W25" i="20"/>
  <c r="B25" i="22" s="1"/>
  <c r="W22" i="20"/>
  <c r="B22" i="22" s="1"/>
  <c r="W20" i="20"/>
  <c r="B20" i="22" s="1"/>
  <c r="W17" i="20"/>
  <c r="B17" i="22" s="1"/>
  <c r="B30" i="22" l="1"/>
  <c r="D25" i="22"/>
  <c r="F25" i="22" s="1"/>
  <c r="F30" i="22" s="1"/>
  <c r="H29" i="5"/>
  <c r="I29" i="20"/>
  <c r="W5" i="20"/>
  <c r="B5" i="22" s="1"/>
  <c r="X16" i="17"/>
  <c r="B11" i="10" s="1"/>
  <c r="X14" i="17"/>
  <c r="B9" i="10" s="1"/>
  <c r="X5" i="17"/>
  <c r="B6" i="10" s="1"/>
  <c r="D30" i="22" l="1"/>
  <c r="G29" i="5"/>
  <c r="H29" i="20"/>
  <c r="X4" i="17"/>
  <c r="B5" i="10" s="1"/>
  <c r="W8" i="15"/>
  <c r="W24" i="15" s="1"/>
  <c r="G29" i="20"/>
  <c r="F29" i="5"/>
  <c r="B8" i="21" l="1"/>
  <c r="B24" i="21" s="1"/>
  <c r="F29" i="20"/>
  <c r="D29" i="5"/>
  <c r="D29" i="20" l="1"/>
  <c r="C29" i="5"/>
  <c r="X21" i="17"/>
  <c r="B7" i="10" s="1"/>
  <c r="W14" i="15"/>
  <c r="B14" i="21" s="1"/>
  <c r="X28" i="17" l="1"/>
  <c r="W7" i="15"/>
  <c r="B7" i="21" s="1"/>
  <c r="C29" i="20"/>
  <c r="W27" i="5"/>
  <c r="D27" i="22" s="1"/>
  <c r="F27" i="22" s="1"/>
  <c r="W15" i="5"/>
  <c r="D15" i="22" s="1"/>
  <c r="F15" i="22" s="1"/>
  <c r="W27" i="19"/>
  <c r="C27" i="22" s="1"/>
  <c r="W15" i="19"/>
  <c r="C15" i="22" s="1"/>
  <c r="W27" i="20"/>
  <c r="B27" i="22" s="1"/>
  <c r="W15" i="20"/>
  <c r="B15" i="22" s="1"/>
  <c r="X10" i="17"/>
  <c r="B2" i="10" s="1"/>
  <c r="B29" i="5" l="1"/>
  <c r="W28" i="5"/>
  <c r="W22" i="15"/>
  <c r="B22" i="21" s="1"/>
  <c r="W20" i="15"/>
  <c r="B20" i="21" s="1"/>
  <c r="W28" i="19"/>
  <c r="B29" i="20"/>
  <c r="W28" i="20"/>
  <c r="D28" i="22" l="1"/>
  <c r="W29" i="5"/>
  <c r="W29" i="19"/>
  <c r="C28" i="22"/>
  <c r="W29" i="20"/>
  <c r="B28" i="22"/>
  <c r="B29" i="22" s="1"/>
  <c r="D29" i="22" l="1"/>
  <c r="F28" i="22"/>
  <c r="C29" i="22"/>
  <c r="C12" i="10" l="1"/>
  <c r="C16" i="10" s="1"/>
  <c r="C18" i="10" s="1"/>
  <c r="B12" i="10"/>
  <c r="B16" i="10" s="1"/>
  <c r="B18" i="10" s="1"/>
  <c r="D12" i="10"/>
  <c r="F12" i="10" s="1"/>
  <c r="D16" i="10" l="1"/>
  <c r="F16" i="10" s="1"/>
  <c r="D18" i="10" l="1"/>
  <c r="F18" i="10" l="1"/>
</calcChain>
</file>

<file path=xl/sharedStrings.xml><?xml version="1.0" encoding="utf-8"?>
<sst xmlns="http://schemas.openxmlformats.org/spreadsheetml/2006/main" count="861" uniqueCount="130">
  <si>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</si>
  <si>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</si>
  <si>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</si>
  <si>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</si>
  <si>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</si>
  <si>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</si>
  <si>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</si>
  <si>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</si>
  <si>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</si>
  <si>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</si>
  <si>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</si>
  <si>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</si>
  <si>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</si>
  <si>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</si>
  <si>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</si>
  <si>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</si>
  <si>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</si>
  <si>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</si>
  <si>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</si>
  <si>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</si>
  <si>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>Debiti da finanziamento (D1)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</si>
  <si>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</si>
  <si>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</si>
  <si>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</si>
  <si>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</si>
  <si>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</si>
  <si>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</si>
  <si>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</si>
  <si>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</si>
  <si>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</si>
  <si>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</si>
  <si>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</si>
  <si>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</si>
  <si>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</si>
  <si>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</si>
  <si>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</si>
  <si>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</si>
  <si>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</si>
  <si>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</si>
  <si>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</si>
  <si>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</si>
  <si>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</si>
  <si>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</si>
  <si>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</si>
  <si>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</si>
  <si>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</si>
  <si>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</si>
  <si>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</si>
  <si>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</si>
  <si>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</si>
  <si>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</si>
  <si>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</si>
  <si>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</si>
  <si>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</si>
  <si>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</si>
  <si>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</si>
  <si>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</si>
  <si>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</si>
  <si>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</si>
  <si>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</si>
  <si>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</si>
  <si>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</si>
  <si>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</si>
  <si>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</si>
  <si>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</si>
  <si>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</si>
  <si>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</si>
  <si>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</si>
  <si>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</si>
  <si>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>COMPONENTI POSITIVI DELLA GESTIONE</t>
  </si>
  <si>
    <t>COMPONENTI NEGATIVI DELLA GESTIONE</t>
  </si>
  <si>
    <t>PATRIMONIO NETTO</t>
  </si>
  <si>
    <t>Saldo della gestione</t>
  </si>
  <si>
    <t>(Proventi - Oneri) finanziari</t>
  </si>
  <si>
    <t>(Proventi- Oneri) straordinari</t>
  </si>
  <si>
    <t>Saldo prima delle imposte</t>
  </si>
  <si>
    <t xml:space="preserve">  -- di cui proventi da tributi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</si>
  <si>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</si>
  <si>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</si>
  <si>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</si>
  <si>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</si>
  <si>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</si>
  <si>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Rapporto Patrimonio netto/Passivo</t>
  </si>
  <si>
    <t>Totale</t>
  </si>
  <si>
    <t>Riaccertamento residui attivi</t>
  </si>
  <si>
    <t xml:space="preserve">  -- di cui ricavi delle vendite e prestazioni e proventi da servizi pubblici</t>
  </si>
  <si>
    <t xml:space="preserve">  -- di cui proventi da trasferimenti e contributi</t>
  </si>
  <si>
    <t xml:space="preserve">  -- di cui proventi da fondi perequativi</t>
  </si>
  <si>
    <t xml:space="preserve">  -- di cui trasferimenti e contributi</t>
  </si>
  <si>
    <t>Voci del Conto</t>
  </si>
  <si>
    <r>
      <t xml:space="preserve">     </t>
    </r>
    <r>
      <rPr>
        <sz val="11"/>
        <color theme="1"/>
        <rFont val="Calibri"/>
        <family val="2"/>
        <scheme val="minor"/>
      </rPr>
      <t xml:space="preserve"> di cui</t>
    </r>
    <r>
      <rPr>
        <b/>
        <sz val="11"/>
        <color theme="1"/>
        <rFont val="Calibri"/>
        <family val="2"/>
        <scheme val="minor"/>
      </rPr>
      <t xml:space="preserve"> PATRIMONIO NETTO</t>
    </r>
  </si>
  <si>
    <t>Debiti</t>
  </si>
  <si>
    <t>Disavanzo moderato</t>
  </si>
  <si>
    <t>Piemonte</t>
  </si>
  <si>
    <t>Valle d'Aosta</t>
  </si>
  <si>
    <t>Lombardia</t>
  </si>
  <si>
    <t>Veneto</t>
  </si>
  <si>
    <t>Friuli V.G.</t>
  </si>
  <si>
    <t>Liguria</t>
  </si>
  <si>
    <t>Em.Romagna</t>
  </si>
  <si>
    <t>Toscana</t>
  </si>
  <si>
    <t>Umbria</t>
  </si>
  <si>
    <t>Marche</t>
  </si>
  <si>
    <t>Lazio</t>
  </si>
  <si>
    <t>Campania</t>
  </si>
  <si>
    <t>Puglia</t>
  </si>
  <si>
    <t>Calabria</t>
  </si>
  <si>
    <t>Sicilia</t>
  </si>
  <si>
    <t>Sardegna</t>
  </si>
  <si>
    <t>Abruzzo</t>
  </si>
  <si>
    <t>Molise</t>
  </si>
  <si>
    <t>Basilicata</t>
  </si>
  <si>
    <t>Fondo a copertura residui perenti</t>
  </si>
  <si>
    <t xml:space="preserve">     di cui da tributi destinati al finanziamento della sanità</t>
  </si>
  <si>
    <t xml:space="preserve">     di cui da trasferimenti e contributi da amm.ni pubbliche</t>
  </si>
  <si>
    <t xml:space="preserve">    di cui enti finanziati dal ssn</t>
  </si>
  <si>
    <t xml:space="preserve">    di cui altre amministrazioni pubbliche</t>
  </si>
  <si>
    <t xml:space="preserve">Rapporto Fcde/Residui attivi </t>
  </si>
  <si>
    <t>Patrimonio netto</t>
  </si>
  <si>
    <t>P.A. Bolzano</t>
  </si>
  <si>
    <t>P.A. Trento</t>
  </si>
  <si>
    <t>2016 (a)</t>
  </si>
  <si>
    <t xml:space="preserve">(a) nel 2016 manca P.A. Bolzano </t>
  </si>
  <si>
    <t>Rapporto FCDE/Residui attivi (scala dx)</t>
  </si>
  <si>
    <t>Diff. su 2018</t>
  </si>
  <si>
    <t>Var. % su 2018</t>
  </si>
  <si>
    <t>Differenza residui attivi</t>
  </si>
  <si>
    <t>Differenza residui passivi</t>
  </si>
  <si>
    <t>Differenza perenti</t>
  </si>
  <si>
    <t>Differenza patrimonio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</si>
</sst>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43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164" fontId="0" fillId="2" borderId="0" xfId="0" applyNumberFormat="1" applyFont="1" applyFill="1"/>
    <xf numFmtId="164" fontId="3" fillId="2" borderId="0" xfId="1" applyNumberFormat="1" applyFont="1" applyFill="1"/>
    <xf numFmtId="164" fontId="5" fillId="0" borderId="0" xfId="0" applyNumberFormat="1" applyFont="1"/>
    <xf numFmtId="164" fontId="2" fillId="0" borderId="1" xfId="0" applyNumberFormat="1" applyFont="1" applyBorder="1"/>
    <xf numFmtId="0" fontId="6" fillId="0" borderId="1" xfId="0" applyFont="1" applyBorder="1"/>
    <xf numFmtId="0" fontId="0" fillId="2" borderId="0" xfId="0" applyFill="1"/>
    <xf numFmtId="0" fontId="1" fillId="0" borderId="0" xfId="0" applyFont="1" applyBorder="1"/>
    <xf numFmtId="0" fontId="1" fillId="0" borderId="2" xfId="0" applyFont="1" applyBorder="1"/>
    <xf numFmtId="3" fontId="1" fillId="0" borderId="1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0" xfId="0" applyFont="1" applyFill="1"/>
    <xf numFmtId="164" fontId="6" fillId="2" borderId="0" xfId="0" applyNumberFormat="1" applyFont="1" applyFill="1"/>
    <xf numFmtId="164" fontId="6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0" fontId="0" fillId="0" borderId="0" xfId="0" applyFont="1" applyAlignment="1">
      <alignment horizontal="left"/>
    </xf>
    <xf numFmtId="4" fontId="0" fillId="0" borderId="0" xfId="0" applyNumberFormat="1"/>
  </cellXfs>
  <cellStyles count="3">
    <cellStyle name="Migliaia" xfId="1" builtinId="3"/>
    <cellStyle name="Normal" xfId="2"/>
    <cellStyle name="Normale" xfId="0" builtinId="0"/>
  </cellStyles>
  <dxfs count="403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Risultato_amministrazione!$B$3:$E$3</c:f>
              <c:numCache>
                <c:formatCode>#,##0</c:formatCode>
                <c:ptCount val="4"/>
                <c:pt idx="0">
                  <c:v>78398552767.440002</c:v>
                </c:pt>
                <c:pt idx="1">
                  <c:v>82078558567.240005</c:v>
                </c:pt>
                <c:pt idx="2">
                  <c:v>80746993127.320007</c:v>
                </c:pt>
                <c:pt idx="3">
                  <c:v>75567518422.5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Risultato_amministrazione!$B$4:$E$4</c:f>
              <c:numCache>
                <c:formatCode>#,##0</c:formatCode>
                <c:ptCount val="4"/>
                <c:pt idx="0">
                  <c:v>78916495414.320007</c:v>
                </c:pt>
                <c:pt idx="1">
                  <c:v>84570434847.160004</c:v>
                </c:pt>
                <c:pt idx="2">
                  <c:v>81051546017.160019</c:v>
                </c:pt>
                <c:pt idx="3">
                  <c:v>78392361145.039978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3463792"/>
        <c:axId val="-1323462160"/>
      </c:lineChart>
      <c:catAx>
        <c:axId val="-132346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23462160"/>
        <c:crosses val="autoZero"/>
        <c:auto val="1"/>
        <c:lblAlgn val="ctr"/>
        <c:lblOffset val="100"/>
        <c:noMultiLvlLbl val="0"/>
      </c:catAx>
      <c:valAx>
        <c:axId val="-1323462160"/>
        <c:scaling>
          <c:orientation val="minMax"/>
          <c:min val="780000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13234637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Stato_patrimoniale_2019!$A$29</c:f>
              <c:strCache>
                <c:ptCount val="1"/>
                <c:pt idx="0">
                  <c:v>Rapporto Patrimonio netto/Passivo</c:v>
                </c:pt>
              </c:strCache>
            </c:strRef>
          </c:tx>
          <c:invertIfNegative val="0"/>
          <c:cat>
            <c:strRef>
              <c:f>Stato_patrimoniale_2019!$B$1:$W$1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V.G.</c:v>
                </c:pt>
                <c:pt idx="7">
                  <c:v>Liguria</c:v>
                </c:pt>
                <c:pt idx="8">
                  <c:v>Em.Romagna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Stato_patrimoniale_2019!$B$29:$W$29</c:f>
              <c:numCache>
                <c:formatCode>0.0</c:formatCode>
                <c:ptCount val="22"/>
                <c:pt idx="0">
                  <c:v>-88.196368314370261</c:v>
                </c:pt>
                <c:pt idx="1">
                  <c:v>72.106289056800193</c:v>
                </c:pt>
                <c:pt idx="2">
                  <c:v>11.950609452073582</c:v>
                </c:pt>
                <c:pt idx="3">
                  <c:v>88.025810249039921</c:v>
                </c:pt>
                <c:pt idx="4">
                  <c:v>76.067436589089695</c:v>
                </c:pt>
                <c:pt idx="5">
                  <c:v>25.410848389168233</c:v>
                </c:pt>
                <c:pt idx="6">
                  <c:v>78.000871350859555</c:v>
                </c:pt>
                <c:pt idx="7">
                  <c:v>-4.5020223485957276</c:v>
                </c:pt>
                <c:pt idx="8">
                  <c:v>-9.0976756231470421</c:v>
                </c:pt>
                <c:pt idx="9">
                  <c:v>-22.373815838869536</c:v>
                </c:pt>
                <c:pt idx="10">
                  <c:v>17.050131482701826</c:v>
                </c:pt>
                <c:pt idx="11">
                  <c:v>20.413261088406845</c:v>
                </c:pt>
                <c:pt idx="12">
                  <c:v>-279.12088877438907</c:v>
                </c:pt>
                <c:pt idx="13">
                  <c:v>0</c:v>
                </c:pt>
                <c:pt idx="14">
                  <c:v>-13.746617695023101</c:v>
                </c:pt>
                <c:pt idx="15">
                  <c:v>-58.662876098352235</c:v>
                </c:pt>
                <c:pt idx="16">
                  <c:v>5.9600630622819919</c:v>
                </c:pt>
                <c:pt idx="17">
                  <c:v>0</c:v>
                </c:pt>
                <c:pt idx="18">
                  <c:v>31.897052528482238</c:v>
                </c:pt>
                <c:pt idx="19">
                  <c:v>-50.369956886558832</c:v>
                </c:pt>
                <c:pt idx="20">
                  <c:v>38.680781879153486</c:v>
                </c:pt>
                <c:pt idx="21">
                  <c:v>0.46128538616616754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68164784"/>
        <c:axId val="-1168157712"/>
      </c:barChart>
      <c:catAx>
        <c:axId val="-11681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68157712"/>
        <c:crosses val="autoZero"/>
        <c:auto val="1"/>
        <c:lblAlgn val="ctr"/>
        <c:lblOffset val="100"/>
        <c:noMultiLvlLbl val="0"/>
      </c:catAx>
      <c:valAx>
        <c:axId val="-1168157712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-1168164784"/>
        <c:crosses val="autoZero"/>
        <c:crossBetween val="between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Stato_patrimoniale_2019!$A$58:$A$76</c:f>
              <c:strCache>
                <c:ptCount val="19"/>
                <c:pt idx="0">
                  <c:v>P.A. Bolzano</c:v>
                </c:pt>
                <c:pt idx="1">
                  <c:v>P.A. Trento</c:v>
                </c:pt>
                <c:pt idx="2">
                  <c:v>Friuli V.G.</c:v>
                </c:pt>
                <c:pt idx="3">
                  <c:v>Valle d'Aosta</c:v>
                </c:pt>
                <c:pt idx="4">
                  <c:v>Lombardia</c:v>
                </c:pt>
                <c:pt idx="5">
                  <c:v>Veneto</c:v>
                </c:pt>
                <c:pt idx="6">
                  <c:v>Calabria</c:v>
                </c:pt>
                <c:pt idx="7">
                  <c:v>Sardegna</c:v>
                </c:pt>
                <c:pt idx="8">
                  <c:v>Puglia</c:v>
                </c:pt>
                <c:pt idx="9">
                  <c:v>Marche</c:v>
                </c:pt>
                <c:pt idx="10">
                  <c:v>Umbria</c:v>
                </c:pt>
                <c:pt idx="11">
                  <c:v>Liguria</c:v>
                </c:pt>
                <c:pt idx="12">
                  <c:v>Molise</c:v>
                </c:pt>
                <c:pt idx="13">
                  <c:v>Em.Romagna</c:v>
                </c:pt>
                <c:pt idx="14">
                  <c:v>Toscana</c:v>
                </c:pt>
                <c:pt idx="15">
                  <c:v>Sicilia</c:v>
                </c:pt>
                <c:pt idx="16">
                  <c:v>Piemonte</c:v>
                </c:pt>
                <c:pt idx="17">
                  <c:v>Campania</c:v>
                </c:pt>
                <c:pt idx="18">
                  <c:v>Lazio</c:v>
                </c:pt>
              </c:strCache>
            </c:strRef>
          </c:cat>
          <c:val>
            <c:numRef>
              <c:f>Stato_patrimoniale_2019!$B$58:$B$76</c:f>
              <c:numCache>
                <c:formatCode>#,##0</c:formatCode>
                <c:ptCount val="19"/>
                <c:pt idx="0">
                  <c:v>13992354817.019999</c:v>
                </c:pt>
                <c:pt idx="1">
                  <c:v>7378078151.1599989</c:v>
                </c:pt>
                <c:pt idx="2">
                  <c:v>5203870671.1099997</c:v>
                </c:pt>
                <c:pt idx="3">
                  <c:v>3156161101.3700004</c:v>
                </c:pt>
                <c:pt idx="4">
                  <c:v>3146548918</c:v>
                </c:pt>
                <c:pt idx="5">
                  <c:v>2566201834.8499999</c:v>
                </c:pt>
                <c:pt idx="6">
                  <c:v>2528480894.9400001</c:v>
                </c:pt>
                <c:pt idx="7" formatCode="General">
                  <c:v>2500615264</c:v>
                </c:pt>
                <c:pt idx="8">
                  <c:v>808263557.87</c:v>
                </c:pt>
                <c:pt idx="9">
                  <c:v>654411285.91999996</c:v>
                </c:pt>
                <c:pt idx="10">
                  <c:v>463539658.61000001</c:v>
                </c:pt>
                <c:pt idx="11">
                  <c:v>-132852685.08999999</c:v>
                </c:pt>
                <c:pt idx="12">
                  <c:v>-149662300.65999997</c:v>
                </c:pt>
                <c:pt idx="13">
                  <c:v>-532181819.84999996</c:v>
                </c:pt>
                <c:pt idx="14">
                  <c:v>-1405366026.8800001</c:v>
                </c:pt>
                <c:pt idx="15" formatCode="General">
                  <c:v>-4663583830</c:v>
                </c:pt>
                <c:pt idx="16">
                  <c:v>-6386636689.96</c:v>
                </c:pt>
                <c:pt idx="17">
                  <c:v>-7314932617.6900015</c:v>
                </c:pt>
                <c:pt idx="18">
                  <c:v>-21076909129.889999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8156624"/>
        <c:axId val="-1168170768"/>
      </c:barChart>
      <c:catAx>
        <c:axId val="-116815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200" b="1"/>
            </a:pPr>
            <a:endParaRPr lang="it-IT"/>
          </a:p>
        </c:txPr>
        <c:crossAx val="-1168170768"/>
        <c:crosses val="autoZero"/>
        <c:auto val="1"/>
        <c:lblAlgn val="ctr"/>
        <c:lblOffset val="100"/>
        <c:noMultiLvlLbl val="0"/>
      </c:catAx>
      <c:valAx>
        <c:axId val="-1168170768"/>
        <c:scaling>
          <c:orientation val="minMax"/>
          <c:max val="150000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-11681566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0346362277291"/>
          <c:y val="3.4267036064936328E-2"/>
          <c:w val="0.86829653637722715"/>
          <c:h val="0.76054291824633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Stato_patrimoniale_2019!$B$82</c:f>
              <c:strCache>
                <c:ptCount val="1"/>
                <c:pt idx="0">
                  <c:v>Debiti da finanziamento (D1)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Stato_patrimoniale_2019!$A$83:$A$101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Stato_patrimoniale_2019!$B$83:$B$101</c:f>
              <c:numCache>
                <c:formatCode>#,##0</c:formatCode>
                <c:ptCount val="19"/>
                <c:pt idx="0">
                  <c:v>22647861763.709999</c:v>
                </c:pt>
                <c:pt idx="1">
                  <c:v>12315732526</c:v>
                </c:pt>
                <c:pt idx="2">
                  <c:v>9028504469.0499992</c:v>
                </c:pt>
                <c:pt idx="3">
                  <c:v>5429387367.0299997</c:v>
                </c:pt>
                <c:pt idx="4">
                  <c:v>8484133602</c:v>
                </c:pt>
                <c:pt idx="5">
                  <c:v>4147444609.1100001</c:v>
                </c:pt>
                <c:pt idx="6">
                  <c:v>5879650407.0799999</c:v>
                </c:pt>
                <c:pt idx="7">
                  <c:v>4580433710.3199997</c:v>
                </c:pt>
                <c:pt idx="8">
                  <c:v>4393367167.25</c:v>
                </c:pt>
                <c:pt idx="9">
                  <c:v>1810571883.79</c:v>
                </c:pt>
                <c:pt idx="10">
                  <c:v>1436721118</c:v>
                </c:pt>
                <c:pt idx="11">
                  <c:v>1873885533.1800001</c:v>
                </c:pt>
                <c:pt idx="12">
                  <c:v>1574731382.1199999</c:v>
                </c:pt>
                <c:pt idx="13">
                  <c:v>119614624.65000001</c:v>
                </c:pt>
                <c:pt idx="14">
                  <c:v>1229060127.1700001</c:v>
                </c:pt>
                <c:pt idx="15">
                  <c:v>151681730.69</c:v>
                </c:pt>
                <c:pt idx="16">
                  <c:v>389600407.09000003</c:v>
                </c:pt>
                <c:pt idx="17">
                  <c:v>748261836.03999996</c:v>
                </c:pt>
                <c:pt idx="18">
                  <c:v>362995815.66000003</c:v>
                </c:pt>
              </c:numCache>
            </c:numRef>
          </c:val>
        </c:ser>
        <c:ser>
          <c:idx val="1"/>
          <c:order val="1"/>
          <c:tx>
            <c:strRef>
              <c:f>Stato_patrimoniale_2019!$C$84</c:f>
              <c:strCache>
                <c:ptCount val="1"/>
                <c:pt idx="0">
                  <c:v>Debiti verso fornitori (D2)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Stato_patrimoniale_2019!$A$83:$A$101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Stato_patrimoniale_2019!$C$85:$C$103</c:f>
              <c:numCache>
                <c:formatCode>General</c:formatCode>
                <c:ptCount val="19"/>
                <c:pt idx="0">
                  <c:v>176029855.68000001</c:v>
                </c:pt>
                <c:pt idx="1">
                  <c:v>115821074</c:v>
                </c:pt>
                <c:pt idx="2">
                  <c:v>48678506.469999999</c:v>
                </c:pt>
                <c:pt idx="3">
                  <c:v>40930918.770000003</c:v>
                </c:pt>
                <c:pt idx="4">
                  <c:v>215730319</c:v>
                </c:pt>
                <c:pt idx="5">
                  <c:v>188194640.94999999</c:v>
                </c:pt>
                <c:pt idx="6">
                  <c:v>267772535.69</c:v>
                </c:pt>
                <c:pt idx="7">
                  <c:v>592849.69999999995</c:v>
                </c:pt>
                <c:pt idx="8">
                  <c:v>91228320.25</c:v>
                </c:pt>
                <c:pt idx="9">
                  <c:v>224201280.90000001</c:v>
                </c:pt>
                <c:pt idx="10">
                  <c:v>38031440</c:v>
                </c:pt>
                <c:pt idx="11">
                  <c:v>52941058.829999998</c:v>
                </c:pt>
                <c:pt idx="12">
                  <c:v>189343077.86000001</c:v>
                </c:pt>
                <c:pt idx="13">
                  <c:v>156382310.53999999</c:v>
                </c:pt>
                <c:pt idx="14">
                  <c:v>30333315.699999999</c:v>
                </c:pt>
                <c:pt idx="15">
                  <c:v>188735976.47</c:v>
                </c:pt>
                <c:pt idx="16">
                  <c:v>116852802.16</c:v>
                </c:pt>
                <c:pt idx="17">
                  <c:v>54434113.549999997</c:v>
                </c:pt>
                <c:pt idx="18">
                  <c:v>43746232.659999996</c:v>
                </c:pt>
              </c:numCache>
            </c:numRef>
          </c:val>
        </c:ser>
        <c:ser>
          <c:idx val="2"/>
          <c:order val="2"/>
          <c:tx>
            <c:strRef>
              <c:f>Stato_patrimoniale_2019!$D$84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Stato_patrimoniale_2019!$A$83:$A$101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Stato_patrimoniale_2019!$D$85:$D$103</c:f>
              <c:numCache>
                <c:formatCode>General</c:formatCode>
                <c:ptCount val="19"/>
                <c:pt idx="0">
                  <c:v>3050140881.7399998</c:v>
                </c:pt>
                <c:pt idx="1">
                  <c:v>7734760751</c:v>
                </c:pt>
                <c:pt idx="2">
                  <c:v>6395361518.2399998</c:v>
                </c:pt>
                <c:pt idx="3">
                  <c:v>8035718596.2700005</c:v>
                </c:pt>
                <c:pt idx="4">
                  <c:v>1888556459</c:v>
                </c:pt>
                <c:pt idx="5">
                  <c:v>4692393444.9200001</c:v>
                </c:pt>
                <c:pt idx="6">
                  <c:v>1593221696.5899999</c:v>
                </c:pt>
                <c:pt idx="7">
                  <c:v>1125004187.72</c:v>
                </c:pt>
                <c:pt idx="8">
                  <c:v>1400171408.77</c:v>
                </c:pt>
                <c:pt idx="9">
                  <c:v>2380931049.6999998</c:v>
                </c:pt>
                <c:pt idx="10">
                  <c:v>864549191</c:v>
                </c:pt>
                <c:pt idx="11">
                  <c:v>773188401.91999996</c:v>
                </c:pt>
                <c:pt idx="12">
                  <c:v>509690457.56</c:v>
                </c:pt>
                <c:pt idx="13">
                  <c:v>1760755781.8</c:v>
                </c:pt>
                <c:pt idx="14">
                  <c:v>389142104.93000001</c:v>
                </c:pt>
                <c:pt idx="15">
                  <c:v>943102682.77999997</c:v>
                </c:pt>
                <c:pt idx="16">
                  <c:v>784654838.90999997</c:v>
                </c:pt>
                <c:pt idx="17">
                  <c:v>79312750.790000007</c:v>
                </c:pt>
                <c:pt idx="18">
                  <c:v>349934785.81999999</c:v>
                </c:pt>
              </c:numCache>
            </c:numRef>
          </c:val>
        </c:ser>
        <c:ser>
          <c:idx val="3"/>
          <c:order val="3"/>
          <c:tx>
            <c:strRef>
              <c:f>Stato_patrimoniale_2019!$E$84</c:f>
              <c:strCache>
                <c:ptCount val="1"/>
                <c:pt idx="0">
                  <c:v>Altri debiti (D5)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Stato_patrimoniale_2019!$A$83:$A$101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Stato_patrimoniale_2019!$E$85:$E$103</c:f>
              <c:numCache>
                <c:formatCode>General</c:formatCode>
                <c:ptCount val="19"/>
                <c:pt idx="0">
                  <c:v>1658946791.1500001</c:v>
                </c:pt>
                <c:pt idx="1">
                  <c:v>3348648928</c:v>
                </c:pt>
                <c:pt idx="2">
                  <c:v>3304338091.0500002</c:v>
                </c:pt>
                <c:pt idx="3">
                  <c:v>167418184.58000001</c:v>
                </c:pt>
                <c:pt idx="4">
                  <c:v>1788725417</c:v>
                </c:pt>
                <c:pt idx="5">
                  <c:v>170003147.91</c:v>
                </c:pt>
                <c:pt idx="6">
                  <c:v>469937800.18000001</c:v>
                </c:pt>
                <c:pt idx="7">
                  <c:v>1849033983.77</c:v>
                </c:pt>
                <c:pt idx="8">
                  <c:v>121478593.40000001</c:v>
                </c:pt>
                <c:pt idx="9">
                  <c:v>287825549.35000002</c:v>
                </c:pt>
                <c:pt idx="10">
                  <c:v>869370717</c:v>
                </c:pt>
                <c:pt idx="11">
                  <c:v>280650656.19</c:v>
                </c:pt>
                <c:pt idx="12">
                  <c:v>327482712.81</c:v>
                </c:pt>
                <c:pt idx="13">
                  <c:v>51654704.619999997</c:v>
                </c:pt>
                <c:pt idx="14">
                  <c:v>32913352.550000001</c:v>
                </c:pt>
                <c:pt idx="15">
                  <c:v>250086790.91000003</c:v>
                </c:pt>
                <c:pt idx="16">
                  <c:v>64369793.32</c:v>
                </c:pt>
                <c:pt idx="17">
                  <c:v>42500044.079999998</c:v>
                </c:pt>
                <c:pt idx="18">
                  <c:v>100562271.62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68163696"/>
        <c:axId val="-1168155536"/>
      </c:barChart>
      <c:catAx>
        <c:axId val="-1168163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-1168155536"/>
        <c:crosses val="autoZero"/>
        <c:auto val="1"/>
        <c:lblAlgn val="ctr"/>
        <c:lblOffset val="100"/>
        <c:noMultiLvlLbl val="0"/>
      </c:catAx>
      <c:valAx>
        <c:axId val="-116815553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-116816369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5607746855471023"/>
          <c:y val="0.10749159803300451"/>
          <c:w val="0.40523026160759412"/>
          <c:h val="0.28207922285576364"/>
        </c:manualLayout>
      </c:layout>
      <c:overlay val="0"/>
      <c:spPr>
        <a:noFill/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75277079282406"/>
          <c:y val="3.9408347337877764E-2"/>
          <c:w val="0.83552747807584971"/>
          <c:h val="0.80943648231021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Tav_Stato_Patrimoniale!$A$20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Tav_Stato_Patrimoniale!$B$1:$E$1</c:f>
              <c:strCache>
                <c:ptCount val="4"/>
                <c:pt idx="0">
                  <c:v>2016 (a)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Tav_Stato_Patrimoniale!$B$20:$E$20</c:f>
              <c:numCache>
                <c:formatCode>#,##0_ ;\-#,##0\ </c:formatCode>
                <c:ptCount val="4"/>
                <c:pt idx="0">
                  <c:v>88264613721</c:v>
                </c:pt>
                <c:pt idx="1">
                  <c:v>85403048767.709991</c:v>
                </c:pt>
                <c:pt idx="2">
                  <c:v>86603640079.940002</c:v>
                </c:pt>
                <c:pt idx="3">
                  <c:v>81196038695.030014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Tav_Stato_Patrimoniale!$A$21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Tav_Stato_Patrimoniale!$B$1:$E$1</c:f>
              <c:strCache>
                <c:ptCount val="4"/>
                <c:pt idx="0">
                  <c:v>2016 (a)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Tav_Stato_Patrimoniale!$B$21:$E$21</c:f>
              <c:numCache>
                <c:formatCode>#,##0_ ;\-#,##0\ </c:formatCode>
                <c:ptCount val="4"/>
                <c:pt idx="0">
                  <c:v>2092909027.9600003</c:v>
                </c:pt>
                <c:pt idx="1">
                  <c:v>2615886812.2800002</c:v>
                </c:pt>
                <c:pt idx="2">
                  <c:v>2239980629.1800003</c:v>
                </c:pt>
                <c:pt idx="3">
                  <c:v>2380524569.1500001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Tav_Stato_Patrimoniale!$A$22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Tav_Stato_Patrimoniale!$B$1:$E$1</c:f>
              <c:strCache>
                <c:ptCount val="4"/>
                <c:pt idx="0">
                  <c:v>2016 (a)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Tav_Stato_Patrimoniale!$B$22:$E$22</c:f>
              <c:numCache>
                <c:formatCode>#,##0_ ;\-#,##0\ </c:formatCode>
                <c:ptCount val="4"/>
                <c:pt idx="0">
                  <c:v>43232006603.150002</c:v>
                </c:pt>
                <c:pt idx="1">
                  <c:v>48253788222.010002</c:v>
                </c:pt>
                <c:pt idx="2">
                  <c:v>44750590989.459999</c:v>
                </c:pt>
                <c:pt idx="3">
                  <c:v>47752444336.300003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Tav_Stato_Patrimoniale!$A$25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Tav_Stato_Patrimoniale!$B$1:$E$1</c:f>
              <c:strCache>
                <c:ptCount val="4"/>
                <c:pt idx="0">
                  <c:v>2016 (a)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Tav_Stato_Patrimoniale!$B$25:$E$25</c:f>
              <c:numCache>
                <c:formatCode>#,##0_ ;\-#,##0\ </c:formatCode>
                <c:ptCount val="4"/>
                <c:pt idx="0">
                  <c:v>16788794968.120001</c:v>
                </c:pt>
                <c:pt idx="1">
                  <c:v>15746301520.42</c:v>
                </c:pt>
                <c:pt idx="2">
                  <c:v>15185947529.49</c:v>
                </c:pt>
                <c:pt idx="3">
                  <c:v>11372578027.43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68166416"/>
        <c:axId val="-1168163152"/>
      </c:barChart>
      <c:catAx>
        <c:axId val="-11681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68163152"/>
        <c:crosses val="autoZero"/>
        <c:auto val="1"/>
        <c:lblAlgn val="ctr"/>
        <c:lblOffset val="100"/>
        <c:noMultiLvlLbl val="0"/>
      </c:catAx>
      <c:valAx>
        <c:axId val="-1168163152"/>
        <c:scaling>
          <c:orientation val="minMax"/>
        </c:scaling>
        <c:delete val="0"/>
        <c:axPos val="l"/>
        <c:numFmt formatCode="#,##0_ ;\-#,##0\ " sourceLinked="1"/>
        <c:majorTickMark val="none"/>
        <c:minorTickMark val="none"/>
        <c:tickLblPos val="nextTo"/>
        <c:crossAx val="-116816641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21807802282833"/>
          <c:y val="4.6821054659331278E-2"/>
          <c:w val="0.81059732042140875"/>
          <c:h val="0.754313979704733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Risultato_amministrazione!$B$8:$E$8</c:f>
              <c:numCache>
                <c:formatCode>#,##0</c:formatCode>
                <c:ptCount val="4"/>
                <c:pt idx="0">
                  <c:v>2508452557.9299998</c:v>
                </c:pt>
                <c:pt idx="1">
                  <c:v>3187868000.9745259</c:v>
                </c:pt>
                <c:pt idx="2">
                  <c:v>3935156699.4499998</c:v>
                </c:pt>
                <c:pt idx="3">
                  <c:v>4187004304.02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Risultato_amministrazione!$B$9:$E$9</c:f>
              <c:numCache>
                <c:formatCode>#,##0</c:formatCode>
                <c:ptCount val="4"/>
                <c:pt idx="0">
                  <c:v>2952197024.5800004</c:v>
                </c:pt>
                <c:pt idx="1">
                  <c:v>3105831508.829</c:v>
                </c:pt>
                <c:pt idx="2">
                  <c:v>3357780572.5</c:v>
                </c:pt>
                <c:pt idx="3">
                  <c:v>3273701428.6900005</c:v>
                </c:pt>
              </c:numCache>
            </c:numRef>
          </c:val>
        </c:ser>
        <c:ser>
          <c:idx val="4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Risultato_amministrazione!$B$10:$E$10</c:f>
              <c:numCache>
                <c:formatCode>#,##0</c:formatCode>
                <c:ptCount val="4"/>
                <c:pt idx="0">
                  <c:v>19199380754.440002</c:v>
                </c:pt>
                <c:pt idx="1">
                  <c:v>21138437776.720005</c:v>
                </c:pt>
                <c:pt idx="2">
                  <c:v>20655845163.549995</c:v>
                </c:pt>
                <c:pt idx="3">
                  <c:v>20293907655.099998</c:v>
                </c:pt>
              </c:numCache>
            </c:numRef>
          </c:val>
        </c:ser>
        <c:ser>
          <c:idx val="0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Risultato_amministrazione!$B$52:$E$52</c:f>
              <c:numCache>
                <c:formatCode>#,##0</c:formatCode>
                <c:ptCount val="4"/>
                <c:pt idx="0">
                  <c:v>2766643491.48</c:v>
                </c:pt>
                <c:pt idx="1">
                  <c:v>3056700047.3597999</c:v>
                </c:pt>
                <c:pt idx="2">
                  <c:v>2798560129.9300003</c:v>
                </c:pt>
                <c:pt idx="3">
                  <c:v>3263502563.7999997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23461616"/>
        <c:axId val="-1323461072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44450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2.4067388688327349E-2"/>
                  <c:y val="3.4029389017788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067388688327349E-2"/>
                  <c:y val="2.7842227378190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253910950661854E-2"/>
                  <c:y val="4.6403468707942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Risultato_amministrazione!$B$24:$E$24</c:f>
              <c:numCache>
                <c:formatCode>0.0</c:formatCode>
                <c:ptCount val="4"/>
                <c:pt idx="0">
                  <c:v>3.1996158977207481</c:v>
                </c:pt>
                <c:pt idx="1">
                  <c:v>3.8839229838118756</c:v>
                </c:pt>
                <c:pt idx="2">
                  <c:v>4.8734405419222675</c:v>
                </c:pt>
                <c:pt idx="3">
                  <c:v>5.5407460658034955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36015760"/>
        <c:axId val="-1536014672"/>
      </c:lineChart>
      <c:catAx>
        <c:axId val="-13234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3461072"/>
        <c:crosses val="autoZero"/>
        <c:auto val="1"/>
        <c:lblAlgn val="ctr"/>
        <c:lblOffset val="100"/>
        <c:noMultiLvlLbl val="0"/>
      </c:catAx>
      <c:valAx>
        <c:axId val="-1323461072"/>
        <c:scaling>
          <c:orientation val="minMax"/>
          <c:max val="310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3461616"/>
        <c:crosses val="autoZero"/>
        <c:crossBetween val="between"/>
        <c:majorUnit val="5000000000"/>
      </c:valAx>
      <c:valAx>
        <c:axId val="-1536014672"/>
        <c:scaling>
          <c:orientation val="minMax"/>
          <c:min val="2"/>
        </c:scaling>
        <c:delete val="0"/>
        <c:axPos val="r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536015760"/>
        <c:crosses val="max"/>
        <c:crossBetween val="between"/>
        <c:majorUnit val="1"/>
      </c:valAx>
      <c:catAx>
        <c:axId val="-153601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5360146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0359981889653066E-2"/>
          <c:y val="0.86154633857634044"/>
          <c:w val="0.98490354247684453"/>
          <c:h val="0.1191393205255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Stato_patrimoniale_2016!$A$29</c:f>
              <c:strCache>
                <c:ptCount val="1"/>
                <c:pt idx="0">
                  <c:v>Rapporto Patrimonio netto/Passivo</c:v>
                </c:pt>
              </c:strCache>
            </c:strRef>
          </c:tx>
          <c:invertIfNegative val="0"/>
          <c:cat>
            <c:strRef>
              <c:f>Stato_patrimoniale_2016!$B$1:$W$1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V.G.</c:v>
                </c:pt>
                <c:pt idx="7">
                  <c:v>Liguria</c:v>
                </c:pt>
                <c:pt idx="8">
                  <c:v>Em.Romagna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Stato_patrimoniale_2016!$B$29:$W$29</c:f>
              <c:numCache>
                <c:formatCode>0.0</c:formatCode>
                <c:ptCount val="22"/>
                <c:pt idx="0">
                  <c:v>-120.54735687513012</c:v>
                </c:pt>
                <c:pt idx="1">
                  <c:v>67.214193637651263</c:v>
                </c:pt>
                <c:pt idx="2">
                  <c:v>7.0050486007564441</c:v>
                </c:pt>
                <c:pt idx="3">
                  <c:v>0</c:v>
                </c:pt>
                <c:pt idx="4">
                  <c:v>74.343675937731348</c:v>
                </c:pt>
                <c:pt idx="5">
                  <c:v>-7.64101332286873</c:v>
                </c:pt>
                <c:pt idx="6">
                  <c:v>79.766310453712677</c:v>
                </c:pt>
                <c:pt idx="7">
                  <c:v>-28.709568368296097</c:v>
                </c:pt>
                <c:pt idx="8">
                  <c:v>-35.868488149636995</c:v>
                </c:pt>
                <c:pt idx="9">
                  <c:v>-33.441894924436568</c:v>
                </c:pt>
                <c:pt idx="10">
                  <c:v>-18.227435092246296</c:v>
                </c:pt>
                <c:pt idx="11">
                  <c:v>-2.4608968241417917</c:v>
                </c:pt>
                <c:pt idx="12">
                  <c:v>-388.67923677663481</c:v>
                </c:pt>
                <c:pt idx="13">
                  <c:v>0</c:v>
                </c:pt>
                <c:pt idx="14">
                  <c:v>-16.166177209358214</c:v>
                </c:pt>
                <c:pt idx="15">
                  <c:v>-146.5812863256628</c:v>
                </c:pt>
                <c:pt idx="16">
                  <c:v>22.457099520145789</c:v>
                </c:pt>
                <c:pt idx="17">
                  <c:v>0</c:v>
                </c:pt>
                <c:pt idx="18">
                  <c:v>23.676897940894133</c:v>
                </c:pt>
                <c:pt idx="19">
                  <c:v>-103.9205466931854</c:v>
                </c:pt>
                <c:pt idx="20">
                  <c:v>18.618454630352055</c:v>
                </c:pt>
                <c:pt idx="21">
                  <c:v>-29.074186932880625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36016848"/>
        <c:axId val="-1536021200"/>
      </c:barChart>
      <c:catAx>
        <c:axId val="-153601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536021200"/>
        <c:crosses val="autoZero"/>
        <c:auto val="1"/>
        <c:lblAlgn val="ctr"/>
        <c:lblOffset val="100"/>
        <c:noMultiLvlLbl val="0"/>
      </c:catAx>
      <c:valAx>
        <c:axId val="-1536021200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-153601684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74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Stato_patrimoniale_2016!$A$16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strRef>
              <c:f>Stato_patrimoniale_2016!$B$1:$G$1</c:f>
              <c:strCache>
                <c:ptCount val="6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</c:strCache>
            </c:strRef>
          </c:cat>
          <c:val>
            <c:numRef>
              <c:f>Stato_patrimoniale_2016!$B$16:$G$16</c:f>
              <c:numCache>
                <c:formatCode>#,##0</c:formatCode>
                <c:ptCount val="6"/>
                <c:pt idx="0">
                  <c:v>279520354.33999997</c:v>
                </c:pt>
                <c:pt idx="1">
                  <c:v>2069088973.8299999</c:v>
                </c:pt>
                <c:pt idx="2">
                  <c:v>396068013</c:v>
                </c:pt>
                <c:pt idx="3">
                  <c:v>0</c:v>
                </c:pt>
                <c:pt idx="4">
                  <c:v>656679235.79999995</c:v>
                </c:pt>
                <c:pt idx="5">
                  <c:v>-1457709476.72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Stato_patrimoniale_2016!$A$17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strRef>
              <c:f>Stato_patrimoniale_2016!$B$1:$G$1</c:f>
              <c:strCache>
                <c:ptCount val="6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</c:strCache>
            </c:strRef>
          </c:cat>
          <c:val>
            <c:numRef>
              <c:f>Stato_patrimoniale_2016!$B$17:$G$17</c:f>
              <c:numCache>
                <c:formatCode>#,##0</c:formatCode>
                <c:ptCount val="6"/>
                <c:pt idx="0">
                  <c:v>-8064293211.6700001</c:v>
                </c:pt>
                <c:pt idx="1">
                  <c:v>536560652.99000001</c:v>
                </c:pt>
                <c:pt idx="2">
                  <c:v>1335849362</c:v>
                </c:pt>
                <c:pt idx="3">
                  <c:v>0</c:v>
                </c:pt>
                <c:pt idx="4">
                  <c:v>6037385435.8999996</c:v>
                </c:pt>
                <c:pt idx="5">
                  <c:v>202230164.43000001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Stato_patrimoniale_2016!$A$18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strRef>
              <c:f>Stato_patrimoniale_2016!$B$1:$G$1</c:f>
              <c:strCache>
                <c:ptCount val="6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</c:strCache>
            </c:strRef>
          </c:cat>
          <c:val>
            <c:numRef>
              <c:f>Stato_patrimoniale_2016!$B$18:$G$18</c:f>
              <c:numCache>
                <c:formatCode>#,##0</c:formatCode>
                <c:ptCount val="6"/>
                <c:pt idx="0">
                  <c:v>294644142.24000001</c:v>
                </c:pt>
                <c:pt idx="1">
                  <c:v>0</c:v>
                </c:pt>
                <c:pt idx="2">
                  <c:v>157386491</c:v>
                </c:pt>
                <c:pt idx="3">
                  <c:v>0</c:v>
                </c:pt>
                <c:pt idx="4">
                  <c:v>0</c:v>
                </c:pt>
                <c:pt idx="5">
                  <c:v>533389567.69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36020656"/>
        <c:axId val="-1536020112"/>
      </c:barChart>
      <c:catAx>
        <c:axId val="-153602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536020112"/>
        <c:crosses val="autoZero"/>
        <c:auto val="1"/>
        <c:lblAlgn val="ctr"/>
        <c:lblOffset val="100"/>
        <c:noMultiLvlLbl val="0"/>
      </c:catAx>
      <c:valAx>
        <c:axId val="-1536020112"/>
        <c:scaling>
          <c:orientation val="minMax"/>
          <c:max val="1300000000"/>
          <c:min val="-1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536020656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Stato_patrimoniale_2017!$A$29</c:f>
              <c:strCache>
                <c:ptCount val="1"/>
                <c:pt idx="0">
                  <c:v>Rapporto Patrimonio netto/Passivo</c:v>
                </c:pt>
              </c:strCache>
            </c:strRef>
          </c:tx>
          <c:invertIfNegative val="0"/>
          <c:cat>
            <c:strRef>
              <c:f>Stato_patrimoniale_2017!$B$1:$W$1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V.G.</c:v>
                </c:pt>
                <c:pt idx="7">
                  <c:v>Liguria</c:v>
                </c:pt>
                <c:pt idx="8">
                  <c:v>Em.Romagna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Stato_patrimoniale_2017!$B$29:$W$29</c:f>
              <c:numCache>
                <c:formatCode>0.0</c:formatCode>
                <c:ptCount val="22"/>
                <c:pt idx="0">
                  <c:v>-100.38059533209869</c:v>
                </c:pt>
                <c:pt idx="1">
                  <c:v>69.981218690587255</c:v>
                </c:pt>
                <c:pt idx="2">
                  <c:v>7.4537209583199164</c:v>
                </c:pt>
                <c:pt idx="3">
                  <c:v>84.470122004243294</c:v>
                </c:pt>
                <c:pt idx="4">
                  <c:v>74.953748552232796</c:v>
                </c:pt>
                <c:pt idx="5">
                  <c:v>18.167086391087018</c:v>
                </c:pt>
                <c:pt idx="6">
                  <c:v>73.726852607449132</c:v>
                </c:pt>
                <c:pt idx="7">
                  <c:v>-9.2269801888838821</c:v>
                </c:pt>
                <c:pt idx="8">
                  <c:v>-19.489449012013388</c:v>
                </c:pt>
                <c:pt idx="9">
                  <c:v>-31.145492012232346</c:v>
                </c:pt>
                <c:pt idx="10">
                  <c:v>14.040097844809429</c:v>
                </c:pt>
                <c:pt idx="11">
                  <c:v>14.602240798986896</c:v>
                </c:pt>
                <c:pt idx="12">
                  <c:v>-334.53492149191533</c:v>
                </c:pt>
                <c:pt idx="13">
                  <c:v>0</c:v>
                </c:pt>
                <c:pt idx="14">
                  <c:v>-10.180882257579592</c:v>
                </c:pt>
                <c:pt idx="15">
                  <c:v>-109.92139392214372</c:v>
                </c:pt>
                <c:pt idx="16">
                  <c:v>29.285654824396843</c:v>
                </c:pt>
                <c:pt idx="17">
                  <c:v>0</c:v>
                </c:pt>
                <c:pt idx="18">
                  <c:v>23.562806345099236</c:v>
                </c:pt>
                <c:pt idx="19">
                  <c:v>-70.600002653120526</c:v>
                </c:pt>
                <c:pt idx="20">
                  <c:v>22.289927548973488</c:v>
                </c:pt>
                <c:pt idx="21">
                  <c:v>-7.226937014741404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35389344"/>
        <c:axId val="-1168160976"/>
      </c:barChart>
      <c:catAx>
        <c:axId val="-15353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68160976"/>
        <c:crosses val="autoZero"/>
        <c:auto val="1"/>
        <c:lblAlgn val="ctr"/>
        <c:lblOffset val="100"/>
        <c:noMultiLvlLbl val="0"/>
      </c:catAx>
      <c:valAx>
        <c:axId val="-1168160976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-153538934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4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Stato_patrimoniale_2017!$A$16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strRef>
              <c:f>Stato_patrimoniale_2017!$B$1:$G$1</c:f>
              <c:strCache>
                <c:ptCount val="6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</c:strCache>
            </c:strRef>
          </c:cat>
          <c:val>
            <c:numRef>
              <c:f>Stato_patrimoniale_2017!$B$16:$G$16</c:f>
              <c:numCache>
                <c:formatCode>#,##0</c:formatCode>
                <c:ptCount val="6"/>
                <c:pt idx="0">
                  <c:v>-8054402285.4300003</c:v>
                </c:pt>
                <c:pt idx="1">
                  <c:v>2078849697.9200001</c:v>
                </c:pt>
                <c:pt idx="2">
                  <c:v>210621519</c:v>
                </c:pt>
                <c:pt idx="3">
                  <c:v>1214065158.01</c:v>
                </c:pt>
                <c:pt idx="4">
                  <c:v>656679235.79999995</c:v>
                </c:pt>
                <c:pt idx="5">
                  <c:v>421067548.60000002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Stato_patrimoniale_2017!$A$17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strRef>
              <c:f>Stato_patrimoniale_2017!$B$1:$G$1</c:f>
              <c:strCache>
                <c:ptCount val="6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</c:strCache>
            </c:strRef>
          </c:cat>
          <c:val>
            <c:numRef>
              <c:f>Stato_patrimoniale_2017!$B$17:$G$17</c:f>
              <c:numCache>
                <c:formatCode>#,##0</c:formatCode>
                <c:ptCount val="6"/>
                <c:pt idx="0">
                  <c:v>609743472.09000003</c:v>
                </c:pt>
                <c:pt idx="1">
                  <c:v>543557053.99000001</c:v>
                </c:pt>
                <c:pt idx="2">
                  <c:v>1527366779</c:v>
                </c:pt>
                <c:pt idx="3">
                  <c:v>11292985256.1</c:v>
                </c:pt>
                <c:pt idx="4">
                  <c:v>6037374489.8999996</c:v>
                </c:pt>
                <c:pt idx="5">
                  <c:v>859902210.00999999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Stato_patrimoniale_2017!$A$18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strRef>
              <c:f>Stato_patrimoniale_2017!$B$1:$G$1</c:f>
              <c:strCache>
                <c:ptCount val="6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</c:strCache>
            </c:strRef>
          </c:cat>
          <c:val>
            <c:numRef>
              <c:f>Stato_patrimoniale_2017!$B$18:$G$18</c:f>
              <c:numCache>
                <c:formatCode>#,##0</c:formatCode>
                <c:ptCount val="6"/>
                <c:pt idx="0">
                  <c:v>590110561</c:v>
                </c:pt>
                <c:pt idx="1">
                  <c:v>210330806.93000001</c:v>
                </c:pt>
                <c:pt idx="2">
                  <c:v>498245724</c:v>
                </c:pt>
                <c:pt idx="3">
                  <c:v>110505431.26000001</c:v>
                </c:pt>
                <c:pt idx="4">
                  <c:v>367171473.19999999</c:v>
                </c:pt>
                <c:pt idx="5">
                  <c:v>592084149.08000004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68162064"/>
        <c:axId val="-1168166960"/>
      </c:barChart>
      <c:catAx>
        <c:axId val="-116816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168166960"/>
        <c:crosses val="autoZero"/>
        <c:auto val="1"/>
        <c:lblAlgn val="ctr"/>
        <c:lblOffset val="100"/>
        <c:noMultiLvlLbl val="0"/>
      </c:catAx>
      <c:valAx>
        <c:axId val="-1168166960"/>
        <c:scaling>
          <c:orientation val="minMax"/>
          <c:max val="1300000000"/>
          <c:min val="-1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168162064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Stato_patrimoniale_2018!$A$29</c:f>
              <c:strCache>
                <c:ptCount val="1"/>
                <c:pt idx="0">
                  <c:v>Rapporto Patrimonio netto/Passivo</c:v>
                </c:pt>
              </c:strCache>
            </c:strRef>
          </c:tx>
          <c:invertIfNegative val="0"/>
          <c:cat>
            <c:strRef>
              <c:f>Stato_patrimoniale_2018!$B$1:$W$1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V.G.</c:v>
                </c:pt>
                <c:pt idx="7">
                  <c:v>Liguria</c:v>
                </c:pt>
                <c:pt idx="8">
                  <c:v>Em.Romagna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Stato_patrimoniale_2018!$B$29:$W$29</c:f>
              <c:numCache>
                <c:formatCode>0.0</c:formatCode>
                <c:ptCount val="22"/>
                <c:pt idx="0">
                  <c:v>-84.368790949851146</c:v>
                </c:pt>
                <c:pt idx="1">
                  <c:v>70.773124727481374</c:v>
                </c:pt>
                <c:pt idx="2">
                  <c:v>10.116096532578974</c:v>
                </c:pt>
                <c:pt idx="3">
                  <c:v>89.032188887183409</c:v>
                </c:pt>
                <c:pt idx="4">
                  <c:v>75.081463670994538</c:v>
                </c:pt>
                <c:pt idx="5">
                  <c:v>21.139767086178367</c:v>
                </c:pt>
                <c:pt idx="6">
                  <c:v>68.761420279861838</c:v>
                </c:pt>
                <c:pt idx="7">
                  <c:v>-7.8658112679492218</c:v>
                </c:pt>
                <c:pt idx="8">
                  <c:v>-14.708255269981205</c:v>
                </c:pt>
                <c:pt idx="9">
                  <c:v>-25.208597140475781</c:v>
                </c:pt>
                <c:pt idx="10">
                  <c:v>16.95267964418289</c:v>
                </c:pt>
                <c:pt idx="11">
                  <c:v>16.884988240286898</c:v>
                </c:pt>
                <c:pt idx="12">
                  <c:v>-320.74976125796553</c:v>
                </c:pt>
                <c:pt idx="13">
                  <c:v>0</c:v>
                </c:pt>
                <c:pt idx="14">
                  <c:v>-8.9911091918536226</c:v>
                </c:pt>
                <c:pt idx="15">
                  <c:v>-85.026048515777859</c:v>
                </c:pt>
                <c:pt idx="16">
                  <c:v>5.2758789376436148</c:v>
                </c:pt>
                <c:pt idx="17">
                  <c:v>0</c:v>
                </c:pt>
                <c:pt idx="18">
                  <c:v>29.985332985991608</c:v>
                </c:pt>
                <c:pt idx="19">
                  <c:v>-62.466827737152443</c:v>
                </c:pt>
                <c:pt idx="20">
                  <c:v>32.33830406198296</c:v>
                </c:pt>
                <c:pt idx="21">
                  <c:v>-4.7087329264358182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68158256"/>
        <c:axId val="-1168167504"/>
      </c:barChart>
      <c:catAx>
        <c:axId val="-116815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68167504"/>
        <c:crosses val="autoZero"/>
        <c:auto val="1"/>
        <c:lblAlgn val="ctr"/>
        <c:lblOffset val="100"/>
        <c:noMultiLvlLbl val="0"/>
      </c:catAx>
      <c:valAx>
        <c:axId val="-1168167504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-1168158256"/>
        <c:crosses val="autoZero"/>
        <c:crossBetween val="between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Stato_patrimoniale_2018!$A$58:$A$76</c:f>
              <c:strCache>
                <c:ptCount val="19"/>
                <c:pt idx="0">
                  <c:v>P.A. Bolzano</c:v>
                </c:pt>
                <c:pt idx="1">
                  <c:v>P.A. Trento</c:v>
                </c:pt>
                <c:pt idx="2">
                  <c:v>Friuli V.G.</c:v>
                </c:pt>
                <c:pt idx="3">
                  <c:v>Valle d'Aosta</c:v>
                </c:pt>
                <c:pt idx="4">
                  <c:v>Lombardia</c:v>
                </c:pt>
                <c:pt idx="5">
                  <c:v>Calabria</c:v>
                </c:pt>
                <c:pt idx="6">
                  <c:v>Veneto</c:v>
                </c:pt>
                <c:pt idx="7">
                  <c:v>Sardegna</c:v>
                </c:pt>
                <c:pt idx="8">
                  <c:v>Puglia</c:v>
                </c:pt>
                <c:pt idx="9">
                  <c:v>Marche</c:v>
                </c:pt>
                <c:pt idx="10">
                  <c:v>Umbria</c:v>
                </c:pt>
                <c:pt idx="11">
                  <c:v>Molise</c:v>
                </c:pt>
                <c:pt idx="12">
                  <c:v>Liguria</c:v>
                </c:pt>
                <c:pt idx="13">
                  <c:v>Em.Romagna</c:v>
                </c:pt>
                <c:pt idx="14">
                  <c:v>Toscana</c:v>
                </c:pt>
                <c:pt idx="15">
                  <c:v>Sicilia</c:v>
                </c:pt>
                <c:pt idx="16">
                  <c:v>Piemonte</c:v>
                </c:pt>
                <c:pt idx="17">
                  <c:v>Campania</c:v>
                </c:pt>
                <c:pt idx="18">
                  <c:v>Lazio</c:v>
                </c:pt>
              </c:strCache>
            </c:strRef>
          </c:cat>
          <c:val>
            <c:numRef>
              <c:f>Stato_patrimoniale_2018!$B$58:$B$76</c:f>
              <c:numCache>
                <c:formatCode>#,##0</c:formatCode>
                <c:ptCount val="19"/>
                <c:pt idx="0">
                  <c:v>13967718168.809999</c:v>
                </c:pt>
                <c:pt idx="1">
                  <c:v>7035821049.3999996</c:v>
                </c:pt>
                <c:pt idx="2">
                  <c:v>3765653911.7599998</c:v>
                </c:pt>
                <c:pt idx="3">
                  <c:v>2893041789.8399997</c:v>
                </c:pt>
                <c:pt idx="4">
                  <c:v>2809502964</c:v>
                </c:pt>
                <c:pt idx="5">
                  <c:v>2276025385.9300003</c:v>
                </c:pt>
                <c:pt idx="6">
                  <c:v>2255528559.52</c:v>
                </c:pt>
                <c:pt idx="7">
                  <c:v>1933179922</c:v>
                </c:pt>
                <c:pt idx="8">
                  <c:v>665550074.36000001</c:v>
                </c:pt>
                <c:pt idx="9">
                  <c:v>569405206.8599999</c:v>
                </c:pt>
                <c:pt idx="10">
                  <c:v>431722166.82999998</c:v>
                </c:pt>
                <c:pt idx="11">
                  <c:v>-98144586.570000008</c:v>
                </c:pt>
                <c:pt idx="12">
                  <c:v>-233891858.93000007</c:v>
                </c:pt>
                <c:pt idx="13">
                  <c:v>-910715417.88999999</c:v>
                </c:pt>
                <c:pt idx="14">
                  <c:v>-1712301813.8700001</c:v>
                </c:pt>
                <c:pt idx="15">
                  <c:v>-5279751303</c:v>
                </c:pt>
                <c:pt idx="16">
                  <c:v>-6629285330.8800001</c:v>
                </c:pt>
                <c:pt idx="17">
                  <c:v>-9531435573.6599998</c:v>
                </c:pt>
                <c:pt idx="18">
                  <c:v>-21575073597.660004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8168048"/>
        <c:axId val="-1168159344"/>
      </c:barChart>
      <c:catAx>
        <c:axId val="-1168168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="1"/>
            </a:pPr>
            <a:endParaRPr lang="it-IT"/>
          </a:p>
        </c:txPr>
        <c:crossAx val="-1168159344"/>
        <c:crosses val="autoZero"/>
        <c:auto val="1"/>
        <c:lblAlgn val="ctr"/>
        <c:lblOffset val="100"/>
        <c:noMultiLvlLbl val="0"/>
      </c:catAx>
      <c:valAx>
        <c:axId val="-1168159344"/>
        <c:scaling>
          <c:orientation val="minMax"/>
          <c:max val="150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-1168168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0346362277291"/>
          <c:y val="3.4267036064936328E-2"/>
          <c:w val="0.86829653637722715"/>
          <c:h val="0.76054291824633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Stato_patrimoniale_2018!$B$84</c:f>
              <c:strCache>
                <c:ptCount val="1"/>
                <c:pt idx="0">
                  <c:v>Debiti da finanziamento (D1)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Stato_patrimoniale_2018!$A$85:$A$103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Stato_patrimoniale_2018!$B$85:$B$103</c:f>
              <c:numCache>
                <c:formatCode>#,##0</c:formatCode>
                <c:ptCount val="19"/>
                <c:pt idx="0">
                  <c:v>22647861763.709999</c:v>
                </c:pt>
                <c:pt idx="1">
                  <c:v>12315732526</c:v>
                </c:pt>
                <c:pt idx="2">
                  <c:v>9028504469.0499992</c:v>
                </c:pt>
                <c:pt idx="3">
                  <c:v>5429387367.0299997</c:v>
                </c:pt>
                <c:pt idx="4">
                  <c:v>8484133602</c:v>
                </c:pt>
                <c:pt idx="5">
                  <c:v>4147444609.1100001</c:v>
                </c:pt>
                <c:pt idx="6">
                  <c:v>5879650407.0799999</c:v>
                </c:pt>
                <c:pt idx="7">
                  <c:v>4580433710.3199997</c:v>
                </c:pt>
                <c:pt idx="8">
                  <c:v>4393367167.25</c:v>
                </c:pt>
                <c:pt idx="9">
                  <c:v>1810571883.79</c:v>
                </c:pt>
                <c:pt idx="10">
                  <c:v>1436721118</c:v>
                </c:pt>
                <c:pt idx="11">
                  <c:v>1873885533.1800001</c:v>
                </c:pt>
                <c:pt idx="12">
                  <c:v>1574731382.1199999</c:v>
                </c:pt>
                <c:pt idx="13">
                  <c:v>119614624.65000001</c:v>
                </c:pt>
                <c:pt idx="14">
                  <c:v>1229060127.1700001</c:v>
                </c:pt>
                <c:pt idx="15">
                  <c:v>151681730.69</c:v>
                </c:pt>
                <c:pt idx="16">
                  <c:v>389600407.09000003</c:v>
                </c:pt>
                <c:pt idx="17">
                  <c:v>748261836.03999996</c:v>
                </c:pt>
                <c:pt idx="18">
                  <c:v>362995815.66000003</c:v>
                </c:pt>
              </c:numCache>
            </c:numRef>
          </c:val>
        </c:ser>
        <c:ser>
          <c:idx val="1"/>
          <c:order val="1"/>
          <c:tx>
            <c:strRef>
              <c:f>Stato_patrimoniale_2018!$C$84</c:f>
              <c:strCache>
                <c:ptCount val="1"/>
                <c:pt idx="0">
                  <c:v>Debiti verso fornitori (D2)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Stato_patrimoniale_2018!$A$85:$A$103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Stato_patrimoniale_2018!$C$85:$C$103</c:f>
              <c:numCache>
                <c:formatCode>General</c:formatCode>
                <c:ptCount val="19"/>
                <c:pt idx="0">
                  <c:v>176029855.68000001</c:v>
                </c:pt>
                <c:pt idx="1">
                  <c:v>115821074</c:v>
                </c:pt>
                <c:pt idx="2">
                  <c:v>48678506.469999999</c:v>
                </c:pt>
                <c:pt idx="3">
                  <c:v>40930918.770000003</c:v>
                </c:pt>
                <c:pt idx="4">
                  <c:v>215730319</c:v>
                </c:pt>
                <c:pt idx="5">
                  <c:v>188194640.94999999</c:v>
                </c:pt>
                <c:pt idx="6">
                  <c:v>267772535.69</c:v>
                </c:pt>
                <c:pt idx="7">
                  <c:v>592849.69999999995</c:v>
                </c:pt>
                <c:pt idx="8">
                  <c:v>91228320.25</c:v>
                </c:pt>
                <c:pt idx="9">
                  <c:v>224201280.90000001</c:v>
                </c:pt>
                <c:pt idx="10">
                  <c:v>38031440</c:v>
                </c:pt>
                <c:pt idx="11">
                  <c:v>52941058.829999998</c:v>
                </c:pt>
                <c:pt idx="12">
                  <c:v>189343077.86000001</c:v>
                </c:pt>
                <c:pt idx="13">
                  <c:v>156382310.53999999</c:v>
                </c:pt>
                <c:pt idx="14">
                  <c:v>30333315.699999999</c:v>
                </c:pt>
                <c:pt idx="15">
                  <c:v>188735976.47</c:v>
                </c:pt>
                <c:pt idx="16">
                  <c:v>116852802.16</c:v>
                </c:pt>
                <c:pt idx="17">
                  <c:v>54434113.549999997</c:v>
                </c:pt>
                <c:pt idx="18">
                  <c:v>43746232.659999996</c:v>
                </c:pt>
              </c:numCache>
            </c:numRef>
          </c:val>
        </c:ser>
        <c:ser>
          <c:idx val="2"/>
          <c:order val="2"/>
          <c:tx>
            <c:strRef>
              <c:f>Stato_patrimoniale_2018!$D$84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Stato_patrimoniale_2018!$A$85:$A$103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Stato_patrimoniale_2018!$D$85:$D$103</c:f>
              <c:numCache>
                <c:formatCode>General</c:formatCode>
                <c:ptCount val="19"/>
                <c:pt idx="0">
                  <c:v>3050140881.7399998</c:v>
                </c:pt>
                <c:pt idx="1">
                  <c:v>7734760751</c:v>
                </c:pt>
                <c:pt idx="2">
                  <c:v>6395361518.2399998</c:v>
                </c:pt>
                <c:pt idx="3">
                  <c:v>8035718596.2700005</c:v>
                </c:pt>
                <c:pt idx="4">
                  <c:v>1888556459</c:v>
                </c:pt>
                <c:pt idx="5">
                  <c:v>4692393444.9200001</c:v>
                </c:pt>
                <c:pt idx="6">
                  <c:v>1593221696.5899999</c:v>
                </c:pt>
                <c:pt idx="7">
                  <c:v>1125004187.72</c:v>
                </c:pt>
                <c:pt idx="8">
                  <c:v>1400171408.77</c:v>
                </c:pt>
                <c:pt idx="9">
                  <c:v>2380931049.6999998</c:v>
                </c:pt>
                <c:pt idx="10">
                  <c:v>864549191</c:v>
                </c:pt>
                <c:pt idx="11">
                  <c:v>773188401.91999996</c:v>
                </c:pt>
                <c:pt idx="12">
                  <c:v>509690457.56</c:v>
                </c:pt>
                <c:pt idx="13">
                  <c:v>1760755781.8</c:v>
                </c:pt>
                <c:pt idx="14">
                  <c:v>389142104.93000001</c:v>
                </c:pt>
                <c:pt idx="15">
                  <c:v>943102682.77999997</c:v>
                </c:pt>
                <c:pt idx="16">
                  <c:v>784654838.90999997</c:v>
                </c:pt>
                <c:pt idx="17">
                  <c:v>79312750.790000007</c:v>
                </c:pt>
                <c:pt idx="18">
                  <c:v>349934785.81999999</c:v>
                </c:pt>
              </c:numCache>
            </c:numRef>
          </c:val>
        </c:ser>
        <c:ser>
          <c:idx val="3"/>
          <c:order val="3"/>
          <c:tx>
            <c:strRef>
              <c:f>Stato_patrimoniale_2018!$E$84</c:f>
              <c:strCache>
                <c:ptCount val="1"/>
                <c:pt idx="0">
                  <c:v>Altri debiti (D5)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Stato_patrimoniale_2018!$A$85:$A$103</c:f>
              <c:strCache>
                <c:ptCount val="19"/>
                <c:pt idx="0">
                  <c:v>Lazio</c:v>
                </c:pt>
                <c:pt idx="1">
                  <c:v>Lombardia</c:v>
                </c:pt>
                <c:pt idx="2">
                  <c:v>Campania</c:v>
                </c:pt>
                <c:pt idx="3">
                  <c:v>Piemonte</c:v>
                </c:pt>
                <c:pt idx="4">
                  <c:v>Sicilia</c:v>
                </c:pt>
                <c:pt idx="5">
                  <c:v>Puglia</c:v>
                </c:pt>
                <c:pt idx="6">
                  <c:v>Veneto</c:v>
                </c:pt>
                <c:pt idx="7">
                  <c:v>Toscana</c:v>
                </c:pt>
                <c:pt idx="8">
                  <c:v>Em.Romagna</c:v>
                </c:pt>
                <c:pt idx="9">
                  <c:v>Calabria</c:v>
                </c:pt>
                <c:pt idx="10">
                  <c:v>Sardegna</c:v>
                </c:pt>
                <c:pt idx="11">
                  <c:v>Liguria</c:v>
                </c:pt>
                <c:pt idx="12">
                  <c:v>Marche</c:v>
                </c:pt>
                <c:pt idx="13">
                  <c:v>P.A. Trento</c:v>
                </c:pt>
                <c:pt idx="14">
                  <c:v>Umbria</c:v>
                </c:pt>
                <c:pt idx="15">
                  <c:v>P.A. Bolzano</c:v>
                </c:pt>
                <c:pt idx="16">
                  <c:v>Friuli V.G.</c:v>
                </c:pt>
                <c:pt idx="17">
                  <c:v>Valle d'Aosta</c:v>
                </c:pt>
                <c:pt idx="18">
                  <c:v>Molise</c:v>
                </c:pt>
              </c:strCache>
            </c:strRef>
          </c:cat>
          <c:val>
            <c:numRef>
              <c:f>Stato_patrimoniale_2018!$E$85:$E$103</c:f>
              <c:numCache>
                <c:formatCode>General</c:formatCode>
                <c:ptCount val="19"/>
                <c:pt idx="0">
                  <c:v>1658946791.1500001</c:v>
                </c:pt>
                <c:pt idx="1">
                  <c:v>3348648928</c:v>
                </c:pt>
                <c:pt idx="2">
                  <c:v>3304338091.0500002</c:v>
                </c:pt>
                <c:pt idx="3">
                  <c:v>167418184.58000001</c:v>
                </c:pt>
                <c:pt idx="4">
                  <c:v>1788725417</c:v>
                </c:pt>
                <c:pt idx="5">
                  <c:v>170003147.91</c:v>
                </c:pt>
                <c:pt idx="6">
                  <c:v>469937800.18000001</c:v>
                </c:pt>
                <c:pt idx="7">
                  <c:v>1849033983.77</c:v>
                </c:pt>
                <c:pt idx="8">
                  <c:v>121478593.40000001</c:v>
                </c:pt>
                <c:pt idx="9">
                  <c:v>287825549.35000002</c:v>
                </c:pt>
                <c:pt idx="10">
                  <c:v>869370717</c:v>
                </c:pt>
                <c:pt idx="11">
                  <c:v>280650656.19</c:v>
                </c:pt>
                <c:pt idx="12">
                  <c:v>327482712.81</c:v>
                </c:pt>
                <c:pt idx="13">
                  <c:v>51654704.619999997</c:v>
                </c:pt>
                <c:pt idx="14">
                  <c:v>32913352.550000001</c:v>
                </c:pt>
                <c:pt idx="15">
                  <c:v>250086790.91000003</c:v>
                </c:pt>
                <c:pt idx="16">
                  <c:v>64369793.32</c:v>
                </c:pt>
                <c:pt idx="17">
                  <c:v>42500044.079999998</c:v>
                </c:pt>
                <c:pt idx="18">
                  <c:v>100562271.62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68164240"/>
        <c:axId val="-1168158800"/>
      </c:barChart>
      <c:catAx>
        <c:axId val="-116816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-1168158800"/>
        <c:crosses val="autoZero"/>
        <c:auto val="1"/>
        <c:lblAlgn val="ctr"/>
        <c:lblOffset val="100"/>
        <c:noMultiLvlLbl val="0"/>
      </c:catAx>
      <c:valAx>
        <c:axId val="-116815880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-116816424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5607746855471023"/>
          <c:y val="0.10749159803300451"/>
          <c:w val="0.40523026160759412"/>
          <c:h val="0.28207922285576364"/>
        </c:manualLayout>
      </c:layout>
      <c:overlay val="0"/>
      <c:spPr>
        <a:noFill/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390526</xdr:colOff>
      <xdr:row>50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161924</xdr:colOff>
      <xdr:row>53</xdr:row>
      <xdr:rowOff>66674</xdr:rowOff>
    </xdr:from>
    <xdr:to>
      <xdr:col>12</xdr:col>
      <xdr:colOff>600074</xdr:colOff>
      <xdr:row>74</xdr:row>
      <xdr:rowOff>171449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85723</xdr:colOff>
      <xdr:row>34</xdr:row>
      <xdr:rowOff>9525</xdr:rowOff>
    </xdr:from>
    <xdr:to>
      <xdr:col>11</xdr:col>
      <xdr:colOff>361950</xdr:colOff>
      <xdr:row>54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31</xdr:row>
      <xdr:rowOff>66675</xdr:rowOff>
    </xdr:from>
    <xdr:to>
      <xdr:col>11</xdr:col>
      <xdr:colOff>390525</xdr:colOff>
      <xdr:row>51</xdr:row>
      <xdr:rowOff>161925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419099</xdr:colOff>
      <xdr:row>55</xdr:row>
      <xdr:rowOff>133348</xdr:rowOff>
    </xdr:from>
    <xdr:to>
      <xdr:col>11</xdr:col>
      <xdr:colOff>790574</xdr:colOff>
      <xdr:row>79</xdr:row>
      <xdr:rowOff>152399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76198</xdr:colOff>
      <xdr:row>84</xdr:row>
      <xdr:rowOff>38099</xdr:rowOff>
    </xdr:from>
    <xdr:to>
      <xdr:col>19</xdr:col>
      <xdr:colOff>104774</xdr:colOff>
      <xdr:row>105</xdr:row>
      <xdr:rowOff>180974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31</xdr:row>
      <xdr:rowOff>66675</xdr:rowOff>
    </xdr:from>
    <xdr:to>
      <xdr:col>11</xdr:col>
      <xdr:colOff>390525</xdr:colOff>
      <xdr:row>51</xdr:row>
      <xdr:rowOff>161925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419099</xdr:colOff>
      <xdr:row>55</xdr:row>
      <xdr:rowOff>133348</xdr:rowOff>
    </xdr:from>
    <xdr:to>
      <xdr:col>11</xdr:col>
      <xdr:colOff>790574</xdr:colOff>
      <xdr:row>79</xdr:row>
      <xdr:rowOff>152399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76198</xdr:colOff>
      <xdr:row>84</xdr:row>
      <xdr:rowOff>38099</xdr:rowOff>
    </xdr:from>
    <xdr:to>
      <xdr:col>19</xdr:col>
      <xdr:colOff>104774</xdr:colOff>
      <xdr:row>105</xdr:row>
      <xdr:rowOff>180974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123825</xdr:rowOff>
    </xdr:from>
    <xdr:to>
      <xdr:col>7</xdr:col>
      <xdr:colOff>438152</xdr:colOff>
      <xdr:row>52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" sqref="E1:F1"/>
    </sheetView>
  </sheetViews>
  <sheetFormatPr defaultRowHeight="14.4" x14ac:dyDescent="0.3"/>
  <cols>
    <col min="1" max="1" width="36.44140625" bestFit="1" customWidth="1"/>
    <col min="2" max="2" width="13.5546875" bestFit="1" customWidth="1"/>
    <col min="3" max="3" width="11.109375" bestFit="1" customWidth="1"/>
    <col min="4" max="4" width="13.88671875" bestFit="1" customWidth="1"/>
    <col min="5" max="6" width="12.44140625" bestFit="1" customWidth="1"/>
    <col min="7" max="7" width="13.5546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3.5546875" bestFit="1" customWidth="1"/>
    <col min="15" max="15" width="11.109375" bestFit="1" customWidth="1"/>
    <col min="16" max="16" width="11.88671875" bestFit="1" customWidth="1"/>
    <col min="17" max="17" width="13.5546875" bestFit="1" customWidth="1"/>
    <col min="18" max="20" width="12.6640625" bestFit="1" customWidth="1"/>
    <col min="21" max="22" width="13.5546875" bestFit="1" customWidth="1"/>
    <col min="23" max="23" width="14.5546875" bestFit="1" customWidth="1"/>
  </cols>
  <sheetData>
    <row r="1" spans="1:23" x14ac:dyDescent="0.3">
      <c r="A1" s="13"/>
      <c r="B1" s="3" t="s">
        <v>93</v>
      </c>
      <c r="C1" s="3" t="s">
        <v>94</v>
      </c>
      <c r="D1" s="3" t="s">
        <v>95</v>
      </c>
      <c r="E1" s="38" t="s">
        <v>119</v>
      </c>
      <c r="F1" s="38" t="s">
        <v>120</v>
      </c>
      <c r="G1" s="3" t="s">
        <v>96</v>
      </c>
      <c r="H1" s="3" t="s">
        <v>97</v>
      </c>
      <c r="I1" s="3" t="s">
        <v>98</v>
      </c>
      <c r="J1" s="3" t="s">
        <v>99</v>
      </c>
      <c r="K1" s="3" t="s">
        <v>100</v>
      </c>
      <c r="L1" s="3" t="s">
        <v>101</v>
      </c>
      <c r="M1" s="3" t="s">
        <v>102</v>
      </c>
      <c r="N1" s="3" t="s">
        <v>103</v>
      </c>
      <c r="O1" s="3" t="s">
        <v>109</v>
      </c>
      <c r="P1" s="3" t="s">
        <v>110</v>
      </c>
      <c r="Q1" s="3" t="s">
        <v>104</v>
      </c>
      <c r="R1" s="3" t="s">
        <v>105</v>
      </c>
      <c r="S1" s="3" t="s">
        <v>111</v>
      </c>
      <c r="T1" s="3" t="s">
        <v>106</v>
      </c>
      <c r="U1" s="3" t="s">
        <v>107</v>
      </c>
      <c r="V1" s="3" t="s">
        <v>108</v>
      </c>
      <c r="W1" s="3" t="s">
        <v>83</v>
      </c>
    </row>
    <row r="2" spans="1:23" x14ac:dyDescent="0.3">
      <c r="A2" t="s">
        <v>5</v>
      </c>
      <c r="B2" s="1">
        <v>502523805.56999999</v>
      </c>
      <c r="C2" s="1">
        <v>0</v>
      </c>
      <c r="D2" s="1">
        <v>3699036928.7600002</v>
      </c>
      <c r="E2" s="1">
        <v>913070743.19000006</v>
      </c>
      <c r="F2" s="1">
        <v>775643065.41999996</v>
      </c>
      <c r="G2" s="1">
        <v>1103193053.97</v>
      </c>
      <c r="H2" s="1">
        <v>2516568418.3099999</v>
      </c>
      <c r="I2" s="1">
        <v>110186344.02</v>
      </c>
      <c r="J2" s="1">
        <v>427559622.51999998</v>
      </c>
      <c r="K2" s="1">
        <v>212523233.96000001</v>
      </c>
      <c r="L2" s="1">
        <v>211849396.31999999</v>
      </c>
      <c r="M2" s="1">
        <v>395570512.17000002</v>
      </c>
      <c r="N2" s="1">
        <v>567701417.00262439</v>
      </c>
      <c r="O2" s="1">
        <v>0</v>
      </c>
      <c r="P2" s="1">
        <v>250933842.5</v>
      </c>
      <c r="Q2" s="1">
        <v>709903023.55999994</v>
      </c>
      <c r="R2" s="1">
        <v>1736769600.9200001</v>
      </c>
      <c r="S2" s="1">
        <v>0</v>
      </c>
      <c r="T2" s="1">
        <v>369672384.98000002</v>
      </c>
      <c r="U2" s="24">
        <f>724856609.15+1840305.48-735003548.82</f>
        <v>-8306634.1900000572</v>
      </c>
      <c r="V2" s="1">
        <v>59353302.109999999</v>
      </c>
      <c r="W2" s="1">
        <f t="shared" ref="W2:W23" si="0">SUM(B2:V2)</f>
        <v>14553752061.092625</v>
      </c>
    </row>
    <row r="3" spans="1:23" x14ac:dyDescent="0.3">
      <c r="A3" t="s">
        <v>6</v>
      </c>
      <c r="B3" s="1">
        <v>4749533025.8800001</v>
      </c>
      <c r="C3" s="1">
        <v>0</v>
      </c>
      <c r="D3" s="1">
        <v>17719351299.869999</v>
      </c>
      <c r="E3" s="1">
        <v>1928427564.24</v>
      </c>
      <c r="F3" s="1">
        <v>2448550921.4299998</v>
      </c>
      <c r="G3" s="1">
        <v>6607396294.4899998</v>
      </c>
      <c r="H3" s="1">
        <v>842408770.84000003</v>
      </c>
      <c r="I3" s="1">
        <v>1981295582.77</v>
      </c>
      <c r="J3" s="1">
        <v>4913933982.7600002</v>
      </c>
      <c r="K3" s="1">
        <v>6276412491.5</v>
      </c>
      <c r="L3" s="1">
        <v>1213662269.5</v>
      </c>
      <c r="M3" s="1">
        <v>2136780492.9100001</v>
      </c>
      <c r="N3" s="1">
        <v>3711099649.250001</v>
      </c>
      <c r="O3" s="1">
        <v>0</v>
      </c>
      <c r="P3" s="1">
        <v>664321530.95000005</v>
      </c>
      <c r="Q3" s="1">
        <v>6930029945.2200003</v>
      </c>
      <c r="R3" s="1">
        <v>6452817557.4099998</v>
      </c>
      <c r="S3" s="1">
        <v>0</v>
      </c>
      <c r="T3" s="1">
        <v>3789766731.98</v>
      </c>
      <c r="U3" s="1">
        <v>4195895664.2199998</v>
      </c>
      <c r="V3" s="1">
        <v>1836868992.22</v>
      </c>
      <c r="W3" s="1">
        <f t="shared" si="0"/>
        <v>78398552767.440002</v>
      </c>
    </row>
    <row r="4" spans="1:23" x14ac:dyDescent="0.3">
      <c r="A4" t="s">
        <v>7</v>
      </c>
      <c r="B4" s="1">
        <v>6343531556.7299995</v>
      </c>
      <c r="C4" s="1">
        <v>0</v>
      </c>
      <c r="D4" s="1">
        <v>20528683113.349998</v>
      </c>
      <c r="E4" s="1">
        <v>1297888737.6099999</v>
      </c>
      <c r="F4" s="1">
        <v>1886773244.3399999</v>
      </c>
      <c r="G4" s="1">
        <v>7364658412.0200005</v>
      </c>
      <c r="H4" s="1">
        <v>429505504.94999999</v>
      </c>
      <c r="I4" s="1">
        <v>1899632077.5699999</v>
      </c>
      <c r="J4" s="1">
        <v>4899086823.6899996</v>
      </c>
      <c r="K4" s="1">
        <v>6403265590.1400003</v>
      </c>
      <c r="L4" s="1">
        <v>1129294787.9100001</v>
      </c>
      <c r="M4" s="1">
        <v>1974832681.3800001</v>
      </c>
      <c r="N4" s="1">
        <v>4599967184.5299988</v>
      </c>
      <c r="O4" s="1">
        <v>0</v>
      </c>
      <c r="P4" s="1">
        <v>589958339.24000001</v>
      </c>
      <c r="Q4" s="1">
        <v>6816801168.8299999</v>
      </c>
      <c r="R4" s="1">
        <v>5643188113.1300001</v>
      </c>
      <c r="S4" s="1">
        <v>0</v>
      </c>
      <c r="T4" s="1">
        <v>2719725200.6100001</v>
      </c>
      <c r="U4" s="1">
        <v>2988738998.77</v>
      </c>
      <c r="V4" s="1">
        <v>1400963879.52</v>
      </c>
      <c r="W4" s="1">
        <f t="shared" si="0"/>
        <v>78916495414.320007</v>
      </c>
    </row>
    <row r="5" spans="1:23" x14ac:dyDescent="0.3">
      <c r="A5" t="s">
        <v>8</v>
      </c>
      <c r="B5" s="1">
        <v>147339721.11000001</v>
      </c>
      <c r="C5" s="1">
        <v>0</v>
      </c>
      <c r="D5" s="1">
        <v>186197605.34999999</v>
      </c>
      <c r="E5" s="1">
        <v>241267647.38</v>
      </c>
      <c r="F5" s="1">
        <v>49982883.93</v>
      </c>
      <c r="G5" s="1">
        <v>110338506.11</v>
      </c>
      <c r="H5" s="1">
        <v>234464926.97</v>
      </c>
      <c r="I5" s="1">
        <v>17905796.620000001</v>
      </c>
      <c r="J5" s="1">
        <v>82237507.650000006</v>
      </c>
      <c r="K5" s="1">
        <v>76749745.200000003</v>
      </c>
      <c r="L5" s="1">
        <v>52535539.380000003</v>
      </c>
      <c r="M5" s="1">
        <v>28530814.920000002</v>
      </c>
      <c r="N5" s="1">
        <v>228674345.72999999</v>
      </c>
      <c r="O5" s="1">
        <v>0</v>
      </c>
      <c r="P5" s="1">
        <v>5858293.1500000004</v>
      </c>
      <c r="Q5" s="1">
        <v>6240330.3899999997</v>
      </c>
      <c r="R5" s="1">
        <v>130990184.72</v>
      </c>
      <c r="S5" s="1">
        <v>0</v>
      </c>
      <c r="T5" s="1">
        <v>117592021.81</v>
      </c>
      <c r="U5" s="1">
        <v>512248448.08999997</v>
      </c>
      <c r="V5" s="1">
        <v>35087191.509999998</v>
      </c>
      <c r="W5" s="1">
        <f t="shared" si="0"/>
        <v>2264241510.0200005</v>
      </c>
    </row>
    <row r="6" spans="1:23" x14ac:dyDescent="0.3">
      <c r="A6" t="s">
        <v>9</v>
      </c>
      <c r="B6" s="1">
        <v>246055632.31999999</v>
      </c>
      <c r="C6" s="1">
        <v>0</v>
      </c>
      <c r="D6" s="1">
        <f>1242257027.16+121959.03</f>
        <v>1242378986.1900001</v>
      </c>
      <c r="E6" s="1">
        <v>1026598078.5</v>
      </c>
      <c r="F6" s="1">
        <v>1461887779.1500001</v>
      </c>
      <c r="G6" s="1">
        <v>251440744.28</v>
      </c>
      <c r="H6" s="1">
        <v>1567291058.76</v>
      </c>
      <c r="I6" s="1">
        <v>78453506.209999993</v>
      </c>
      <c r="J6" s="1">
        <v>435223579.85000002</v>
      </c>
      <c r="K6" s="1">
        <v>176004185.87</v>
      </c>
      <c r="L6" s="1">
        <v>103475847.3</v>
      </c>
      <c r="M6" s="1">
        <v>50976823.18</v>
      </c>
      <c r="N6" s="1">
        <v>466520018.30000001</v>
      </c>
      <c r="O6" s="1">
        <v>0</v>
      </c>
      <c r="P6" s="1">
        <v>113578953.40000001</v>
      </c>
      <c r="Q6" s="1">
        <v>136277612.94999999</v>
      </c>
      <c r="R6" s="1">
        <v>361263087.06</v>
      </c>
      <c r="S6" s="1">
        <v>0</v>
      </c>
      <c r="T6" s="1">
        <v>375055862.50999999</v>
      </c>
      <c r="U6" s="1">
        <f>763034559.66+23476344.15</f>
        <v>786510903.80999994</v>
      </c>
      <c r="V6" s="1">
        <v>643970395.23000002</v>
      </c>
      <c r="W6" s="1">
        <f t="shared" si="0"/>
        <v>9522963054.8700008</v>
      </c>
    </row>
    <row r="7" spans="1:23" x14ac:dyDescent="0.3">
      <c r="A7" s="3" t="s">
        <v>0</v>
      </c>
      <c r="B7" s="2">
        <f t="shared" ref="B7" si="1">B2+B3-B4-B5-B6</f>
        <v>-1484870078.7099998</v>
      </c>
      <c r="C7" s="2">
        <f t="shared" ref="C7:S7" si="2">SUM(C2:C6)</f>
        <v>0</v>
      </c>
      <c r="D7" s="2">
        <f t="shared" ref="D7:G7" si="3">D2+D3-D4-D5-D6</f>
        <v>-538871476.2600013</v>
      </c>
      <c r="E7" s="2">
        <f t="shared" si="3"/>
        <v>275743843.94000053</v>
      </c>
      <c r="F7" s="2">
        <f t="shared" si="3"/>
        <v>-174449920.57000017</v>
      </c>
      <c r="G7" s="2">
        <f t="shared" si="3"/>
        <v>-15848313.950000435</v>
      </c>
      <c r="H7" s="2">
        <f t="shared" ref="H7:I7" si="4">H2+H3-H4-H5-H6</f>
        <v>1127715698.4700005</v>
      </c>
      <c r="I7" s="2">
        <f t="shared" si="4"/>
        <v>95490546.39000003</v>
      </c>
      <c r="J7" s="2">
        <f t="shared" ref="J7:L7" si="5">J2+J3-J4-J5-J6</f>
        <v>-75054305.909998894</v>
      </c>
      <c r="K7" s="2">
        <f t="shared" si="5"/>
        <v>-167083795.7500003</v>
      </c>
      <c r="L7" s="2">
        <f t="shared" si="5"/>
        <v>140205491.22999984</v>
      </c>
      <c r="M7" s="2">
        <f t="shared" ref="M7" si="6">M2+M3-M4-M5-M6</f>
        <v>478010685.59999979</v>
      </c>
      <c r="N7" s="2">
        <f t="shared" ref="N7" si="7">N2+N3-N4-N5-N6</f>
        <v>-1016360482.3073733</v>
      </c>
      <c r="O7" s="2">
        <f t="shared" si="2"/>
        <v>0</v>
      </c>
      <c r="P7" s="2">
        <f t="shared" ref="P7" si="8">P2+P3-P4-P5-P6</f>
        <v>205859787.66000006</v>
      </c>
      <c r="Q7" s="2">
        <f t="shared" ref="Q7:R7" si="9">Q2+Q3-Q4-Q5-Q6</f>
        <v>680613856.61000085</v>
      </c>
      <c r="R7" s="2">
        <f t="shared" si="9"/>
        <v>2054145773.4200001</v>
      </c>
      <c r="S7" s="2">
        <f t="shared" si="2"/>
        <v>0</v>
      </c>
      <c r="T7" s="2">
        <f t="shared" ref="T7:V7" si="10">T2+T3-T4-T5-T6</f>
        <v>947066032.02999997</v>
      </c>
      <c r="U7" s="2">
        <f t="shared" si="10"/>
        <v>-99909320.640000105</v>
      </c>
      <c r="V7" s="2">
        <f t="shared" si="10"/>
        <v>-183799171.93000007</v>
      </c>
      <c r="W7" s="2">
        <f t="shared" si="0"/>
        <v>2248604849.3226261</v>
      </c>
    </row>
    <row r="8" spans="1:23" x14ac:dyDescent="0.3">
      <c r="A8" t="s">
        <v>10</v>
      </c>
      <c r="B8" s="1">
        <v>537126442.5</v>
      </c>
      <c r="C8" s="1">
        <v>0</v>
      </c>
      <c r="D8" s="1">
        <v>63738242.649999999</v>
      </c>
      <c r="E8" s="1">
        <v>55868330.210000001</v>
      </c>
      <c r="F8" s="1">
        <v>35169700.119999997</v>
      </c>
      <c r="G8" s="1">
        <v>255924578.87</v>
      </c>
      <c r="H8" s="1">
        <v>27500000</v>
      </c>
      <c r="I8" s="1">
        <v>7045035.5800000001</v>
      </c>
      <c r="J8" s="1">
        <v>111147202.3</v>
      </c>
      <c r="K8" s="1">
        <v>297131521.05000001</v>
      </c>
      <c r="L8" s="1">
        <v>26615302.579999998</v>
      </c>
      <c r="M8" s="1">
        <v>29848570.77</v>
      </c>
      <c r="N8" s="1">
        <v>68303881.920000002</v>
      </c>
      <c r="O8" s="1">
        <v>0</v>
      </c>
      <c r="P8" s="1">
        <v>9660400.3200000003</v>
      </c>
      <c r="Q8" s="1">
        <v>302159527.88</v>
      </c>
      <c r="R8" s="1">
        <v>352041531.49000001</v>
      </c>
      <c r="S8" s="1">
        <v>0</v>
      </c>
      <c r="T8" s="1">
        <v>208474469.43000001</v>
      </c>
      <c r="U8" s="1">
        <v>67901259.459999993</v>
      </c>
      <c r="V8" s="1">
        <v>52796560.799999997</v>
      </c>
      <c r="W8" s="1">
        <f t="shared" si="0"/>
        <v>2508452557.9299998</v>
      </c>
    </row>
    <row r="9" spans="1:23" x14ac:dyDescent="0.3">
      <c r="A9" t="s">
        <v>112</v>
      </c>
      <c r="B9" s="1">
        <v>112233741.08</v>
      </c>
      <c r="C9" s="1">
        <v>0</v>
      </c>
      <c r="D9" s="1">
        <v>30647391.75</v>
      </c>
      <c r="E9" s="1">
        <v>21931722.329999998</v>
      </c>
      <c r="F9" s="1">
        <v>2016207.35</v>
      </c>
      <c r="G9" s="1">
        <v>52014056.200000003</v>
      </c>
      <c r="H9" s="1">
        <v>0</v>
      </c>
      <c r="I9" s="1">
        <v>78052908.25</v>
      </c>
      <c r="J9" s="1">
        <v>150006271.13</v>
      </c>
      <c r="K9" s="1">
        <v>132036504.87</v>
      </c>
      <c r="L9" s="1">
        <v>2532630.31</v>
      </c>
      <c r="M9" s="1">
        <v>163753577.94999999</v>
      </c>
      <c r="N9" s="1">
        <v>605000000</v>
      </c>
      <c r="O9" s="1">
        <v>0</v>
      </c>
      <c r="P9" s="1">
        <v>60890429.479999997</v>
      </c>
      <c r="Q9" s="1">
        <v>736259849.71000004</v>
      </c>
      <c r="R9" s="1">
        <v>37717333.100000001</v>
      </c>
      <c r="S9" s="1">
        <v>0</v>
      </c>
      <c r="T9" s="1">
        <v>190878401.06999999</v>
      </c>
      <c r="U9" s="1">
        <v>95280000</v>
      </c>
      <c r="V9" s="1">
        <v>480946000</v>
      </c>
      <c r="W9" s="1">
        <f t="shared" si="0"/>
        <v>2952197024.5800004</v>
      </c>
    </row>
    <row r="10" spans="1:23" x14ac:dyDescent="0.3">
      <c r="A10" t="s">
        <v>11</v>
      </c>
      <c r="B10" s="1">
        <v>4650044721.2700005</v>
      </c>
      <c r="C10" s="1">
        <v>0</v>
      </c>
      <c r="D10" s="1">
        <v>0</v>
      </c>
      <c r="E10" s="1">
        <v>0</v>
      </c>
      <c r="F10" s="1">
        <v>0</v>
      </c>
      <c r="G10" s="1">
        <v>1532844891.8399999</v>
      </c>
      <c r="H10" s="1">
        <v>0</v>
      </c>
      <c r="I10" s="1">
        <v>137373368.84999999</v>
      </c>
      <c r="J10" s="1">
        <v>916963541.29999995</v>
      </c>
      <c r="K10" s="1">
        <v>643642797.20000005</v>
      </c>
      <c r="L10" s="1">
        <v>28403022.600000001</v>
      </c>
      <c r="M10" s="1">
        <v>0</v>
      </c>
      <c r="N10" s="1">
        <v>7547429437.1000004</v>
      </c>
      <c r="O10" s="1">
        <v>0</v>
      </c>
      <c r="P10" s="1">
        <f>69084525.37+254346000</f>
        <v>323430525.37</v>
      </c>
      <c r="Q10" s="1">
        <v>2558633529.6799998</v>
      </c>
      <c r="R10" s="1">
        <v>490867978.81</v>
      </c>
      <c r="S10" s="1">
        <v>0</v>
      </c>
      <c r="T10" s="1">
        <v>154088940.41999999</v>
      </c>
      <c r="U10" s="1">
        <v>0</v>
      </c>
      <c r="V10" s="1">
        <v>215658000</v>
      </c>
      <c r="W10" s="1">
        <f t="shared" si="0"/>
        <v>19199380754.440002</v>
      </c>
    </row>
    <row r="11" spans="1:23" x14ac:dyDescent="0.3">
      <c r="A11" t="s">
        <v>12</v>
      </c>
      <c r="B11" s="1">
        <v>13000000</v>
      </c>
      <c r="C11" s="1">
        <v>0</v>
      </c>
      <c r="D11" s="1">
        <v>1000565</v>
      </c>
      <c r="E11" s="1">
        <v>454372.08</v>
      </c>
      <c r="F11" s="1">
        <v>0</v>
      </c>
      <c r="G11" s="1">
        <v>0</v>
      </c>
      <c r="H11" s="1">
        <v>23428246.460000001</v>
      </c>
      <c r="I11" s="1">
        <v>35000</v>
      </c>
      <c r="J11" s="1">
        <v>1370812</v>
      </c>
      <c r="K11" s="1">
        <v>2448000</v>
      </c>
      <c r="L11" s="1">
        <v>12000000</v>
      </c>
      <c r="M11" s="1">
        <v>10596355.060000001</v>
      </c>
      <c r="N11" s="1">
        <v>102014</v>
      </c>
      <c r="O11" s="1">
        <v>0</v>
      </c>
      <c r="P11" s="1">
        <v>2030127.33</v>
      </c>
      <c r="Q11" s="1">
        <v>10423335.960000001</v>
      </c>
      <c r="R11" s="1">
        <v>72900000</v>
      </c>
      <c r="S11" s="1">
        <v>0</v>
      </c>
      <c r="T11" s="1">
        <v>3460740.8</v>
      </c>
      <c r="U11" s="1">
        <v>4289629.67</v>
      </c>
      <c r="V11" s="1">
        <v>1607251</v>
      </c>
      <c r="W11" s="1">
        <f t="shared" si="0"/>
        <v>159146449.35999998</v>
      </c>
    </row>
    <row r="12" spans="1:23" x14ac:dyDescent="0.3">
      <c r="A12" t="s">
        <v>13</v>
      </c>
      <c r="B12" s="1">
        <v>137960130.25</v>
      </c>
      <c r="C12" s="1">
        <v>0</v>
      </c>
      <c r="D12" s="1">
        <v>30263997</v>
      </c>
      <c r="E12" s="1">
        <v>264474.59999999998</v>
      </c>
      <c r="F12" s="1">
        <v>9600000</v>
      </c>
      <c r="G12" s="1">
        <v>9414757.3599999994</v>
      </c>
      <c r="H12" s="1">
        <v>17979000</v>
      </c>
      <c r="I12" s="1">
        <v>5550000</v>
      </c>
      <c r="J12" s="1">
        <v>1548135.3</v>
      </c>
      <c r="K12" s="1">
        <v>205000</v>
      </c>
      <c r="L12" s="1">
        <v>14376451.77</v>
      </c>
      <c r="M12" s="1">
        <v>10000000</v>
      </c>
      <c r="N12" s="1">
        <v>0</v>
      </c>
      <c r="O12" s="1">
        <v>0</v>
      </c>
      <c r="P12" s="1">
        <v>0</v>
      </c>
      <c r="Q12" s="1">
        <v>548167378.88</v>
      </c>
      <c r="R12" s="1">
        <v>2000000</v>
      </c>
      <c r="S12" s="1">
        <v>0</v>
      </c>
      <c r="T12" s="1">
        <v>25975680.93</v>
      </c>
      <c r="U12" s="1">
        <v>103552170.69</v>
      </c>
      <c r="V12" s="1">
        <v>3899207.71</v>
      </c>
      <c r="W12" s="1">
        <f t="shared" si="0"/>
        <v>920756384.49000001</v>
      </c>
    </row>
    <row r="13" spans="1:23" x14ac:dyDescent="0.3">
      <c r="A13" t="s">
        <v>14</v>
      </c>
      <c r="B13" s="1">
        <v>250230670.53</v>
      </c>
      <c r="C13" s="1">
        <v>0</v>
      </c>
      <c r="D13" s="1">
        <v>278373396.24000001</v>
      </c>
      <c r="E13" s="1">
        <v>101756454.52</v>
      </c>
      <c r="F13" s="1">
        <v>0</v>
      </c>
      <c r="G13" s="1">
        <v>113325888.98</v>
      </c>
      <c r="H13" s="1">
        <v>254806787.44</v>
      </c>
      <c r="I13" s="1">
        <f>19181978.05+12000000+1130068.39+3509506.73</f>
        <v>35821553.170000002</v>
      </c>
      <c r="J13" s="1">
        <v>20235821.950000048</v>
      </c>
      <c r="K13" s="1">
        <v>49077805.880000003</v>
      </c>
      <c r="L13" s="1">
        <v>16868437.670000017</v>
      </c>
      <c r="M13" s="1">
        <v>67407720.640000015</v>
      </c>
      <c r="N13" s="1">
        <v>25000000</v>
      </c>
      <c r="O13" s="1">
        <v>0</v>
      </c>
      <c r="P13" s="1">
        <v>2039328.85</v>
      </c>
      <c r="Q13" s="1">
        <v>424626055.30999994</v>
      </c>
      <c r="R13" s="1">
        <v>10595000</v>
      </c>
      <c r="S13" s="1">
        <v>0</v>
      </c>
      <c r="T13" s="1">
        <v>0</v>
      </c>
      <c r="U13" s="1">
        <v>0</v>
      </c>
      <c r="V13" s="1">
        <f>36543224.1+32512.35</f>
        <v>36575736.450000003</v>
      </c>
      <c r="W13" s="1">
        <f t="shared" si="0"/>
        <v>1686740657.6300001</v>
      </c>
    </row>
    <row r="14" spans="1:23" x14ac:dyDescent="0.3">
      <c r="A14" s="3" t="s">
        <v>1</v>
      </c>
      <c r="B14" s="2">
        <f t="shared" ref="B14" si="11">SUM(B8:B13)</f>
        <v>5700595705.6300001</v>
      </c>
      <c r="C14" s="2">
        <f t="shared" ref="C14:U14" si="12">SUM(C8:C13)</f>
        <v>0</v>
      </c>
      <c r="D14" s="2">
        <f t="shared" ref="D14" si="13">SUM(D8:D13)</f>
        <v>404023592.63999999</v>
      </c>
      <c r="E14" s="2">
        <f t="shared" ref="E14:F14" si="14">SUM(E8:E13)</f>
        <v>180275353.73999998</v>
      </c>
      <c r="F14" s="2">
        <f t="shared" si="14"/>
        <v>46785907.469999999</v>
      </c>
      <c r="G14" s="2">
        <f t="shared" ref="G14" si="15">SUM(G8:G13)</f>
        <v>1963524173.2499998</v>
      </c>
      <c r="H14" s="2">
        <f t="shared" si="12"/>
        <v>323714033.89999998</v>
      </c>
      <c r="I14" s="2">
        <f t="shared" ref="I14" si="16">SUM(I8:I13)</f>
        <v>263877865.85000002</v>
      </c>
      <c r="J14" s="2">
        <f t="shared" si="12"/>
        <v>1201271783.98</v>
      </c>
      <c r="K14" s="2">
        <f t="shared" ref="K14:L14" si="17">SUM(K8:K13)</f>
        <v>1124541629.0000002</v>
      </c>
      <c r="L14" s="2">
        <f t="shared" si="17"/>
        <v>100795844.93000001</v>
      </c>
      <c r="M14" s="2">
        <f t="shared" si="12"/>
        <v>281606224.42000002</v>
      </c>
      <c r="N14" s="2">
        <f t="shared" si="12"/>
        <v>8245835333.0200005</v>
      </c>
      <c r="O14" s="2">
        <f t="shared" si="12"/>
        <v>0</v>
      </c>
      <c r="P14" s="2">
        <f t="shared" ref="P14" si="18">SUM(P8:P13)</f>
        <v>398050811.35000002</v>
      </c>
      <c r="Q14" s="2">
        <f t="shared" ref="Q14" si="19">SUM(Q8:Q13)</f>
        <v>4580269677.4200001</v>
      </c>
      <c r="R14" s="2">
        <f t="shared" ref="R14" si="20">SUM(R8:R13)</f>
        <v>966121843.4000001</v>
      </c>
      <c r="S14" s="2">
        <f t="shared" si="12"/>
        <v>0</v>
      </c>
      <c r="T14" s="2">
        <f t="shared" si="12"/>
        <v>582878232.64999986</v>
      </c>
      <c r="U14" s="2">
        <f t="shared" si="12"/>
        <v>271023059.81999993</v>
      </c>
      <c r="V14" s="2">
        <f t="shared" ref="V14" si="21">SUM(V8:V13)</f>
        <v>791482755.96000004</v>
      </c>
      <c r="W14" s="2">
        <f t="shared" si="0"/>
        <v>27426673828.43</v>
      </c>
    </row>
    <row r="15" spans="1:23" x14ac:dyDescent="0.3">
      <c r="A15" t="s">
        <v>16</v>
      </c>
      <c r="B15" s="1">
        <v>0</v>
      </c>
      <c r="C15" s="1">
        <v>0</v>
      </c>
      <c r="D15" s="1">
        <v>287581912.27999997</v>
      </c>
      <c r="E15" s="1">
        <v>0</v>
      </c>
      <c r="F15" s="1">
        <v>0</v>
      </c>
      <c r="G15" s="1">
        <v>77376619.799999997</v>
      </c>
      <c r="H15" s="1">
        <v>3738234.91</v>
      </c>
      <c r="I15" s="1">
        <v>29874737.989999998</v>
      </c>
      <c r="J15" s="1">
        <v>167910669.05000001</v>
      </c>
      <c r="K15" s="1">
        <v>298640718.92000002</v>
      </c>
      <c r="L15" s="1">
        <v>2916547.97</v>
      </c>
      <c r="M15" s="1">
        <v>142185199.13999999</v>
      </c>
      <c r="N15" s="1">
        <v>0</v>
      </c>
      <c r="O15" s="1">
        <v>0</v>
      </c>
      <c r="P15" s="1">
        <v>0</v>
      </c>
      <c r="Q15" s="1">
        <v>77380462.689999998</v>
      </c>
      <c r="R15" s="1">
        <v>180092481.66999999</v>
      </c>
      <c r="S15" s="1">
        <v>0</v>
      </c>
      <c r="T15" s="1">
        <v>27544299</v>
      </c>
      <c r="U15" s="1">
        <v>192163435.71000001</v>
      </c>
      <c r="V15" s="1">
        <v>39147329.219999999</v>
      </c>
      <c r="W15" s="1">
        <f t="shared" si="0"/>
        <v>1526552648.3500001</v>
      </c>
    </row>
    <row r="16" spans="1:23" x14ac:dyDescent="0.3">
      <c r="A16" t="s">
        <v>15</v>
      </c>
      <c r="B16" s="1">
        <v>10332747.23</v>
      </c>
      <c r="C16" s="1">
        <v>0</v>
      </c>
      <c r="D16" s="1">
        <v>368228767.48000002</v>
      </c>
      <c r="E16" s="1">
        <v>0</v>
      </c>
      <c r="F16" s="1">
        <v>879592.46</v>
      </c>
      <c r="G16" s="1">
        <v>703577502.47000003</v>
      </c>
      <c r="H16" s="1">
        <v>495680417.24000001</v>
      </c>
      <c r="I16" s="1">
        <v>94519198.560000002</v>
      </c>
      <c r="J16" s="1">
        <v>532649071.52999997</v>
      </c>
      <c r="K16" s="1">
        <v>543676248.35000002</v>
      </c>
      <c r="L16" s="1">
        <v>255335824.11000001</v>
      </c>
      <c r="M16" s="1">
        <v>429229489.19</v>
      </c>
      <c r="N16" s="1">
        <v>472256243.22000003</v>
      </c>
      <c r="O16" s="1">
        <v>0</v>
      </c>
      <c r="P16" s="1">
        <v>334849690.74000001</v>
      </c>
      <c r="Q16" s="1">
        <v>1541071927.0799999</v>
      </c>
      <c r="R16" s="1">
        <v>1289042457.1199999</v>
      </c>
      <c r="S16" s="1">
        <v>0</v>
      </c>
      <c r="T16" s="1">
        <v>137559890.38</v>
      </c>
      <c r="U16" s="1">
        <v>2777871599.4499998</v>
      </c>
      <c r="V16" s="1">
        <v>231139238.91</v>
      </c>
      <c r="W16" s="1">
        <f t="shared" si="0"/>
        <v>10217899905.52</v>
      </c>
    </row>
    <row r="17" spans="1:23" x14ac:dyDescent="0.3">
      <c r="A17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8010.73</v>
      </c>
      <c r="W17" s="1">
        <f t="shared" si="0"/>
        <v>8010.73</v>
      </c>
    </row>
    <row r="18" spans="1:23" x14ac:dyDescent="0.3">
      <c r="A18" t="s">
        <v>18</v>
      </c>
      <c r="B18" s="1">
        <v>0</v>
      </c>
      <c r="C18" s="1">
        <v>0</v>
      </c>
      <c r="D18" s="1">
        <v>31301823.969999999</v>
      </c>
      <c r="E18" s="1">
        <v>7668311.7400000002</v>
      </c>
      <c r="F18" s="1">
        <v>0</v>
      </c>
      <c r="G18" s="1">
        <v>107935713.53</v>
      </c>
      <c r="H18" s="1">
        <v>0</v>
      </c>
      <c r="I18" s="1">
        <v>3187699.9</v>
      </c>
      <c r="J18" s="1">
        <v>454993474.50999999</v>
      </c>
      <c r="K18" s="1">
        <v>0</v>
      </c>
      <c r="L18" s="1">
        <v>2275343.62</v>
      </c>
      <c r="M18" s="1">
        <v>361169.83</v>
      </c>
      <c r="N18" s="1">
        <v>0</v>
      </c>
      <c r="O18" s="1">
        <v>0</v>
      </c>
      <c r="P18" s="1">
        <v>0</v>
      </c>
      <c r="Q18" s="1">
        <v>136736422.56999999</v>
      </c>
      <c r="R18" s="1">
        <v>0</v>
      </c>
      <c r="S18" s="1">
        <v>0</v>
      </c>
      <c r="T18" s="1">
        <v>343482786.31</v>
      </c>
      <c r="U18" s="1">
        <v>2591690000</v>
      </c>
      <c r="V18" s="1">
        <v>8796652.9800000004</v>
      </c>
      <c r="W18" s="1">
        <f t="shared" si="0"/>
        <v>3688429398.96</v>
      </c>
    </row>
    <row r="19" spans="1:23" x14ac:dyDescent="0.3">
      <c r="A19" t="s">
        <v>19</v>
      </c>
      <c r="B19" s="1">
        <v>366772610.57999998</v>
      </c>
      <c r="C19" s="1">
        <v>0</v>
      </c>
      <c r="D19" s="1">
        <v>0</v>
      </c>
      <c r="E19" s="1">
        <v>0</v>
      </c>
      <c r="F19" s="1">
        <v>70051316.730000004</v>
      </c>
      <c r="G19" s="1">
        <v>0</v>
      </c>
      <c r="H19" s="1">
        <v>0</v>
      </c>
      <c r="I19" s="1">
        <v>0</v>
      </c>
      <c r="J19" s="1">
        <v>0</v>
      </c>
      <c r="K19" s="1">
        <v>890825496.97000003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f>20500542.78+3373162.64+106030947.2</f>
        <v>129904652.62</v>
      </c>
      <c r="V19" s="1">
        <v>2678622.21</v>
      </c>
      <c r="W19" s="1">
        <f t="shared" si="0"/>
        <v>1460232699.1100001</v>
      </c>
    </row>
    <row r="20" spans="1:23" x14ac:dyDescent="0.3">
      <c r="A20" s="3" t="s">
        <v>2</v>
      </c>
      <c r="B20" s="2">
        <f t="shared" ref="B20" si="22">SUM(B15:B19)</f>
        <v>377105357.81</v>
      </c>
      <c r="C20" s="2">
        <f t="shared" ref="C20:S20" si="23">SUM(C15:C19)</f>
        <v>0</v>
      </c>
      <c r="D20" s="2">
        <f t="shared" si="23"/>
        <v>687112503.73000002</v>
      </c>
      <c r="E20" s="2">
        <f t="shared" ref="E20:F20" si="24">SUM(E15:E19)</f>
        <v>7668311.7400000002</v>
      </c>
      <c r="F20" s="2">
        <f t="shared" si="24"/>
        <v>70930909.189999998</v>
      </c>
      <c r="G20" s="2">
        <f t="shared" ref="G20" si="25">SUM(G15:G19)</f>
        <v>888889835.79999995</v>
      </c>
      <c r="H20" s="2">
        <f t="shared" ref="H20" si="26">SUM(H15:H19)</f>
        <v>499418652.15000004</v>
      </c>
      <c r="I20" s="2">
        <f t="shared" ref="I20" si="27">SUM(I15:I19)</f>
        <v>127581636.45</v>
      </c>
      <c r="J20" s="2">
        <f t="shared" ref="J20" si="28">SUM(J15:J19)</f>
        <v>1155553215.0899999</v>
      </c>
      <c r="K20" s="2">
        <f t="shared" ref="K20:L20" si="29">SUM(K15:K19)</f>
        <v>1733142464.24</v>
      </c>
      <c r="L20" s="2">
        <f t="shared" si="29"/>
        <v>260527715.70000002</v>
      </c>
      <c r="M20" s="2">
        <f t="shared" ref="M20" si="30">SUM(M15:M19)</f>
        <v>571775858.15999997</v>
      </c>
      <c r="N20" s="2">
        <f t="shared" ref="N20" si="31">SUM(N15:N19)</f>
        <v>472256243.22000003</v>
      </c>
      <c r="O20" s="2">
        <f t="shared" si="23"/>
        <v>0</v>
      </c>
      <c r="P20" s="2">
        <f t="shared" si="23"/>
        <v>334849690.74000001</v>
      </c>
      <c r="Q20" s="2">
        <f t="shared" ref="Q20:R20" si="32">SUM(Q15:Q19)</f>
        <v>1755188812.3399999</v>
      </c>
      <c r="R20" s="2">
        <f t="shared" si="32"/>
        <v>1469134938.79</v>
      </c>
      <c r="S20" s="2">
        <f t="shared" si="23"/>
        <v>0</v>
      </c>
      <c r="T20" s="2">
        <f t="shared" ref="T20" si="33">SUM(T15:T19)</f>
        <v>508586975.69</v>
      </c>
      <c r="U20" s="2">
        <f t="shared" ref="U20" si="34">SUM(U15:U19)</f>
        <v>5691629687.7799997</v>
      </c>
      <c r="V20" s="2">
        <f t="shared" ref="V20" si="35">SUM(V15:V19)</f>
        <v>281769854.05000001</v>
      </c>
      <c r="W20" s="2">
        <f t="shared" si="0"/>
        <v>16893122662.669998</v>
      </c>
    </row>
    <row r="21" spans="1:23" x14ac:dyDescent="0.3">
      <c r="A21" s="3" t="s">
        <v>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8071621.9199999999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36998397.850000001</v>
      </c>
      <c r="V21" s="2">
        <v>0</v>
      </c>
      <c r="W21" s="2">
        <f t="shared" si="0"/>
        <v>45070019.770000003</v>
      </c>
    </row>
    <row r="22" spans="1:23" x14ac:dyDescent="0.3">
      <c r="A22" s="19" t="s">
        <v>4</v>
      </c>
      <c r="B22" s="12">
        <f t="shared" ref="B22" si="36">B7-B14-B20-B21</f>
        <v>-7562571142.1500006</v>
      </c>
      <c r="C22" s="12">
        <f>C7-C14-C20-C21</f>
        <v>0</v>
      </c>
      <c r="D22" s="12">
        <f t="shared" ref="D22:G22" si="37">D7-D14-D20-D21</f>
        <v>-1630007572.6300013</v>
      </c>
      <c r="E22" s="12">
        <f t="shared" si="37"/>
        <v>87800178.46000056</v>
      </c>
      <c r="F22" s="12">
        <f t="shared" si="37"/>
        <v>-292166737.23000014</v>
      </c>
      <c r="G22" s="12">
        <f t="shared" si="37"/>
        <v>-2868262323</v>
      </c>
      <c r="H22" s="12">
        <f t="shared" ref="H22:I22" si="38">H7-H14-H20-H21</f>
        <v>304583012.42000049</v>
      </c>
      <c r="I22" s="12">
        <f t="shared" si="38"/>
        <v>-295968955.90999997</v>
      </c>
      <c r="J22" s="12">
        <f t="shared" ref="J22:L22" si="39">J7-J14-J20-J21</f>
        <v>-2439950926.8999987</v>
      </c>
      <c r="K22" s="12">
        <f t="shared" si="39"/>
        <v>-3024767888.9900007</v>
      </c>
      <c r="L22" s="12">
        <f t="shared" si="39"/>
        <v>-221118069.40000018</v>
      </c>
      <c r="M22" s="12">
        <f t="shared" ref="M22" si="40">M7-M14-M20-M21</f>
        <v>-375371396.9800002</v>
      </c>
      <c r="N22" s="12">
        <f t="shared" ref="N22" si="41">N7-N14-N20-N21</f>
        <v>-9734452058.5473728</v>
      </c>
      <c r="O22" s="12">
        <f>O7-O14-O20-O21</f>
        <v>0</v>
      </c>
      <c r="P22" s="12">
        <f t="shared" ref="P22" si="42">P7-P14-P20-P21</f>
        <v>-527040714.42999995</v>
      </c>
      <c r="Q22" s="12">
        <f t="shared" ref="Q22:R22" si="43">Q7-Q14-Q20-Q21</f>
        <v>-5654844633.1499996</v>
      </c>
      <c r="R22" s="12">
        <f t="shared" si="43"/>
        <v>-381111008.76999998</v>
      </c>
      <c r="S22" s="12">
        <f>S7-S14-S20-S21</f>
        <v>0</v>
      </c>
      <c r="T22" s="12">
        <f t="shared" ref="T22:V22" si="44">T7-T14-T20-T21</f>
        <v>-144399176.30999988</v>
      </c>
      <c r="U22" s="12">
        <f t="shared" si="44"/>
        <v>-6099560466.0900002</v>
      </c>
      <c r="V22" s="12">
        <f t="shared" si="44"/>
        <v>-1257051781.9400001</v>
      </c>
      <c r="W22" s="12">
        <f t="shared" si="0"/>
        <v>-42116261661.547379</v>
      </c>
    </row>
    <row r="23" spans="1:23" x14ac:dyDescent="0.3">
      <c r="A23" t="s">
        <v>84</v>
      </c>
      <c r="B23" s="1">
        <v>-257754490.84</v>
      </c>
      <c r="C23" s="1">
        <v>0</v>
      </c>
      <c r="D23" s="1">
        <v>-240459049.11000001</v>
      </c>
      <c r="E23" s="1">
        <v>-577577787.54999995</v>
      </c>
      <c r="F23" s="1">
        <v>-545036276.28999996</v>
      </c>
      <c r="G23" s="1">
        <v>-165531003.41999999</v>
      </c>
      <c r="H23" s="1">
        <v>-457061079.43000001</v>
      </c>
      <c r="I23" s="1">
        <v>-6366248.1900000004</v>
      </c>
      <c r="J23" s="1">
        <v>-16331823.18</v>
      </c>
      <c r="K23" s="1">
        <v>-36511804.840000004</v>
      </c>
      <c r="L23" s="1">
        <v>-2018210.45</v>
      </c>
      <c r="M23" s="1">
        <v>-35569194.880000003</v>
      </c>
      <c r="N23" s="1">
        <v>-37855174.859999999</v>
      </c>
      <c r="O23" s="1">
        <v>0</v>
      </c>
      <c r="P23" s="1">
        <v>-263259191.88</v>
      </c>
      <c r="Q23" s="1">
        <v>-47657383.990000002</v>
      </c>
      <c r="R23" s="1">
        <v>-65203273.119999997</v>
      </c>
      <c r="S23" s="1">
        <v>0</v>
      </c>
      <c r="T23" s="1">
        <v>-427905022.88999999</v>
      </c>
      <c r="U23" s="1">
        <v>-150431783.21000001</v>
      </c>
      <c r="V23" s="1">
        <v>-73143181.170000002</v>
      </c>
      <c r="W23" s="1">
        <f t="shared" si="0"/>
        <v>-3405671979.2999997</v>
      </c>
    </row>
    <row r="24" spans="1:23" x14ac:dyDescent="0.3">
      <c r="A24" t="s">
        <v>117</v>
      </c>
      <c r="B24" s="26">
        <f>B8/B3*100</f>
        <v>11.309036900537826</v>
      </c>
      <c r="C24" s="26" t="e">
        <f t="shared" ref="C24:W24" si="45">C8/C3*100</f>
        <v>#DIV/0!</v>
      </c>
      <c r="D24" s="26">
        <f t="shared" si="45"/>
        <v>0.35970979733590824</v>
      </c>
      <c r="E24" s="26">
        <f t="shared" ref="E24" si="46">E8/E3*100</f>
        <v>2.8970924936979889</v>
      </c>
      <c r="F24" s="26">
        <f t="shared" si="45"/>
        <v>1.4363475070986162</v>
      </c>
      <c r="G24" s="26">
        <f t="shared" si="45"/>
        <v>3.8733045130563624</v>
      </c>
      <c r="H24" s="26">
        <f t="shared" si="45"/>
        <v>3.264448442598554</v>
      </c>
      <c r="I24" s="26">
        <f t="shared" si="45"/>
        <v>0.35557721125842873</v>
      </c>
      <c r="J24" s="26">
        <f t="shared" si="45"/>
        <v>2.2618782159049715</v>
      </c>
      <c r="K24" s="26">
        <f t="shared" si="45"/>
        <v>4.7340980449006231</v>
      </c>
      <c r="L24" s="26">
        <f t="shared" si="45"/>
        <v>2.1929743758916449</v>
      </c>
      <c r="M24" s="26">
        <f t="shared" si="45"/>
        <v>1.3968945742924848</v>
      </c>
      <c r="N24" s="26">
        <f t="shared" si="45"/>
        <v>1.8405294488334194</v>
      </c>
      <c r="O24" s="26" t="e">
        <f t="shared" si="45"/>
        <v>#DIV/0!</v>
      </c>
      <c r="P24" s="26">
        <f t="shared" si="45"/>
        <v>1.4541754060244492</v>
      </c>
      <c r="Q24" s="26">
        <f t="shared" si="45"/>
        <v>4.3601475068432425</v>
      </c>
      <c r="R24" s="26">
        <f t="shared" si="45"/>
        <v>5.4556250561545507</v>
      </c>
      <c r="S24" s="26" t="e">
        <f t="shared" si="45"/>
        <v>#DIV/0!</v>
      </c>
      <c r="T24" s="26">
        <f t="shared" si="45"/>
        <v>5.5009842075710162</v>
      </c>
      <c r="U24" s="26">
        <f t="shared" si="45"/>
        <v>1.6182780720459731</v>
      </c>
      <c r="V24" s="26">
        <f t="shared" si="45"/>
        <v>2.8742692605525022</v>
      </c>
      <c r="W24" s="26">
        <f t="shared" si="45"/>
        <v>3.1996158977207481</v>
      </c>
    </row>
  </sheetData>
  <conditionalFormatting sqref="B22:W22">
    <cfRule type="cellIs" dxfId="402" priority="168" operator="greaterThan">
      <formula>0</formula>
    </cfRule>
  </conditionalFormatting>
  <conditionalFormatting sqref="B22:W22">
    <cfRule type="cellIs" dxfId="401" priority="166" operator="greaterThan">
      <formula>0</formula>
    </cfRule>
    <cfRule type="cellIs" dxfId="400" priority="167" operator="lessThan">
      <formula>0</formula>
    </cfRule>
  </conditionalFormatting>
  <conditionalFormatting sqref="Q22">
    <cfRule type="cellIs" dxfId="399" priority="60" operator="greaterThan">
      <formula>0</formula>
    </cfRule>
  </conditionalFormatting>
  <conditionalFormatting sqref="Q22">
    <cfRule type="cellIs" dxfId="398" priority="58" operator="greaterThan">
      <formula>0</formula>
    </cfRule>
    <cfRule type="cellIs" dxfId="397" priority="59" operator="lessThan">
      <formula>0</formula>
    </cfRule>
  </conditionalFormatting>
  <conditionalFormatting sqref="T22">
    <cfRule type="cellIs" dxfId="396" priority="57" operator="greaterThan">
      <formula>0</formula>
    </cfRule>
  </conditionalFormatting>
  <conditionalFormatting sqref="T22">
    <cfRule type="cellIs" dxfId="395" priority="55" operator="greaterThan">
      <formula>0</formula>
    </cfRule>
    <cfRule type="cellIs" dxfId="394" priority="56" operator="lessThan">
      <formula>0</formula>
    </cfRule>
  </conditionalFormatting>
  <conditionalFormatting sqref="J22">
    <cfRule type="cellIs" dxfId="393" priority="54" operator="greaterThan">
      <formula>0</formula>
    </cfRule>
  </conditionalFormatting>
  <conditionalFormatting sqref="J22">
    <cfRule type="cellIs" dxfId="392" priority="52" operator="greaterThan">
      <formula>0</formula>
    </cfRule>
    <cfRule type="cellIs" dxfId="391" priority="53" operator="lessThan">
      <formula>0</formula>
    </cfRule>
  </conditionalFormatting>
  <conditionalFormatting sqref="H22">
    <cfRule type="cellIs" dxfId="390" priority="51" operator="greaterThan">
      <formula>0</formula>
    </cfRule>
  </conditionalFormatting>
  <conditionalFormatting sqref="H22">
    <cfRule type="cellIs" dxfId="389" priority="49" operator="greaterThan">
      <formula>0</formula>
    </cfRule>
    <cfRule type="cellIs" dxfId="388" priority="50" operator="lessThan">
      <formula>0</formula>
    </cfRule>
  </conditionalFormatting>
  <conditionalFormatting sqref="N22">
    <cfRule type="cellIs" dxfId="387" priority="48" operator="greaterThan">
      <formula>0</formula>
    </cfRule>
  </conditionalFormatting>
  <conditionalFormatting sqref="N22">
    <cfRule type="cellIs" dxfId="386" priority="46" operator="greaterThan">
      <formula>0</formula>
    </cfRule>
    <cfRule type="cellIs" dxfId="385" priority="47" operator="lessThan">
      <formula>0</formula>
    </cfRule>
  </conditionalFormatting>
  <conditionalFormatting sqref="I22">
    <cfRule type="cellIs" dxfId="384" priority="45" operator="greaterThan">
      <formula>0</formula>
    </cfRule>
  </conditionalFormatting>
  <conditionalFormatting sqref="I22">
    <cfRule type="cellIs" dxfId="383" priority="43" operator="greaterThan">
      <formula>0</formula>
    </cfRule>
    <cfRule type="cellIs" dxfId="382" priority="44" operator="lessThan">
      <formula>0</formula>
    </cfRule>
  </conditionalFormatting>
  <conditionalFormatting sqref="D22:E22">
    <cfRule type="cellIs" dxfId="381" priority="42" operator="greaterThan">
      <formula>0</formula>
    </cfRule>
  </conditionalFormatting>
  <conditionalFormatting sqref="D22:E22">
    <cfRule type="cellIs" dxfId="380" priority="40" operator="greaterThan">
      <formula>0</formula>
    </cfRule>
    <cfRule type="cellIs" dxfId="379" priority="41" operator="lessThan">
      <formula>0</formula>
    </cfRule>
  </conditionalFormatting>
  <conditionalFormatting sqref="M22">
    <cfRule type="cellIs" dxfId="378" priority="39" operator="greaterThan">
      <formula>0</formula>
    </cfRule>
  </conditionalFormatting>
  <conditionalFormatting sqref="M22">
    <cfRule type="cellIs" dxfId="377" priority="37" operator="greaterThan">
      <formula>0</formula>
    </cfRule>
    <cfRule type="cellIs" dxfId="376" priority="38" operator="lessThan">
      <formula>0</formula>
    </cfRule>
  </conditionalFormatting>
  <conditionalFormatting sqref="P22">
    <cfRule type="cellIs" dxfId="375" priority="36" operator="greaterThan">
      <formula>0</formula>
    </cfRule>
  </conditionalFormatting>
  <conditionalFormatting sqref="P22">
    <cfRule type="cellIs" dxfId="374" priority="34" operator="greaterThan">
      <formula>0</formula>
    </cfRule>
    <cfRule type="cellIs" dxfId="373" priority="35" operator="lessThan">
      <formula>0</formula>
    </cfRule>
  </conditionalFormatting>
  <conditionalFormatting sqref="B22">
    <cfRule type="cellIs" dxfId="372" priority="33" operator="greaterThan">
      <formula>0</formula>
    </cfRule>
  </conditionalFormatting>
  <conditionalFormatting sqref="B22">
    <cfRule type="cellIs" dxfId="371" priority="31" operator="greaterThan">
      <formula>0</formula>
    </cfRule>
    <cfRule type="cellIs" dxfId="370" priority="32" operator="lessThan">
      <formula>0</formula>
    </cfRule>
  </conditionalFormatting>
  <conditionalFormatting sqref="R22">
    <cfRule type="cellIs" dxfId="369" priority="30" operator="greaterThan">
      <formula>0</formula>
    </cfRule>
  </conditionalFormatting>
  <conditionalFormatting sqref="R22">
    <cfRule type="cellIs" dxfId="368" priority="28" operator="greaterThan">
      <formula>0</formula>
    </cfRule>
    <cfRule type="cellIs" dxfId="367" priority="29" operator="lessThan">
      <formula>0</formula>
    </cfRule>
  </conditionalFormatting>
  <conditionalFormatting sqref="U22">
    <cfRule type="cellIs" dxfId="366" priority="27" operator="greaterThan">
      <formula>0</formula>
    </cfRule>
  </conditionalFormatting>
  <conditionalFormatting sqref="U22">
    <cfRule type="cellIs" dxfId="365" priority="25" operator="greaterThan">
      <formula>0</formula>
    </cfRule>
    <cfRule type="cellIs" dxfId="364" priority="26" operator="lessThan">
      <formula>0</formula>
    </cfRule>
  </conditionalFormatting>
  <conditionalFormatting sqref="K22">
    <cfRule type="cellIs" dxfId="363" priority="24" operator="greaterThan">
      <formula>0</formula>
    </cfRule>
  </conditionalFormatting>
  <conditionalFormatting sqref="K22">
    <cfRule type="cellIs" dxfId="362" priority="22" operator="greaterThan">
      <formula>0</formula>
    </cfRule>
    <cfRule type="cellIs" dxfId="361" priority="23" operator="lessThan">
      <formula>0</formula>
    </cfRule>
  </conditionalFormatting>
  <conditionalFormatting sqref="F22">
    <cfRule type="cellIs" dxfId="360" priority="21" operator="greaterThan">
      <formula>0</formula>
    </cfRule>
  </conditionalFormatting>
  <conditionalFormatting sqref="F22">
    <cfRule type="cellIs" dxfId="359" priority="19" operator="greaterThan">
      <formula>0</formula>
    </cfRule>
    <cfRule type="cellIs" dxfId="358" priority="20" operator="lessThan">
      <formula>0</formula>
    </cfRule>
  </conditionalFormatting>
  <conditionalFormatting sqref="L22">
    <cfRule type="cellIs" dxfId="357" priority="18" operator="greaterThan">
      <formula>0</formula>
    </cfRule>
  </conditionalFormatting>
  <conditionalFormatting sqref="L22">
    <cfRule type="cellIs" dxfId="356" priority="16" operator="greaterThan">
      <formula>0</formula>
    </cfRule>
    <cfRule type="cellIs" dxfId="355" priority="17" operator="lessThan">
      <formula>0</formula>
    </cfRule>
  </conditionalFormatting>
  <conditionalFormatting sqref="G22">
    <cfRule type="cellIs" dxfId="354" priority="15" operator="greaterThan">
      <formula>0</formula>
    </cfRule>
  </conditionalFormatting>
  <conditionalFormatting sqref="G22">
    <cfRule type="cellIs" dxfId="353" priority="13" operator="greaterThan">
      <formula>0</formula>
    </cfRule>
    <cfRule type="cellIs" dxfId="352" priority="14" operator="lessThan">
      <formula>0</formula>
    </cfRule>
  </conditionalFormatting>
  <conditionalFormatting sqref="V22">
    <cfRule type="cellIs" dxfId="351" priority="12" operator="greaterThan">
      <formula>0</formula>
    </cfRule>
  </conditionalFormatting>
  <conditionalFormatting sqref="V22">
    <cfRule type="cellIs" dxfId="350" priority="10" operator="greaterThan">
      <formula>0</formula>
    </cfRule>
    <cfRule type="cellIs" dxfId="349" priority="11" operator="lessThan">
      <formula>0</formula>
    </cfRule>
  </conditionalFormatting>
  <conditionalFormatting sqref="E22">
    <cfRule type="cellIs" dxfId="348" priority="9" operator="greaterThan">
      <formula>0</formula>
    </cfRule>
  </conditionalFormatting>
  <conditionalFormatting sqref="E22">
    <cfRule type="cellIs" dxfId="347" priority="7" operator="greaterThan">
      <formula>0</formula>
    </cfRule>
    <cfRule type="cellIs" dxfId="346" priority="8" operator="lessThan">
      <formula>0</formula>
    </cfRule>
  </conditionalFormatting>
  <conditionalFormatting sqref="E22">
    <cfRule type="cellIs" dxfId="345" priority="6" operator="greaterThan">
      <formula>0</formula>
    </cfRule>
  </conditionalFormatting>
  <conditionalFormatting sqref="E22">
    <cfRule type="cellIs" dxfId="344" priority="4" operator="greaterThan">
      <formula>0</formula>
    </cfRule>
    <cfRule type="cellIs" dxfId="343" priority="5" operator="lessThan">
      <formula>0</formula>
    </cfRule>
  </conditionalFormatting>
  <conditionalFormatting sqref="F22">
    <cfRule type="cellIs" dxfId="342" priority="3" operator="greaterThan">
      <formula>0</formula>
    </cfRule>
  </conditionalFormatting>
  <conditionalFormatting sqref="F22">
    <cfRule type="cellIs" dxfId="341" priority="1" operator="greaterThan">
      <formula>0</formula>
    </cfRule>
    <cfRule type="cellIs" dxfId="34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sqref="A1:F18"/>
    </sheetView>
  </sheetViews>
  <sheetFormatPr defaultRowHeight="14.4" x14ac:dyDescent="0.3"/>
  <cols>
    <col min="1" max="1" width="65.44140625" bestFit="1" customWidth="1"/>
    <col min="2" max="5" width="15.33203125" bestFit="1" customWidth="1"/>
    <col min="6" max="6" width="13.88671875" bestFit="1" customWidth="1"/>
  </cols>
  <sheetData>
    <row r="1" spans="1:6" ht="24" customHeight="1" x14ac:dyDescent="0.3">
      <c r="A1" s="32" t="s">
        <v>89</v>
      </c>
      <c r="B1" s="14">
        <v>2016</v>
      </c>
      <c r="C1" s="14">
        <v>2017</v>
      </c>
      <c r="D1" s="14">
        <v>2018</v>
      </c>
      <c r="E1" s="14">
        <v>2019</v>
      </c>
      <c r="F1" s="14" t="s">
        <v>124</v>
      </c>
    </row>
    <row r="2" spans="1:6" x14ac:dyDescent="0.3">
      <c r="A2" s="20" t="s">
        <v>80</v>
      </c>
      <c r="B2" s="15">
        <f>Conto_economico_2016!X10</f>
        <v>150550328047.21997</v>
      </c>
      <c r="C2" s="15">
        <f>Conto_economico_2017!X10</f>
        <v>171972931377.92001</v>
      </c>
      <c r="D2" s="15">
        <f>Conto_economico_2018!X10</f>
        <v>172971892045.03998</v>
      </c>
      <c r="E2" s="15">
        <f>Conto_economico_2019!X10</f>
        <v>173481553726.23999</v>
      </c>
      <c r="F2" s="15">
        <f t="shared" ref="F2:F18" si="0">E2-D2</f>
        <v>509661681.20001221</v>
      </c>
    </row>
    <row r="3" spans="1:6" x14ac:dyDescent="0.3">
      <c r="A3" s="20" t="s">
        <v>76</v>
      </c>
      <c r="B3" s="15">
        <f>Conto_economico_2016!X2</f>
        <v>115895500217.19</v>
      </c>
      <c r="C3" s="15">
        <f>Conto_economico_2017!X2</f>
        <v>135160195592.16</v>
      </c>
      <c r="D3" s="15">
        <f>Conto_economico_2018!X2</f>
        <v>135697815574.19003</v>
      </c>
      <c r="E3" s="15">
        <f>Conto_economico_2019!X2</f>
        <v>136220529884.49998</v>
      </c>
      <c r="F3" s="15">
        <f t="shared" si="0"/>
        <v>522714310.30995178</v>
      </c>
    </row>
    <row r="4" spans="1:6" x14ac:dyDescent="0.3">
      <c r="A4" s="20" t="s">
        <v>87</v>
      </c>
      <c r="B4" s="15">
        <f>Conto_economico_2016!X3</f>
        <v>5563319814.3800011</v>
      </c>
      <c r="C4" s="15">
        <f>Conto_economico_2017!X3</f>
        <v>5392976824.6800003</v>
      </c>
      <c r="D4" s="15">
        <f>Conto_economico_2018!X3</f>
        <v>5341649692.1900005</v>
      </c>
      <c r="E4" s="15">
        <f>Conto_economico_2019!X3</f>
        <v>5440572646.0900002</v>
      </c>
      <c r="F4" s="15">
        <f t="shared" si="0"/>
        <v>98922953.899999619</v>
      </c>
    </row>
    <row r="5" spans="1:6" x14ac:dyDescent="0.3">
      <c r="A5" s="20" t="s">
        <v>86</v>
      </c>
      <c r="B5" s="15">
        <f>Conto_economico_2016!X4</f>
        <v>23669302602.989998</v>
      </c>
      <c r="C5" s="15">
        <f>Conto_economico_2017!X4</f>
        <v>24375183932.239998</v>
      </c>
      <c r="D5" s="15">
        <f>Conto_economico_2018!X4</f>
        <v>25030982709.120003</v>
      </c>
      <c r="E5" s="15">
        <f>Conto_economico_2019!X4</f>
        <v>25470684691.52</v>
      </c>
      <c r="F5" s="15">
        <f t="shared" si="0"/>
        <v>439701982.39999771</v>
      </c>
    </row>
    <row r="6" spans="1:6" x14ac:dyDescent="0.3">
      <c r="A6" s="20" t="s">
        <v>85</v>
      </c>
      <c r="B6" s="15">
        <f>Conto_economico_2016!X5</f>
        <v>2612801157.1799998</v>
      </c>
      <c r="C6" s="15">
        <f>Conto_economico_2017!X5</f>
        <v>3149095793.1399999</v>
      </c>
      <c r="D6" s="15">
        <f>Conto_economico_2018!X5</f>
        <v>3522143946.0500002</v>
      </c>
      <c r="E6" s="15">
        <f>Conto_economico_2019!X5</f>
        <v>3954703202.1999998</v>
      </c>
      <c r="F6" s="15">
        <f t="shared" si="0"/>
        <v>432559256.14999962</v>
      </c>
    </row>
    <row r="7" spans="1:6" x14ac:dyDescent="0.3">
      <c r="A7" s="20" t="s">
        <v>81</v>
      </c>
      <c r="B7" s="16">
        <f>Conto_economico_2016!X21</f>
        <v>144768897941.51999</v>
      </c>
      <c r="C7" s="16">
        <f>Conto_economico_2017!X21</f>
        <v>163968320890.34</v>
      </c>
      <c r="D7" s="16">
        <f>Conto_economico_2018!X21</f>
        <v>165664020042.59</v>
      </c>
      <c r="E7" s="16">
        <f>Conto_economico_2019!X21</f>
        <v>167469631149.27002</v>
      </c>
      <c r="F7" s="15">
        <f t="shared" si="0"/>
        <v>1805611106.6800232</v>
      </c>
    </row>
    <row r="8" spans="1:6" x14ac:dyDescent="0.3">
      <c r="A8" s="20" t="s">
        <v>77</v>
      </c>
      <c r="B8" s="15">
        <f>Conto_economico_2016!X12</f>
        <v>8535802263.5500002</v>
      </c>
      <c r="C8" s="15">
        <f>Conto_economico_2017!X12</f>
        <v>10057322572.09</v>
      </c>
      <c r="D8" s="15">
        <f>Conto_economico_2018!X12</f>
        <v>10685919460.15</v>
      </c>
      <c r="E8" s="15">
        <f>Conto_economico_2019!X12</f>
        <v>11019557851.870001</v>
      </c>
      <c r="F8" s="15">
        <f t="shared" si="0"/>
        <v>333638391.72000122</v>
      </c>
    </row>
    <row r="9" spans="1:6" x14ac:dyDescent="0.3">
      <c r="A9" s="20" t="s">
        <v>88</v>
      </c>
      <c r="B9" s="15">
        <f>Conto_economico_2016!X14</f>
        <v>127586003919.46001</v>
      </c>
      <c r="C9" s="15">
        <f>Conto_economico_2017!X14</f>
        <v>143931410476.69</v>
      </c>
      <c r="D9" s="15">
        <f>Conto_economico_2018!X14</f>
        <v>145895590661.14001</v>
      </c>
      <c r="E9" s="15">
        <f>Conto_economico_2019!X14</f>
        <v>146782490139</v>
      </c>
      <c r="F9" s="15">
        <f t="shared" si="0"/>
        <v>886899477.85998535</v>
      </c>
    </row>
    <row r="10" spans="1:6" x14ac:dyDescent="0.3">
      <c r="A10" s="20" t="s">
        <v>78</v>
      </c>
      <c r="B10" s="15">
        <f>Conto_economico_2016!X15</f>
        <v>3371736591.8699999</v>
      </c>
      <c r="C10" s="15">
        <f>Conto_economico_2017!X15</f>
        <v>4949376624.7200012</v>
      </c>
      <c r="D10" s="15">
        <f>Conto_economico_2018!X15</f>
        <v>4929051791.420001</v>
      </c>
      <c r="E10" s="15">
        <f>Conto_economico_2019!X15</f>
        <v>5007143229.4799995</v>
      </c>
      <c r="F10" s="15">
        <f t="shared" si="0"/>
        <v>78091438.059998512</v>
      </c>
    </row>
    <row r="11" spans="1:6" x14ac:dyDescent="0.3">
      <c r="A11" s="20" t="s">
        <v>79</v>
      </c>
      <c r="B11" s="15">
        <f>Conto_economico_2016!X16</f>
        <v>447017203.59000003</v>
      </c>
      <c r="C11" s="15">
        <f>Conto_economico_2017!X16</f>
        <v>1406863288.3699999</v>
      </c>
      <c r="D11" s="15">
        <f>Conto_economico_2018!X16</f>
        <v>2067621856.6399999</v>
      </c>
      <c r="E11" s="15">
        <f>Conto_economico_2019!X16</f>
        <v>2041897871.2199998</v>
      </c>
      <c r="F11" s="15">
        <f t="shared" si="0"/>
        <v>-25723985.420000076</v>
      </c>
    </row>
    <row r="12" spans="1:6" x14ac:dyDescent="0.3">
      <c r="A12" s="31" t="s">
        <v>72</v>
      </c>
      <c r="B12" s="17">
        <f t="shared" ref="B12:D12" si="1">B2-B7</f>
        <v>5781430105.6999817</v>
      </c>
      <c r="C12" s="17">
        <f t="shared" si="1"/>
        <v>8004610487.5800171</v>
      </c>
      <c r="D12" s="17">
        <f t="shared" si="1"/>
        <v>7307872002.4499817</v>
      </c>
      <c r="E12" s="17">
        <f t="shared" ref="E12" si="2">E2-E7</f>
        <v>6011922576.9699707</v>
      </c>
      <c r="F12" s="17">
        <f t="shared" si="0"/>
        <v>-1295949425.480011</v>
      </c>
    </row>
    <row r="13" spans="1:6" x14ac:dyDescent="0.3">
      <c r="A13" s="20" t="s">
        <v>73</v>
      </c>
      <c r="B13" s="15">
        <f>Conto_economico_2016!X22-Conto_economico_2016!X23</f>
        <v>-1695221636.7699997</v>
      </c>
      <c r="C13" s="15">
        <f>Conto_economico_2017!X22-Conto_economico_2017!X23</f>
        <v>-2021185934.8200006</v>
      </c>
      <c r="D13" s="15">
        <f>Conto_economico_2018!X22-Conto_economico_2018!X23</f>
        <v>-1672796162.8899996</v>
      </c>
      <c r="E13" s="15">
        <f>Conto_economico_2019!X22-Conto_economico_2019!X23</f>
        <v>-1534676251.1000001</v>
      </c>
      <c r="F13" s="15">
        <f t="shared" si="0"/>
        <v>138119911.78999949</v>
      </c>
    </row>
    <row r="14" spans="1:6" x14ac:dyDescent="0.3">
      <c r="A14" s="20" t="s">
        <v>74</v>
      </c>
      <c r="B14" s="16">
        <f>Conto_economico_2016!X25-Conto_economico_2016!X26</f>
        <v>-669729548.30000114</v>
      </c>
      <c r="C14" s="16">
        <f>Conto_economico_2017!X25-Conto_economico_2017!X26</f>
        <v>80895013.989999771</v>
      </c>
      <c r="D14" s="16">
        <f>Conto_economico_2018!X25-Conto_economico_2018!X26</f>
        <v>819803682.96000004</v>
      </c>
      <c r="E14" s="16">
        <f>Conto_economico_2019!X25-Conto_economico_2019!X26</f>
        <v>2649366652.4100008</v>
      </c>
      <c r="F14" s="15">
        <f t="shared" si="0"/>
        <v>1829562969.4500008</v>
      </c>
    </row>
    <row r="15" spans="1:6" x14ac:dyDescent="0.3">
      <c r="A15" s="20" t="s">
        <v>61</v>
      </c>
      <c r="B15" s="16">
        <f>Conto_economico_2016!X24</f>
        <v>-90518613.569999993</v>
      </c>
      <c r="C15" s="16">
        <f>Conto_economico_2017!X24</f>
        <v>143984037.60000002</v>
      </c>
      <c r="D15" s="16">
        <f>Conto_economico_2018!X24</f>
        <v>-585371278.33000004</v>
      </c>
      <c r="E15" s="16">
        <f>Conto_economico_2019!X24</f>
        <v>124500296.82000005</v>
      </c>
      <c r="F15" s="15">
        <f t="shared" si="0"/>
        <v>709871575.1500001</v>
      </c>
    </row>
    <row r="16" spans="1:6" x14ac:dyDescent="0.3">
      <c r="A16" s="31" t="s">
        <v>75</v>
      </c>
      <c r="B16" s="17">
        <f t="shared" ref="B16:D16" si="3">SUM(B12:B15)</f>
        <v>3325960307.0599809</v>
      </c>
      <c r="C16" s="17">
        <f t="shared" si="3"/>
        <v>6208303604.3500166</v>
      </c>
      <c r="D16" s="17">
        <f t="shared" si="3"/>
        <v>5869508244.1899824</v>
      </c>
      <c r="E16" s="17">
        <f t="shared" ref="E16" si="4">SUM(E12:E15)</f>
        <v>7251113275.0999708</v>
      </c>
      <c r="F16" s="17">
        <f t="shared" si="0"/>
        <v>1381605030.9099884</v>
      </c>
    </row>
    <row r="17" spans="1:6" x14ac:dyDescent="0.3">
      <c r="A17" s="20" t="s">
        <v>64</v>
      </c>
      <c r="B17" s="15">
        <f>Conto_economico_2016!X27</f>
        <v>202266614.66000003</v>
      </c>
      <c r="C17" s="15">
        <f>Conto_economico_2017!X27</f>
        <v>331789530.26999998</v>
      </c>
      <c r="D17" s="15">
        <f>Conto_economico_2018!X27</f>
        <v>336405447.03999996</v>
      </c>
      <c r="E17" s="15">
        <f>Conto_economico_2019!X27</f>
        <v>350601335.16999996</v>
      </c>
      <c r="F17" s="15">
        <f t="shared" si="0"/>
        <v>14195888.129999995</v>
      </c>
    </row>
    <row r="18" spans="1:6" x14ac:dyDescent="0.3">
      <c r="A18" s="19" t="s">
        <v>65</v>
      </c>
      <c r="B18" s="18">
        <f t="shared" ref="B18:D18" si="5">B16-B17</f>
        <v>3123693692.399981</v>
      </c>
      <c r="C18" s="18">
        <f t="shared" si="5"/>
        <v>5876514074.0800171</v>
      </c>
      <c r="D18" s="18">
        <f t="shared" si="5"/>
        <v>5533102797.1499825</v>
      </c>
      <c r="E18" s="18">
        <f t="shared" ref="E18" si="6">E16-E17</f>
        <v>6900511939.9299707</v>
      </c>
      <c r="F18" s="18">
        <f t="shared" si="0"/>
        <v>1367409142.7799883</v>
      </c>
    </row>
  </sheetData>
  <conditionalFormatting sqref="B18:D18">
    <cfRule type="cellIs" dxfId="5" priority="13" operator="greaterThan">
      <formula>0</formula>
    </cfRule>
  </conditionalFormatting>
  <conditionalFormatting sqref="B12:D12 B16:D16">
    <cfRule type="cellIs" dxfId="4" priority="12" operator="lessThan">
      <formula>0</formula>
    </cfRule>
  </conditionalFormatting>
  <conditionalFormatting sqref="E18">
    <cfRule type="cellIs" dxfId="3" priority="4" operator="greaterThan">
      <formula>0</formula>
    </cfRule>
  </conditionalFormatting>
  <conditionalFormatting sqref="E12 E16">
    <cfRule type="cellIs" dxfId="2" priority="3" operator="lessThan">
      <formula>0</formula>
    </cfRule>
  </conditionalFormatting>
  <conditionalFormatting sqref="F18">
    <cfRule type="cellIs" dxfId="1" priority="2" operator="greaterThan">
      <formula>0</formula>
    </cfRule>
  </conditionalFormatting>
  <conditionalFormatting sqref="F16 F1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workbookViewId="0">
      <pane xSplit="1" ySplit="1" topLeftCell="N47" activePane="bottomRight" state="frozen"/>
      <selection pane="topRight" activeCell="B1" sqref="B1"/>
      <selection pane="bottomLeft" activeCell="A2" sqref="A2"/>
      <selection pane="bottomRight" activeCell="E1" sqref="E1:F1"/>
    </sheetView>
  </sheetViews>
  <sheetFormatPr defaultRowHeight="14.4" x14ac:dyDescent="0.3"/>
  <cols>
    <col min="1" max="1" width="51.6640625" style="7" bestFit="1" customWidth="1"/>
    <col min="2" max="2" width="13.5546875" bestFit="1" customWidth="1"/>
    <col min="3" max="3" width="12.6640625" bestFit="1" customWidth="1"/>
    <col min="4" max="4" width="13.88671875" bestFit="1" customWidth="1"/>
    <col min="5" max="6" width="12.6640625" bestFit="1" customWidth="1"/>
    <col min="7" max="7" width="13.5546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4.5546875" bestFit="1" customWidth="1"/>
    <col min="15" max="15" width="11.109375" bestFit="1" customWidth="1"/>
    <col min="16" max="16" width="12.6640625" bestFit="1" customWidth="1"/>
    <col min="17" max="17" width="14.5546875" bestFit="1" customWidth="1"/>
    <col min="18" max="18" width="12.6640625" bestFit="1" customWidth="1"/>
    <col min="19" max="19" width="11.109375" bestFit="1" customWidth="1"/>
    <col min="20" max="21" width="13.5546875" bestFit="1" customWidth="1"/>
    <col min="22" max="22" width="13.88671875" bestFit="1" customWidth="1"/>
    <col min="23" max="23" width="14.88671875" bestFit="1" customWidth="1"/>
  </cols>
  <sheetData>
    <row r="1" spans="1:23" x14ac:dyDescent="0.3">
      <c r="A1" s="22"/>
      <c r="B1" s="38" t="s">
        <v>93</v>
      </c>
      <c r="C1" s="38" t="s">
        <v>94</v>
      </c>
      <c r="D1" s="38" t="s">
        <v>95</v>
      </c>
      <c r="E1" s="38" t="s">
        <v>119</v>
      </c>
      <c r="F1" s="38" t="s">
        <v>120</v>
      </c>
      <c r="G1" s="38" t="s">
        <v>96</v>
      </c>
      <c r="H1" s="38" t="s">
        <v>97</v>
      </c>
      <c r="I1" s="38" t="s">
        <v>98</v>
      </c>
      <c r="J1" s="38" t="s">
        <v>99</v>
      </c>
      <c r="K1" s="38" t="s">
        <v>100</v>
      </c>
      <c r="L1" s="38" t="s">
        <v>101</v>
      </c>
      <c r="M1" s="38" t="s">
        <v>102</v>
      </c>
      <c r="N1" s="38" t="s">
        <v>103</v>
      </c>
      <c r="O1" s="38" t="s">
        <v>109</v>
      </c>
      <c r="P1" s="38" t="s">
        <v>110</v>
      </c>
      <c r="Q1" s="38" t="s">
        <v>104</v>
      </c>
      <c r="R1" s="38" t="s">
        <v>105</v>
      </c>
      <c r="S1" s="38" t="s">
        <v>111</v>
      </c>
      <c r="T1" s="38" t="s">
        <v>106</v>
      </c>
      <c r="U1" s="38" t="s">
        <v>107</v>
      </c>
      <c r="V1" s="38" t="s">
        <v>108</v>
      </c>
      <c r="W1" s="38" t="s">
        <v>83</v>
      </c>
    </row>
    <row r="2" spans="1:23" x14ac:dyDescent="0.3">
      <c r="A2" s="7" t="s">
        <v>21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f t="shared" ref="W2:W9" si="0">SUM(B2:V2)</f>
        <v>0</v>
      </c>
    </row>
    <row r="3" spans="1:23" x14ac:dyDescent="0.3">
      <c r="A3" s="7" t="s">
        <v>22</v>
      </c>
      <c r="B3" s="1">
        <v>29486458.960000001</v>
      </c>
      <c r="C3" s="1">
        <v>2033938.87</v>
      </c>
      <c r="D3" s="1">
        <v>99858224</v>
      </c>
      <c r="E3" s="1">
        <v>0</v>
      </c>
      <c r="F3" s="1">
        <v>31322469.170000002</v>
      </c>
      <c r="G3" s="1">
        <v>30351877.66</v>
      </c>
      <c r="H3" s="1">
        <v>57956962.140000001</v>
      </c>
      <c r="I3" s="1">
        <v>3645994.86</v>
      </c>
      <c r="J3" s="1">
        <v>111920407.54000001</v>
      </c>
      <c r="K3" s="1">
        <v>41266920.75</v>
      </c>
      <c r="L3" s="1">
        <v>1684607.22</v>
      </c>
      <c r="M3" s="1">
        <v>2178968.98</v>
      </c>
      <c r="N3" s="1">
        <v>15284283.039999999</v>
      </c>
      <c r="O3" s="1">
        <v>0</v>
      </c>
      <c r="P3" s="1">
        <v>10752948</v>
      </c>
      <c r="Q3" s="1">
        <v>15510518.560000001</v>
      </c>
      <c r="R3" s="1">
        <v>2888806.26</v>
      </c>
      <c r="S3" s="1">
        <v>0</v>
      </c>
      <c r="T3" s="1">
        <v>507298.54</v>
      </c>
      <c r="U3" s="1">
        <v>0</v>
      </c>
      <c r="V3" s="1">
        <v>62649970</v>
      </c>
      <c r="W3" s="1">
        <f t="shared" si="0"/>
        <v>519300654.55000013</v>
      </c>
    </row>
    <row r="4" spans="1:23" x14ac:dyDescent="0.3">
      <c r="A4" s="7" t="s">
        <v>23</v>
      </c>
      <c r="B4" s="1">
        <v>454730563.80000001</v>
      </c>
      <c r="C4" s="1">
        <v>970850003.75</v>
      </c>
      <c r="D4" s="1">
        <v>1206412554</v>
      </c>
      <c r="E4" s="1">
        <v>0</v>
      </c>
      <c r="F4" s="1">
        <v>2601858853.04</v>
      </c>
      <c r="G4" s="1">
        <v>1174677263.5599999</v>
      </c>
      <c r="H4" s="1">
        <v>1501435795.3</v>
      </c>
      <c r="I4" s="1">
        <v>114928310.70999999</v>
      </c>
      <c r="J4" s="1">
        <v>343080397.5</v>
      </c>
      <c r="K4" s="1">
        <v>671789067.85000002</v>
      </c>
      <c r="L4" s="1">
        <v>263852515.03999999</v>
      </c>
      <c r="M4" s="1">
        <v>310172904.16000003</v>
      </c>
      <c r="N4" s="1">
        <v>1000143800.6</v>
      </c>
      <c r="O4" s="1">
        <v>0</v>
      </c>
      <c r="P4" s="1">
        <v>64763016.030000001</v>
      </c>
      <c r="Q4" s="1">
        <v>956889373.60000002</v>
      </c>
      <c r="R4" s="1">
        <v>864734175.01999998</v>
      </c>
      <c r="S4" s="1">
        <v>0</v>
      </c>
      <c r="T4" s="1">
        <v>3098538402.3200002</v>
      </c>
      <c r="U4" s="1">
        <v>774058180</v>
      </c>
      <c r="V4" s="1">
        <v>1800700901</v>
      </c>
      <c r="W4" s="1">
        <f t="shared" si="0"/>
        <v>18173616077.280003</v>
      </c>
    </row>
    <row r="5" spans="1:23" x14ac:dyDescent="0.3">
      <c r="A5" s="7" t="s">
        <v>37</v>
      </c>
      <c r="B5" s="1">
        <v>209161957.43000001</v>
      </c>
      <c r="C5" s="1">
        <v>533881477.81</v>
      </c>
      <c r="D5" s="1">
        <v>1852943863</v>
      </c>
      <c r="E5" s="1">
        <v>0</v>
      </c>
      <c r="F5" s="1">
        <v>1976064108.24</v>
      </c>
      <c r="G5" s="1">
        <v>311882140.67000002</v>
      </c>
      <c r="H5" s="1">
        <f>570717525.82+20515388.98</f>
        <v>591232914.80000007</v>
      </c>
      <c r="I5" s="1">
        <v>49625138.640000001</v>
      </c>
      <c r="J5" s="1">
        <v>178329141.34</v>
      </c>
      <c r="K5" s="1">
        <v>287014400.44</v>
      </c>
      <c r="L5" s="1">
        <v>26891859.050000001</v>
      </c>
      <c r="M5" s="1">
        <v>22833522.649999999</v>
      </c>
      <c r="N5" s="1">
        <v>131428897.95999999</v>
      </c>
      <c r="O5" s="1">
        <v>0</v>
      </c>
      <c r="P5" s="1">
        <v>43428676.009999998</v>
      </c>
      <c r="Q5" s="1">
        <v>168521164</v>
      </c>
      <c r="R5" s="1">
        <v>64037277.5</v>
      </c>
      <c r="S5" s="1">
        <v>0</v>
      </c>
      <c r="T5" s="1">
        <v>35420475.079999998</v>
      </c>
      <c r="U5" s="1">
        <v>403643636</v>
      </c>
      <c r="V5" s="1">
        <v>1683331162</v>
      </c>
      <c r="W5" s="1">
        <f t="shared" si="0"/>
        <v>8569671812.6199999</v>
      </c>
    </row>
    <row r="6" spans="1:23" x14ac:dyDescent="0.3">
      <c r="A6" s="7" t="s">
        <v>38</v>
      </c>
      <c r="B6" s="1">
        <f>4056616.27+123005744.28</f>
        <v>127062360.55</v>
      </c>
      <c r="C6" s="1">
        <v>2069760416.23</v>
      </c>
      <c r="D6" s="1">
        <v>994077822</v>
      </c>
      <c r="E6" s="1">
        <v>0</v>
      </c>
      <c r="F6" s="1">
        <v>969496927.07000005</v>
      </c>
      <c r="G6" s="1">
        <v>570613815.34000003</v>
      </c>
      <c r="H6" s="1">
        <f>16750292.38+164953468.95</f>
        <v>181703761.32999998</v>
      </c>
      <c r="I6" s="1">
        <v>138782232.02000001</v>
      </c>
      <c r="J6" s="1">
        <v>3980000</v>
      </c>
      <c r="K6" s="1">
        <v>176440396.25</v>
      </c>
      <c r="L6" s="1">
        <v>72739506.030000001</v>
      </c>
      <c r="M6" s="1">
        <v>157489617.81</v>
      </c>
      <c r="N6" s="1">
        <v>666159.43000000005</v>
      </c>
      <c r="O6" s="1">
        <v>0</v>
      </c>
      <c r="P6" s="1">
        <v>0</v>
      </c>
      <c r="Q6" s="1">
        <v>84003436.560000002</v>
      </c>
      <c r="R6" s="1">
        <v>1497214.7</v>
      </c>
      <c r="S6" s="1">
        <v>0</v>
      </c>
      <c r="T6" s="1">
        <v>0</v>
      </c>
      <c r="U6" s="1">
        <v>1239460530</v>
      </c>
      <c r="V6" s="1">
        <v>89439985</v>
      </c>
      <c r="W6" s="1">
        <f t="shared" si="0"/>
        <v>6877214180.3200016</v>
      </c>
    </row>
    <row r="7" spans="1:23" x14ac:dyDescent="0.3">
      <c r="A7" s="7" t="s">
        <v>39</v>
      </c>
      <c r="B7" s="1">
        <v>0</v>
      </c>
      <c r="C7" s="1">
        <v>14173.64</v>
      </c>
      <c r="D7" s="1">
        <v>269067961</v>
      </c>
      <c r="E7" s="1">
        <v>0</v>
      </c>
      <c r="F7" s="1">
        <v>51415793.380000003</v>
      </c>
      <c r="G7" s="1">
        <v>0</v>
      </c>
      <c r="H7" s="1">
        <v>15546000</v>
      </c>
      <c r="I7" s="1">
        <v>0</v>
      </c>
      <c r="J7" s="1">
        <v>0</v>
      </c>
      <c r="K7" s="1">
        <v>9153738.2799999993</v>
      </c>
      <c r="L7" s="1">
        <v>828</v>
      </c>
      <c r="M7" s="1">
        <v>0</v>
      </c>
      <c r="N7" s="1">
        <v>104814119.44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6000000</v>
      </c>
      <c r="W7" s="1">
        <f t="shared" si="0"/>
        <v>456012613.73999995</v>
      </c>
    </row>
    <row r="8" spans="1:23" x14ac:dyDescent="0.3">
      <c r="A8" s="7" t="s">
        <v>40</v>
      </c>
      <c r="B8" s="1">
        <v>439361.87</v>
      </c>
      <c r="C8" s="1">
        <v>109121.38</v>
      </c>
      <c r="D8" s="1">
        <v>1093542</v>
      </c>
      <c r="E8" s="1">
        <v>0</v>
      </c>
      <c r="F8" s="1">
        <v>0</v>
      </c>
      <c r="G8" s="1">
        <v>0</v>
      </c>
      <c r="H8" s="1">
        <v>371410.85</v>
      </c>
      <c r="I8" s="1">
        <v>734072.89</v>
      </c>
      <c r="J8" s="1">
        <v>93134.64</v>
      </c>
      <c r="K8" s="1">
        <v>0</v>
      </c>
      <c r="L8" s="1">
        <v>26293.38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3184780</v>
      </c>
      <c r="W8" s="1">
        <f t="shared" si="0"/>
        <v>6051717.0099999998</v>
      </c>
    </row>
    <row r="9" spans="1:23" x14ac:dyDescent="0.3">
      <c r="A9" s="7" t="s">
        <v>24</v>
      </c>
      <c r="B9" s="1">
        <v>4885313722.4499998</v>
      </c>
      <c r="C9" s="1">
        <v>142614026.55000001</v>
      </c>
      <c r="D9" s="1">
        <v>18770790190</v>
      </c>
      <c r="E9" s="1">
        <v>0</v>
      </c>
      <c r="F9" s="1">
        <v>2597273084.48</v>
      </c>
      <c r="G9" s="1">
        <v>6231545547.3999996</v>
      </c>
      <c r="H9" s="1">
        <v>799545222.16999996</v>
      </c>
      <c r="I9" s="1">
        <v>2023937980.8</v>
      </c>
      <c r="J9" s="1">
        <v>4746433219.54</v>
      </c>
      <c r="K9" s="1">
        <v>6456228021.25</v>
      </c>
      <c r="L9" s="1">
        <v>1077618163.8900001</v>
      </c>
      <c r="M9" s="1">
        <v>2740116148.5999999</v>
      </c>
      <c r="N9" s="1">
        <v>3642129607.9000001</v>
      </c>
      <c r="O9" s="1">
        <v>0</v>
      </c>
      <c r="P9" s="1">
        <v>664321530.95000005</v>
      </c>
      <c r="Q9" s="1">
        <v>7037248032.3500004</v>
      </c>
      <c r="R9" s="1">
        <v>5663233908.6899996</v>
      </c>
      <c r="S9" s="1">
        <v>0</v>
      </c>
      <c r="T9" s="1">
        <v>3686831853.8699999</v>
      </c>
      <c r="U9" s="1">
        <v>4195895664</v>
      </c>
      <c r="V9" s="1">
        <v>1840771192</v>
      </c>
      <c r="W9" s="1">
        <f t="shared" si="0"/>
        <v>77201847116.889999</v>
      </c>
    </row>
    <row r="10" spans="1:23" x14ac:dyDescent="0.3">
      <c r="A10" s="25" t="s">
        <v>113</v>
      </c>
      <c r="B10" s="1">
        <v>2978585102.1300001</v>
      </c>
      <c r="C10" s="1">
        <v>0</v>
      </c>
      <c r="D10" s="1">
        <v>10753861850</v>
      </c>
      <c r="E10" s="1">
        <v>0</v>
      </c>
      <c r="F10" s="1">
        <v>0</v>
      </c>
      <c r="G10" s="1">
        <v>4337782587.8900003</v>
      </c>
      <c r="H10" s="1">
        <v>0</v>
      </c>
      <c r="I10" s="1">
        <v>843211038.5</v>
      </c>
      <c r="J10" s="1">
        <v>3371192834.4499998</v>
      </c>
      <c r="K10" s="1">
        <v>2969439284.1999998</v>
      </c>
      <c r="L10" s="1">
        <v>187221616.90000001</v>
      </c>
      <c r="M10" s="1">
        <v>1145078503.95</v>
      </c>
      <c r="N10" s="1">
        <v>1726511205.99</v>
      </c>
      <c r="O10" s="1">
        <v>0</v>
      </c>
      <c r="P10" s="1">
        <v>131728300.09999999</v>
      </c>
      <c r="Q10" s="1">
        <v>728216063.71000004</v>
      </c>
      <c r="R10" s="1">
        <v>330148618.61000001</v>
      </c>
      <c r="S10" s="1">
        <v>0</v>
      </c>
      <c r="T10" s="1">
        <v>1078499078.9400001</v>
      </c>
      <c r="U10" s="1">
        <v>716695710</v>
      </c>
      <c r="V10" s="1">
        <v>0</v>
      </c>
      <c r="W10" s="1">
        <f t="shared" ref="W10:W11" si="1">SUM(B10:V10)</f>
        <v>31298171795.370003</v>
      </c>
    </row>
    <row r="11" spans="1:23" x14ac:dyDescent="0.3">
      <c r="A11" s="25" t="s">
        <v>114</v>
      </c>
      <c r="B11" s="1">
        <v>603400376.28999996</v>
      </c>
      <c r="C11" s="1">
        <v>35408328.57</v>
      </c>
      <c r="D11" s="1">
        <v>1355426521</v>
      </c>
      <c r="E11" s="1">
        <v>0</v>
      </c>
      <c r="F11" s="1">
        <v>416638751.16000003</v>
      </c>
      <c r="G11" s="1">
        <v>1427058113.3599999</v>
      </c>
      <c r="H11" s="1">
        <v>382903342.81999999</v>
      </c>
      <c r="I11" s="1">
        <v>615189082.30999994</v>
      </c>
      <c r="J11" s="1">
        <v>711431999.33000004</v>
      </c>
      <c r="K11" s="1">
        <v>888945823.91999996</v>
      </c>
      <c r="L11" s="1">
        <v>276254469.06999999</v>
      </c>
      <c r="M11" s="1">
        <v>566460487.38999999</v>
      </c>
      <c r="N11" s="1">
        <v>853470975.73000002</v>
      </c>
      <c r="O11" s="1">
        <v>0</v>
      </c>
      <c r="P11" s="1">
        <v>314699375.35000002</v>
      </c>
      <c r="Q11" s="1">
        <v>3524562886.77</v>
      </c>
      <c r="R11" s="1">
        <v>4548337203.1400003</v>
      </c>
      <c r="S11" s="1">
        <v>0</v>
      </c>
      <c r="T11" s="1">
        <v>1162968819.3</v>
      </c>
      <c r="U11" s="1">
        <v>1483081822.0699999</v>
      </c>
      <c r="V11" s="1">
        <v>1006845894</v>
      </c>
      <c r="W11" s="1">
        <f t="shared" si="1"/>
        <v>20173084271.580002</v>
      </c>
    </row>
    <row r="12" spans="1:23" x14ac:dyDescent="0.3">
      <c r="A12" s="7" t="s">
        <v>41</v>
      </c>
      <c r="B12" s="1">
        <v>0</v>
      </c>
      <c r="C12" s="1">
        <v>5040.5600000000004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533228.91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f t="shared" ref="W12:W22" si="2">SUM(B12:V12)</f>
        <v>538269.47000000009</v>
      </c>
    </row>
    <row r="13" spans="1:23" x14ac:dyDescent="0.3">
      <c r="A13" s="7" t="s">
        <v>25</v>
      </c>
      <c r="B13" s="1">
        <v>507238128.95999998</v>
      </c>
      <c r="C13" s="1">
        <v>139848545.21000001</v>
      </c>
      <c r="D13" s="1">
        <v>3767828623</v>
      </c>
      <c r="E13" s="1">
        <v>0</v>
      </c>
      <c r="F13" s="1">
        <v>776784102.73000002</v>
      </c>
      <c r="G13" s="1">
        <v>1129977202.5799999</v>
      </c>
      <c r="H13" s="1">
        <v>2517164030.9499998</v>
      </c>
      <c r="I13" s="1">
        <v>286835408.74000001</v>
      </c>
      <c r="J13" s="1">
        <v>485208256.79000002</v>
      </c>
      <c r="K13" s="1">
        <v>229741241</v>
      </c>
      <c r="L13" s="1">
        <v>321278199.35000002</v>
      </c>
      <c r="M13" s="1">
        <v>612132505.13</v>
      </c>
      <c r="N13" s="1">
        <v>567701417</v>
      </c>
      <c r="O13" s="1">
        <v>0</v>
      </c>
      <c r="P13" s="1">
        <v>250933842.5</v>
      </c>
      <c r="Q13" s="1">
        <v>709903023.54999995</v>
      </c>
      <c r="R13" s="1">
        <v>2015514866.3099999</v>
      </c>
      <c r="S13" s="1">
        <v>0</v>
      </c>
      <c r="T13" s="1">
        <v>369672384.98000002</v>
      </c>
      <c r="U13" s="1">
        <v>726696915</v>
      </c>
      <c r="V13" s="1">
        <v>502664015</v>
      </c>
      <c r="W13" s="1">
        <f t="shared" si="2"/>
        <v>15917122708.779999</v>
      </c>
    </row>
    <row r="14" spans="1:23" x14ac:dyDescent="0.3">
      <c r="A14" s="7" t="s">
        <v>26</v>
      </c>
      <c r="B14" s="1">
        <v>0</v>
      </c>
      <c r="C14" s="1">
        <v>17519254.739999998</v>
      </c>
      <c r="D14" s="1">
        <v>8530477</v>
      </c>
      <c r="E14" s="1">
        <v>0</v>
      </c>
      <c r="F14" s="1">
        <v>0</v>
      </c>
      <c r="G14" s="1">
        <v>1135185.96</v>
      </c>
      <c r="H14" s="1">
        <v>246374</v>
      </c>
      <c r="I14" s="1">
        <v>0</v>
      </c>
      <c r="J14" s="1">
        <v>0</v>
      </c>
      <c r="K14" s="1">
        <v>134648.26</v>
      </c>
      <c r="L14" s="1">
        <v>0</v>
      </c>
      <c r="M14" s="1">
        <v>0</v>
      </c>
      <c r="N14" s="1">
        <v>361049934.39999998</v>
      </c>
      <c r="O14" s="1">
        <v>0</v>
      </c>
      <c r="P14" s="1">
        <v>0</v>
      </c>
      <c r="Q14" s="1">
        <v>7859415.9400000004</v>
      </c>
      <c r="R14" s="1">
        <v>227495.84</v>
      </c>
      <c r="S14" s="1">
        <v>0</v>
      </c>
      <c r="T14" s="1">
        <v>201872.35</v>
      </c>
      <c r="U14" s="1">
        <v>0</v>
      </c>
      <c r="V14" s="1">
        <v>236614</v>
      </c>
      <c r="W14" s="1">
        <f t="shared" si="2"/>
        <v>397141272.48999995</v>
      </c>
    </row>
    <row r="15" spans="1:23" x14ac:dyDescent="0.3">
      <c r="A15" s="4" t="s">
        <v>27</v>
      </c>
      <c r="B15" s="5">
        <f t="shared" ref="B15" si="3">SUM(B2:B9)+SUM(B12:B14)</f>
        <v>6213432554.0199995</v>
      </c>
      <c r="C15" s="5">
        <f t="shared" ref="C15" si="4">SUM(C2:C9)+SUM(C12:C14)</f>
        <v>3876635998.7400002</v>
      </c>
      <c r="D15" s="5">
        <f t="shared" ref="D15" si="5">SUM(D2:D9)+SUM(D12:D14)</f>
        <v>26970603256</v>
      </c>
      <c r="E15" s="5">
        <f t="shared" ref="E15:F15" si="6">SUM(E2:E9)+SUM(E12:E14)</f>
        <v>0</v>
      </c>
      <c r="F15" s="5">
        <f t="shared" si="6"/>
        <v>9004215338.1099987</v>
      </c>
      <c r="G15" s="5">
        <f t="shared" ref="G15" si="7">SUM(G2:G9)+SUM(G12:G14)</f>
        <v>9450183033.1699982</v>
      </c>
      <c r="H15" s="5">
        <f t="shared" ref="H15" si="8">SUM(H2:H9)+SUM(H12:H14)</f>
        <v>5665202471.54</v>
      </c>
      <c r="I15" s="5">
        <f t="shared" ref="I15" si="9">SUM(I2:I9)+SUM(I12:I14)</f>
        <v>2618489138.6599998</v>
      </c>
      <c r="J15" s="5">
        <f t="shared" ref="J15" si="10">SUM(J2:J9)+SUM(J12:J14)</f>
        <v>5869044557.3499994</v>
      </c>
      <c r="K15" s="5">
        <f t="shared" ref="K15" si="11">SUM(K2:K9)+SUM(K12:K14)</f>
        <v>7871768434.0799999</v>
      </c>
      <c r="L15" s="5">
        <f t="shared" ref="L15" si="12">SUM(L2:L9)+SUM(L12:L14)</f>
        <v>1764625200.8700001</v>
      </c>
      <c r="M15" s="5">
        <f t="shared" ref="M15" si="13">SUM(M2:M9)+SUM(M12:M14)</f>
        <v>3844923667.3299999</v>
      </c>
      <c r="N15" s="5">
        <f t="shared" ref="N15" si="14">SUM(N2:N9)+SUM(N12:N14)</f>
        <v>5823218219.7699995</v>
      </c>
      <c r="O15" s="5">
        <f t="shared" ref="O15:S15" si="15">SUM(O2:O9)+SUM(O12:O14)</f>
        <v>0</v>
      </c>
      <c r="P15" s="5">
        <f>SUM(P2:P9)+SUM(P12:P14)</f>
        <v>1034200013.49</v>
      </c>
      <c r="Q15" s="5">
        <f t="shared" si="15"/>
        <v>8979934964.5599995</v>
      </c>
      <c r="R15" s="5">
        <f t="shared" ref="R15" si="16">SUM(R2:R9)+SUM(R12:R14)</f>
        <v>8612133744.3199997</v>
      </c>
      <c r="S15" s="5">
        <f t="shared" si="15"/>
        <v>0</v>
      </c>
      <c r="T15" s="5">
        <f t="shared" ref="T15" si="17">SUM(T2:T9)+SUM(T12:T14)</f>
        <v>7191172287.1399994</v>
      </c>
      <c r="U15" s="5">
        <f t="shared" ref="U15" si="18">SUM(U2:U9)+SUM(U12:U14)</f>
        <v>7339754925</v>
      </c>
      <c r="V15" s="5">
        <f t="shared" ref="V15" si="19">SUM(V2:V9)+SUM(V12:V14)</f>
        <v>5988978619</v>
      </c>
      <c r="W15" s="5">
        <f t="shared" si="2"/>
        <v>128118516423.15001</v>
      </c>
    </row>
    <row r="16" spans="1:23" x14ac:dyDescent="0.3">
      <c r="A16" s="7" t="s">
        <v>28</v>
      </c>
      <c r="B16" s="1">
        <v>279520354.33999997</v>
      </c>
      <c r="C16" s="1">
        <v>2069088973.8299999</v>
      </c>
      <c r="D16" s="1">
        <v>396068013</v>
      </c>
      <c r="E16" s="1">
        <v>0</v>
      </c>
      <c r="F16" s="1">
        <v>656679235.79999995</v>
      </c>
      <c r="G16" s="1">
        <v>-1457709476.72</v>
      </c>
      <c r="H16" s="1">
        <v>3186961738.2600002</v>
      </c>
      <c r="I16" s="1">
        <v>-756462737.26999998</v>
      </c>
      <c r="J16" s="1">
        <v>-2467758756.96</v>
      </c>
      <c r="K16" s="1">
        <v>-3109565049.2199998</v>
      </c>
      <c r="L16" s="1">
        <v>13371249.66</v>
      </c>
      <c r="M16" s="1">
        <v>-784258912.09000003</v>
      </c>
      <c r="N16" s="1">
        <v>-20898566733.099998</v>
      </c>
      <c r="O16" s="1">
        <v>0</v>
      </c>
      <c r="P16" s="1">
        <v>330504128.68000001</v>
      </c>
      <c r="Q16" s="1">
        <v>-14057579388.43</v>
      </c>
      <c r="R16" s="1">
        <v>2547835894.96</v>
      </c>
      <c r="S16" s="1">
        <v>0</v>
      </c>
      <c r="T16" s="1">
        <v>3841166711.4099998</v>
      </c>
      <c r="U16" s="1">
        <v>0</v>
      </c>
      <c r="V16" s="1">
        <v>204377720</v>
      </c>
      <c r="W16" s="1">
        <f t="shared" si="2"/>
        <v>-30006327033.850002</v>
      </c>
    </row>
    <row r="17" spans="1:23" x14ac:dyDescent="0.3">
      <c r="A17" s="7" t="s">
        <v>29</v>
      </c>
      <c r="B17" s="1">
        <v>-8064293211.6700001</v>
      </c>
      <c r="C17" s="24">
        <v>536560652.99000001</v>
      </c>
      <c r="D17" s="24">
        <v>1335849362</v>
      </c>
      <c r="E17" s="1">
        <v>0</v>
      </c>
      <c r="F17" s="1">
        <v>6037385435.8999996</v>
      </c>
      <c r="G17" s="1">
        <v>202230164.43000001</v>
      </c>
      <c r="H17" s="1">
        <v>1331961253.02</v>
      </c>
      <c r="I17" s="1">
        <v>0</v>
      </c>
      <c r="J17" s="1">
        <v>23629998.82</v>
      </c>
      <c r="K17" s="1">
        <v>0</v>
      </c>
      <c r="L17" s="1">
        <v>-389204486.72000003</v>
      </c>
      <c r="M17" s="1">
        <v>808891573.41999996</v>
      </c>
      <c r="N17" s="1">
        <v>-2041291008.3099999</v>
      </c>
      <c r="O17" s="1">
        <v>0</v>
      </c>
      <c r="P17" s="1">
        <v>0</v>
      </c>
      <c r="Q17" s="1">
        <v>77198843.359999999</v>
      </c>
      <c r="R17" s="1">
        <v>0</v>
      </c>
      <c r="S17" s="1">
        <v>0</v>
      </c>
      <c r="T17" s="1">
        <v>-1647028543.95</v>
      </c>
      <c r="U17" s="1">
        <v>-8552965685</v>
      </c>
      <c r="V17" s="1">
        <v>8958185</v>
      </c>
      <c r="W17" s="1">
        <f t="shared" si="2"/>
        <v>-10332117466.710001</v>
      </c>
    </row>
    <row r="18" spans="1:23" x14ac:dyDescent="0.3">
      <c r="A18" s="7" t="s">
        <v>30</v>
      </c>
      <c r="B18" s="1">
        <v>294644142.24000001</v>
      </c>
      <c r="C18" s="1">
        <v>0</v>
      </c>
      <c r="D18" s="1">
        <v>157386491</v>
      </c>
      <c r="E18" s="1">
        <v>0</v>
      </c>
      <c r="F18" s="1">
        <v>0</v>
      </c>
      <c r="G18" s="1">
        <v>533389567.69</v>
      </c>
      <c r="H18" s="1">
        <v>0</v>
      </c>
      <c r="I18" s="1">
        <v>4705807.79</v>
      </c>
      <c r="J18" s="1">
        <v>338991206.58999997</v>
      </c>
      <c r="K18" s="1">
        <v>477096520.80000001</v>
      </c>
      <c r="L18" s="1">
        <v>54187323.950000003</v>
      </c>
      <c r="M18" s="1">
        <v>-119252265.75</v>
      </c>
      <c r="N18" s="1">
        <v>306217608.97000003</v>
      </c>
      <c r="O18" s="1">
        <v>0</v>
      </c>
      <c r="P18" s="1">
        <v>-497694735.56</v>
      </c>
      <c r="Q18" s="1">
        <v>817476362.80999994</v>
      </c>
      <c r="R18" s="1">
        <v>-613800449.19000006</v>
      </c>
      <c r="S18" s="1">
        <v>0</v>
      </c>
      <c r="T18" s="1">
        <v>-491491644.27999997</v>
      </c>
      <c r="U18" s="1">
        <v>925452241</v>
      </c>
      <c r="V18" s="1">
        <v>901719362</v>
      </c>
      <c r="W18" s="1">
        <f t="shared" si="2"/>
        <v>3089027540.0599995</v>
      </c>
    </row>
    <row r="19" spans="1:23" x14ac:dyDescent="0.3">
      <c r="A19" s="7" t="s">
        <v>31</v>
      </c>
      <c r="B19" s="1">
        <v>571603365.25</v>
      </c>
      <c r="C19" s="1">
        <v>10223902.67</v>
      </c>
      <c r="D19" s="1">
        <f>65264562+336391</f>
        <v>65600953</v>
      </c>
      <c r="E19" s="1">
        <v>0</v>
      </c>
      <c r="F19" s="1">
        <v>250645943.78</v>
      </c>
      <c r="G19" s="1">
        <v>122740656.34</v>
      </c>
      <c r="H19" s="1">
        <v>314635205.18000001</v>
      </c>
      <c r="I19" s="1">
        <v>41406553.170000002</v>
      </c>
      <c r="J19" s="1">
        <v>21783957.25</v>
      </c>
      <c r="K19" s="1">
        <v>51730805.880000003</v>
      </c>
      <c r="L19" s="1">
        <v>30250234.300000001</v>
      </c>
      <c r="M19" s="1">
        <v>88004075.700000003</v>
      </c>
      <c r="N19" s="1">
        <v>23050871.829999998</v>
      </c>
      <c r="O19" s="1">
        <v>0</v>
      </c>
      <c r="P19" s="1">
        <v>337160381.87</v>
      </c>
      <c r="Q19" s="1">
        <v>989069731</v>
      </c>
      <c r="R19" s="1">
        <v>614000422.13</v>
      </c>
      <c r="S19" s="1">
        <v>0</v>
      </c>
      <c r="T19" s="1">
        <v>383174597.38999999</v>
      </c>
      <c r="U19" s="1">
        <v>0</v>
      </c>
      <c r="V19" s="1">
        <v>454846793</v>
      </c>
      <c r="W19" s="1">
        <f t="shared" si="2"/>
        <v>4369928449.7399998</v>
      </c>
    </row>
    <row r="20" spans="1:23" x14ac:dyDescent="0.3">
      <c r="A20" s="7" t="s">
        <v>20</v>
      </c>
      <c r="B20" s="1">
        <v>5732470012.5900002</v>
      </c>
      <c r="C20" s="1">
        <v>736222558.80999994</v>
      </c>
      <c r="D20" s="1">
        <v>13552593316</v>
      </c>
      <c r="E20" s="1">
        <v>0</v>
      </c>
      <c r="F20" s="1">
        <v>139986544.38</v>
      </c>
      <c r="G20" s="1">
        <v>6944136881.4399996</v>
      </c>
      <c r="H20" s="1">
        <f>343363067.13+66069894</f>
        <v>409432961.13</v>
      </c>
      <c r="I20" s="1">
        <v>1883288002.7</v>
      </c>
      <c r="J20" s="1">
        <v>4420149665.8900003</v>
      </c>
      <c r="K20" s="1">
        <v>4661514025.7700005</v>
      </c>
      <c r="L20" s="1">
        <v>1212518160.8900001</v>
      </c>
      <c r="M20" s="1">
        <v>2464552478.8800001</v>
      </c>
      <c r="N20" s="1">
        <v>21384229546.080002</v>
      </c>
      <c r="O20" s="1">
        <v>0</v>
      </c>
      <c r="P20" s="1">
        <v>394975334.74000001</v>
      </c>
      <c r="Q20" s="1">
        <v>9591199804.1900005</v>
      </c>
      <c r="R20" s="1">
        <v>2439337080.3299999</v>
      </c>
      <c r="S20" s="1">
        <v>0</v>
      </c>
      <c r="T20" s="1">
        <v>1556675698.1800001</v>
      </c>
      <c r="U20" s="1">
        <v>9403298972</v>
      </c>
      <c r="V20" s="1">
        <v>1338032677</v>
      </c>
      <c r="W20" s="1">
        <f t="shared" si="2"/>
        <v>88264613721</v>
      </c>
    </row>
    <row r="21" spans="1:23" x14ac:dyDescent="0.3">
      <c r="A21" s="7" t="s">
        <v>32</v>
      </c>
      <c r="B21" s="1">
        <v>38934324.950000003</v>
      </c>
      <c r="C21" s="1">
        <v>92487639.069999993</v>
      </c>
      <c r="D21" s="1">
        <v>111349328</v>
      </c>
      <c r="E21" s="1">
        <v>0</v>
      </c>
      <c r="F21" s="1">
        <v>191554508.84999999</v>
      </c>
      <c r="G21" s="1">
        <v>487231111.20999998</v>
      </c>
      <c r="H21" s="1">
        <v>97900735.409999996</v>
      </c>
      <c r="I21" s="1">
        <v>67692282.049999997</v>
      </c>
      <c r="J21" s="1">
        <v>80184837.790000007</v>
      </c>
      <c r="K21" s="1">
        <v>1093007.0900000001</v>
      </c>
      <c r="L21" s="1">
        <v>27603865.41</v>
      </c>
      <c r="M21" s="1">
        <v>69599524.670000002</v>
      </c>
      <c r="N21" s="1">
        <v>339030975.24000001</v>
      </c>
      <c r="O21" s="1">
        <v>0</v>
      </c>
      <c r="P21" s="1">
        <v>101895443.43000001</v>
      </c>
      <c r="Q21" s="1">
        <v>15312167.24</v>
      </c>
      <c r="R21" s="1">
        <v>75045630.150000006</v>
      </c>
      <c r="S21" s="1">
        <v>0</v>
      </c>
      <c r="T21" s="1">
        <v>196344777.40000001</v>
      </c>
      <c r="U21" s="1">
        <v>84157378</v>
      </c>
      <c r="V21" s="1">
        <v>15491492</v>
      </c>
      <c r="W21" s="1">
        <f t="shared" si="2"/>
        <v>2092909027.9600003</v>
      </c>
    </row>
    <row r="22" spans="1:23" x14ac:dyDescent="0.3">
      <c r="A22" s="7" t="s">
        <v>33</v>
      </c>
      <c r="B22" s="1">
        <v>6742640949.8299999</v>
      </c>
      <c r="C22" s="1">
        <v>180701441.99000001</v>
      </c>
      <c r="D22" s="1">
        <v>7567563901</v>
      </c>
      <c r="E22" s="1">
        <v>0</v>
      </c>
      <c r="F22" s="1">
        <v>1613956642.8299999</v>
      </c>
      <c r="G22" s="1">
        <v>2032453557.1900001</v>
      </c>
      <c r="H22" s="1">
        <f>H23+H24+8627447.22+41035486.28</f>
        <v>300057891.06999999</v>
      </c>
      <c r="I22" s="1">
        <v>834900823.13</v>
      </c>
      <c r="J22" s="1">
        <v>1895734438.98</v>
      </c>
      <c r="K22" s="1">
        <v>2140149535.3499999</v>
      </c>
      <c r="L22" s="1">
        <v>405682133.72000003</v>
      </c>
      <c r="M22" s="1">
        <v>730441265.25</v>
      </c>
      <c r="N22" s="1">
        <v>3990494312.6399999</v>
      </c>
      <c r="O22" s="1">
        <v>0</v>
      </c>
      <c r="P22" s="1">
        <v>347435257.69999999</v>
      </c>
      <c r="Q22" s="1">
        <v>5774608893.3100004</v>
      </c>
      <c r="R22" s="1">
        <v>2914250017.1500001</v>
      </c>
      <c r="S22" s="1">
        <v>0</v>
      </c>
      <c r="T22" s="1">
        <v>2443639637.0100002</v>
      </c>
      <c r="U22" s="1">
        <v>2142702022</v>
      </c>
      <c r="V22" s="1">
        <v>1174593883</v>
      </c>
      <c r="W22" s="1">
        <f t="shared" si="2"/>
        <v>43232006603.150002</v>
      </c>
    </row>
    <row r="23" spans="1:23" x14ac:dyDescent="0.3">
      <c r="A23" s="25" t="s">
        <v>115</v>
      </c>
      <c r="B23" s="1">
        <v>3346622588.9400001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3242967255.9000001</v>
      </c>
      <c r="O23" s="1">
        <v>0</v>
      </c>
      <c r="P23" s="1">
        <v>0</v>
      </c>
      <c r="Q23" s="1">
        <v>1062014448.26</v>
      </c>
      <c r="R23" s="1">
        <v>0</v>
      </c>
      <c r="S23" s="1">
        <v>0</v>
      </c>
      <c r="T23" s="1">
        <v>0</v>
      </c>
      <c r="U23" s="1">
        <v>1414809006</v>
      </c>
      <c r="V23" s="1">
        <v>0</v>
      </c>
      <c r="W23" s="1">
        <f t="shared" ref="W23:W24" si="20">SUM(B23:V23)</f>
        <v>9066413299.1000004</v>
      </c>
    </row>
    <row r="24" spans="1:23" x14ac:dyDescent="0.3">
      <c r="A24" s="25" t="s">
        <v>116</v>
      </c>
      <c r="B24" s="1">
        <v>2994049765.46</v>
      </c>
      <c r="C24" s="1">
        <v>166568969.72</v>
      </c>
      <c r="D24" s="1">
        <v>7274421066</v>
      </c>
      <c r="E24" s="1">
        <v>0</v>
      </c>
      <c r="F24" s="1">
        <v>1349816103.3199999</v>
      </c>
      <c r="G24" s="1">
        <v>1783766933.1400001</v>
      </c>
      <c r="H24" s="1">
        <v>250394957.56999999</v>
      </c>
      <c r="I24" s="1">
        <v>728079250.86000001</v>
      </c>
      <c r="J24" s="1">
        <v>1743333023.5</v>
      </c>
      <c r="K24" s="1">
        <v>1984512785.78</v>
      </c>
      <c r="L24" s="1">
        <v>385986228.32999998</v>
      </c>
      <c r="M24" s="1">
        <v>701074488.13999999</v>
      </c>
      <c r="N24" s="1">
        <v>464423749.64999998</v>
      </c>
      <c r="O24" s="1">
        <v>0</v>
      </c>
      <c r="P24" s="1">
        <v>345909254.70999998</v>
      </c>
      <c r="Q24" s="1">
        <v>3471454086.6900001</v>
      </c>
      <c r="R24" s="1">
        <v>2644122134.1999998</v>
      </c>
      <c r="S24" s="1">
        <v>0</v>
      </c>
      <c r="T24" s="1">
        <v>2324969110.3299999</v>
      </c>
      <c r="U24" s="1">
        <v>559071589</v>
      </c>
      <c r="V24" s="1">
        <v>1008700838</v>
      </c>
      <c r="W24" s="1">
        <f t="shared" si="20"/>
        <v>30180654334.400002</v>
      </c>
    </row>
    <row r="25" spans="1:23" x14ac:dyDescent="0.3">
      <c r="A25" s="7" t="s">
        <v>34</v>
      </c>
      <c r="B25" s="1">
        <v>224517263.06</v>
      </c>
      <c r="C25" s="1">
        <v>30201003.210000001</v>
      </c>
      <c r="D25" s="1">
        <f>2027187166+2504976</f>
        <v>2029692142</v>
      </c>
      <c r="E25" s="1">
        <v>0</v>
      </c>
      <c r="F25" s="1">
        <v>114007026.56999999</v>
      </c>
      <c r="G25" s="1">
        <f>579121416.89+453001.13</f>
        <v>579574418.01999998</v>
      </c>
      <c r="H25" s="1">
        <f>11396507.38+101499.72+12708496.61</f>
        <v>24206503.710000001</v>
      </c>
      <c r="I25" s="1">
        <v>323344081.18000001</v>
      </c>
      <c r="J25" s="1">
        <f>225509223.65+2160</f>
        <v>225511383.65000001</v>
      </c>
      <c r="K25" s="1">
        <f>2727076930.05+234585</f>
        <v>2727311515.0500002</v>
      </c>
      <c r="L25" s="1">
        <f>29915831.15+3235</f>
        <v>29919066.149999999</v>
      </c>
      <c r="M25" s="1">
        <v>503892478.00999999</v>
      </c>
      <c r="N25" s="1">
        <v>1906494733.3499999</v>
      </c>
      <c r="O25" s="1">
        <v>0</v>
      </c>
      <c r="P25" s="1">
        <v>19924202.629999999</v>
      </c>
      <c r="Q25" s="1">
        <v>3943236362.8400002</v>
      </c>
      <c r="R25" s="1">
        <v>143515057.68000001</v>
      </c>
      <c r="S25" s="1">
        <v>0</v>
      </c>
      <c r="T25" s="1">
        <v>352366260.00999999</v>
      </c>
      <c r="U25" s="1">
        <v>2038350645</v>
      </c>
      <c r="V25" s="1">
        <v>1572730826</v>
      </c>
      <c r="W25" s="1">
        <f>SUM(B25:V25)</f>
        <v>16788794968.120001</v>
      </c>
    </row>
    <row r="26" spans="1:23" x14ac:dyDescent="0.3">
      <c r="A26" s="7" t="s">
        <v>35</v>
      </c>
      <c r="B26" s="1">
        <v>393395353.43000001</v>
      </c>
      <c r="C26" s="1">
        <v>221149826.16999999</v>
      </c>
      <c r="D26" s="1">
        <v>1754499750</v>
      </c>
      <c r="E26" s="1">
        <v>0</v>
      </c>
      <c r="F26" s="1">
        <v>0</v>
      </c>
      <c r="G26" s="1">
        <v>6136153.5700000003</v>
      </c>
      <c r="H26" s="1">
        <v>46183.76</v>
      </c>
      <c r="I26" s="1">
        <v>219614325.91</v>
      </c>
      <c r="J26" s="1">
        <v>1330817825.3399999</v>
      </c>
      <c r="K26" s="1">
        <v>922438073.36000001</v>
      </c>
      <c r="L26" s="1">
        <v>380297653.50999999</v>
      </c>
      <c r="M26" s="1">
        <v>83053449.239999995</v>
      </c>
      <c r="N26" s="1">
        <v>813557913.07000005</v>
      </c>
      <c r="O26" s="1">
        <v>0</v>
      </c>
      <c r="P26" s="1">
        <v>0</v>
      </c>
      <c r="Q26" s="1">
        <v>1829412188.24</v>
      </c>
      <c r="R26" s="1">
        <v>491950091.11000001</v>
      </c>
      <c r="S26" s="1">
        <v>0</v>
      </c>
      <c r="T26" s="1">
        <v>556324793.97000003</v>
      </c>
      <c r="U26" s="1">
        <v>1298759352</v>
      </c>
      <c r="V26" s="1">
        <v>318227681</v>
      </c>
      <c r="W26" s="1">
        <f>SUM(B26:V26)</f>
        <v>10619680613.679998</v>
      </c>
    </row>
    <row r="27" spans="1:23" x14ac:dyDescent="0.3">
      <c r="A27" s="21" t="s">
        <v>36</v>
      </c>
      <c r="B27" s="2">
        <f>SUM(B16:B26)-B23-B24</f>
        <v>6213432554.0199995</v>
      </c>
      <c r="C27" s="2">
        <f t="shared" ref="C27" si="21">SUM(C16:C26)-C23-C24</f>
        <v>3876635998.7399998</v>
      </c>
      <c r="D27" s="2">
        <f t="shared" ref="D27" si="22">SUM(D16:D26)-D23-D24</f>
        <v>26970603256</v>
      </c>
      <c r="E27" s="2">
        <f t="shared" ref="E27" si="23">SUM(E16:E26)-E23-E24</f>
        <v>0</v>
      </c>
      <c r="F27" s="2">
        <f t="shared" ref="F27" si="24">SUM(F16:F26)-F23-F24</f>
        <v>9004215338.1100006</v>
      </c>
      <c r="G27" s="2">
        <f t="shared" ref="G27" si="25">SUM(G16:G26)-G23-G24</f>
        <v>9450183033.1700001</v>
      </c>
      <c r="H27" s="2">
        <f t="shared" ref="H27" si="26">SUM(H16:H26)-H23-H24</f>
        <v>5665202471.5400009</v>
      </c>
      <c r="I27" s="2">
        <f t="shared" ref="I27" si="27">SUM(I16:I26)-I23-I24</f>
        <v>2618489138.6599994</v>
      </c>
      <c r="J27" s="2">
        <f t="shared" ref="J27" si="28">SUM(J16:J26)-J23-J24</f>
        <v>5869044557.3500004</v>
      </c>
      <c r="K27" s="2">
        <f t="shared" ref="K27" si="29">SUM(K16:K26)-K23-K24</f>
        <v>7871768434.0800009</v>
      </c>
      <c r="L27" s="2">
        <f t="shared" ref="L27" si="30">SUM(L16:L26)-L23-L24</f>
        <v>1764625200.8699999</v>
      </c>
      <c r="M27" s="2">
        <f t="shared" ref="M27" si="31">SUM(M16:M26)-M23-M24</f>
        <v>3844923667.3299994</v>
      </c>
      <c r="N27" s="2">
        <f t="shared" ref="N27" si="32">SUM(N16:N26)-N23-N24</f>
        <v>5823218219.7700062</v>
      </c>
      <c r="O27" s="2">
        <f t="shared" ref="O27:S27" si="33">SUM(O16:O26)-O23-O24</f>
        <v>0</v>
      </c>
      <c r="P27" s="2">
        <f t="shared" ref="P27" si="34">SUM(P16:P26)-P23-P24</f>
        <v>1034200013.4900002</v>
      </c>
      <c r="Q27" s="2">
        <f t="shared" si="33"/>
        <v>8979934964.5599995</v>
      </c>
      <c r="R27" s="2">
        <f t="shared" ref="R27" si="35">SUM(R16:R26)-R23-R24</f>
        <v>8612133744.3199997</v>
      </c>
      <c r="S27" s="2">
        <f t="shared" si="33"/>
        <v>0</v>
      </c>
      <c r="T27" s="2">
        <f t="shared" ref="T27:U27" si="36">SUM(T16:T26)-T23-T24</f>
        <v>7191172287.1399994</v>
      </c>
      <c r="U27" s="2">
        <f t="shared" si="36"/>
        <v>7339754925</v>
      </c>
      <c r="V27" s="2">
        <f t="shared" ref="V27" si="37">SUM(V16:V26)-V23-V24</f>
        <v>5988978619</v>
      </c>
      <c r="W27" s="2">
        <f>SUM(B27:V27)</f>
        <v>128118516423.15001</v>
      </c>
    </row>
    <row r="28" spans="1:23" x14ac:dyDescent="0.3">
      <c r="A28" s="4" t="s">
        <v>71</v>
      </c>
      <c r="B28" s="5">
        <f t="shared" ref="B28:N28" si="38">B16+B17+B18</f>
        <v>-7490128715.0900002</v>
      </c>
      <c r="C28" s="5">
        <f t="shared" si="38"/>
        <v>2605649626.8199997</v>
      </c>
      <c r="D28" s="5">
        <f t="shared" si="38"/>
        <v>1889303866</v>
      </c>
      <c r="E28" s="5">
        <f>E16+E17+E18</f>
        <v>0</v>
      </c>
      <c r="F28" s="5">
        <f>F16+F17+F18</f>
        <v>6694064671.6999998</v>
      </c>
      <c r="G28" s="5">
        <f t="shared" si="38"/>
        <v>-722089744.5999999</v>
      </c>
      <c r="H28" s="5">
        <f t="shared" si="38"/>
        <v>4518922991.2800007</v>
      </c>
      <c r="I28" s="5">
        <f t="shared" si="38"/>
        <v>-751756929.48000002</v>
      </c>
      <c r="J28" s="5">
        <f t="shared" si="38"/>
        <v>-2105137551.55</v>
      </c>
      <c r="K28" s="5">
        <f t="shared" si="38"/>
        <v>-2632468528.4199996</v>
      </c>
      <c r="L28" s="5">
        <f t="shared" si="38"/>
        <v>-321645913.11000001</v>
      </c>
      <c r="M28" s="5">
        <f t="shared" si="38"/>
        <v>-94619604.420000076</v>
      </c>
      <c r="N28" s="5">
        <f t="shared" si="38"/>
        <v>-22633640132.439999</v>
      </c>
      <c r="O28" s="5">
        <f t="shared" ref="O28:S28" si="39">O16+O17+O18</f>
        <v>0</v>
      </c>
      <c r="P28" s="5">
        <f t="shared" si="39"/>
        <v>-167190606.88</v>
      </c>
      <c r="Q28" s="5">
        <f t="shared" si="39"/>
        <v>-13162904182.26</v>
      </c>
      <c r="R28" s="5">
        <f>R16+R17+R18</f>
        <v>1934035445.77</v>
      </c>
      <c r="S28" s="5">
        <f t="shared" si="39"/>
        <v>0</v>
      </c>
      <c r="T28" s="5">
        <f>T16+T17+T18</f>
        <v>1702646523.1800001</v>
      </c>
      <c r="U28" s="5">
        <f>U16+U17+U18</f>
        <v>-7627513444</v>
      </c>
      <c r="V28" s="5">
        <f>V16+V17+V18</f>
        <v>1115055267</v>
      </c>
      <c r="W28" s="2">
        <f>SUM(B28:V28)</f>
        <v>-37249416960.5</v>
      </c>
    </row>
    <row r="29" spans="1:23" x14ac:dyDescent="0.3">
      <c r="A29" s="25" t="s">
        <v>82</v>
      </c>
      <c r="B29" s="26">
        <f t="shared" ref="B29:J29" si="40">B28/B27*100</f>
        <v>-120.54735687513012</v>
      </c>
      <c r="C29" s="26">
        <f t="shared" si="40"/>
        <v>67.214193637651263</v>
      </c>
      <c r="D29" s="26">
        <f t="shared" si="40"/>
        <v>7.0050486007564441</v>
      </c>
      <c r="E29" s="26" t="e">
        <f t="shared" ref="E29" si="41">E28/E27*100</f>
        <v>#DIV/0!</v>
      </c>
      <c r="F29" s="26">
        <f t="shared" si="40"/>
        <v>74.343675937731348</v>
      </c>
      <c r="G29" s="26">
        <f t="shared" si="40"/>
        <v>-7.64101332286873</v>
      </c>
      <c r="H29" s="26">
        <f t="shared" si="40"/>
        <v>79.766310453712677</v>
      </c>
      <c r="I29" s="26">
        <f t="shared" si="40"/>
        <v>-28.709568368296097</v>
      </c>
      <c r="J29" s="26">
        <f t="shared" si="40"/>
        <v>-35.868488149636995</v>
      </c>
      <c r="K29" s="26">
        <f t="shared" ref="K29" si="42">K28/K27*100</f>
        <v>-33.441894924436568</v>
      </c>
      <c r="L29" s="26">
        <f t="shared" ref="L29" si="43">L28/L27*100</f>
        <v>-18.227435092246296</v>
      </c>
      <c r="M29" s="26">
        <f t="shared" ref="M29" si="44">M28/M27*100</f>
        <v>-2.4608968241417917</v>
      </c>
      <c r="N29" s="26">
        <f t="shared" ref="N29" si="45">N28/N27*100</f>
        <v>-388.67923677663481</v>
      </c>
      <c r="O29" s="26" t="e">
        <f t="shared" ref="O29" si="46">O28/O27*100</f>
        <v>#DIV/0!</v>
      </c>
      <c r="P29" s="26">
        <f t="shared" ref="P29" si="47">P28/P27*100</f>
        <v>-16.166177209358214</v>
      </c>
      <c r="Q29" s="26">
        <f t="shared" ref="Q29" si="48">Q28/Q27*100</f>
        <v>-146.5812863256628</v>
      </c>
      <c r="R29" s="26">
        <f t="shared" ref="R29" si="49">R28/R27*100</f>
        <v>22.457099520145789</v>
      </c>
      <c r="S29" s="26" t="e">
        <f t="shared" ref="S29" si="50">S28/S27*100</f>
        <v>#DIV/0!</v>
      </c>
      <c r="T29" s="26">
        <f t="shared" ref="T29" si="51">T28/T27*100</f>
        <v>23.676897940894133</v>
      </c>
      <c r="U29" s="26">
        <f t="shared" ref="U29" si="52">U28/U27*100</f>
        <v>-103.9205466931854</v>
      </c>
      <c r="V29" s="26">
        <f t="shared" ref="V29" si="53">V28/V27*100</f>
        <v>18.618454630352055</v>
      </c>
      <c r="W29" s="26">
        <f>W28/W27*100</f>
        <v>-29.074186932880625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E1" sqref="E1:F1"/>
    </sheetView>
  </sheetViews>
  <sheetFormatPr defaultRowHeight="14.4" x14ac:dyDescent="0.3"/>
  <cols>
    <col min="1" max="1" width="51.6640625" style="7" bestFit="1" customWidth="1"/>
    <col min="2" max="2" width="13.5546875" bestFit="1" customWidth="1"/>
    <col min="3" max="3" width="12.6640625" bestFit="1" customWidth="1"/>
    <col min="4" max="5" width="13.88671875" bestFit="1" customWidth="1"/>
    <col min="6" max="6" width="12.6640625" bestFit="1" customWidth="1"/>
    <col min="7" max="7" width="13.88671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4.5546875" bestFit="1" customWidth="1"/>
    <col min="15" max="15" width="11.109375" bestFit="1" customWidth="1"/>
    <col min="16" max="16" width="12.6640625" bestFit="1" customWidth="1"/>
    <col min="17" max="17" width="14.5546875" bestFit="1" customWidth="1"/>
    <col min="18" max="18" width="13.88671875" bestFit="1" customWidth="1"/>
    <col min="19" max="19" width="11.109375" bestFit="1" customWidth="1"/>
    <col min="20" max="20" width="12.6640625" bestFit="1" customWidth="1"/>
    <col min="21" max="21" width="13.5546875" bestFit="1" customWidth="1"/>
    <col min="22" max="22" width="13.88671875" bestFit="1" customWidth="1"/>
    <col min="23" max="23" width="14.5546875" bestFit="1" customWidth="1"/>
  </cols>
  <sheetData>
    <row r="1" spans="1:23" x14ac:dyDescent="0.3">
      <c r="A1" s="22"/>
      <c r="B1" s="38" t="s">
        <v>93</v>
      </c>
      <c r="C1" s="38" t="s">
        <v>94</v>
      </c>
      <c r="D1" s="38" t="s">
        <v>95</v>
      </c>
      <c r="E1" s="38" t="s">
        <v>119</v>
      </c>
      <c r="F1" s="38" t="s">
        <v>120</v>
      </c>
      <c r="G1" s="38" t="s">
        <v>96</v>
      </c>
      <c r="H1" s="38" t="s">
        <v>97</v>
      </c>
      <c r="I1" s="38" t="s">
        <v>98</v>
      </c>
      <c r="J1" s="38" t="s">
        <v>99</v>
      </c>
      <c r="K1" s="38" t="s">
        <v>100</v>
      </c>
      <c r="L1" s="38" t="s">
        <v>101</v>
      </c>
      <c r="M1" s="38" t="s">
        <v>102</v>
      </c>
      <c r="N1" s="38" t="s">
        <v>103</v>
      </c>
      <c r="O1" s="38" t="s">
        <v>109</v>
      </c>
      <c r="P1" s="38" t="s">
        <v>110</v>
      </c>
      <c r="Q1" s="38" t="s">
        <v>104</v>
      </c>
      <c r="R1" s="38" t="s">
        <v>105</v>
      </c>
      <c r="S1" s="38" t="s">
        <v>111</v>
      </c>
      <c r="T1" s="38" t="s">
        <v>106</v>
      </c>
      <c r="U1" s="38" t="s">
        <v>107</v>
      </c>
      <c r="V1" s="38" t="s">
        <v>108</v>
      </c>
      <c r="W1" s="38" t="s">
        <v>83</v>
      </c>
    </row>
    <row r="2" spans="1:23" x14ac:dyDescent="0.3">
      <c r="A2" s="7" t="s">
        <v>21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f t="shared" ref="W2:W9" si="0">SUM(B2:V2)</f>
        <v>0</v>
      </c>
    </row>
    <row r="3" spans="1:23" x14ac:dyDescent="0.3">
      <c r="A3" s="7" t="s">
        <v>22</v>
      </c>
      <c r="B3" s="1">
        <v>25279247.16</v>
      </c>
      <c r="C3" s="1">
        <v>3771360.08</v>
      </c>
      <c r="D3" s="1">
        <v>100199624</v>
      </c>
      <c r="E3" s="1">
        <v>1173652409.8399999</v>
      </c>
      <c r="F3" s="1">
        <v>63276469.159999996</v>
      </c>
      <c r="G3" s="1">
        <v>95763433.090000004</v>
      </c>
      <c r="H3" s="1">
        <v>65675947.75</v>
      </c>
      <c r="I3" s="1">
        <v>4410592.33</v>
      </c>
      <c r="J3" s="1">
        <v>208632764.22</v>
      </c>
      <c r="K3" s="1">
        <v>33901656.109999999</v>
      </c>
      <c r="L3" s="1">
        <v>8869243.0199999996</v>
      </c>
      <c r="M3" s="1">
        <v>24091244.43</v>
      </c>
      <c r="N3" s="1">
        <v>19561369.149999999</v>
      </c>
      <c r="O3" s="1">
        <v>0</v>
      </c>
      <c r="P3" s="1">
        <v>25103383.710000001</v>
      </c>
      <c r="Q3" s="1">
        <v>51352920.619999997</v>
      </c>
      <c r="R3" s="1">
        <v>0</v>
      </c>
      <c r="S3" s="1">
        <v>0</v>
      </c>
      <c r="T3" s="1">
        <v>2199890.7599999998</v>
      </c>
      <c r="U3" s="1">
        <v>14001734</v>
      </c>
      <c r="V3" s="1">
        <v>41772137</v>
      </c>
      <c r="W3" s="1">
        <f t="shared" si="0"/>
        <v>1961515426.4299998</v>
      </c>
    </row>
    <row r="4" spans="1:23" x14ac:dyDescent="0.3">
      <c r="A4" s="7" t="s">
        <v>23</v>
      </c>
      <c r="B4" s="1">
        <v>832521597.53999996</v>
      </c>
      <c r="C4" s="1">
        <v>1018373513.84</v>
      </c>
      <c r="D4" s="1">
        <v>1208719654</v>
      </c>
      <c r="E4" s="1">
        <v>8135250625.3699999</v>
      </c>
      <c r="F4" s="1">
        <v>2687976523.0700002</v>
      </c>
      <c r="G4" s="1">
        <v>1477464641.5599999</v>
      </c>
      <c r="H4" s="1">
        <v>1557518155.8199999</v>
      </c>
      <c r="I4" s="1">
        <v>102197145.18000001</v>
      </c>
      <c r="J4" s="1">
        <v>472382442.04000002</v>
      </c>
      <c r="K4" s="1">
        <v>807267166.76999998</v>
      </c>
      <c r="L4" s="1">
        <v>356848606.5</v>
      </c>
      <c r="M4" s="1">
        <v>470880876.49000001</v>
      </c>
      <c r="N4" s="1">
        <v>1089935237.9200001</v>
      </c>
      <c r="O4" s="1">
        <v>0</v>
      </c>
      <c r="P4" s="1">
        <v>29232832.620000001</v>
      </c>
      <c r="Q4" s="1">
        <v>1046126810.46</v>
      </c>
      <c r="R4" s="1">
        <v>888450923.09000003</v>
      </c>
      <c r="S4" s="1">
        <v>0</v>
      </c>
      <c r="T4" s="1">
        <v>3003526715.48</v>
      </c>
      <c r="U4" s="1">
        <v>1995301328</v>
      </c>
      <c r="V4" s="1">
        <v>1775355927</v>
      </c>
      <c r="W4" s="1">
        <f t="shared" si="0"/>
        <v>28955330722.749996</v>
      </c>
    </row>
    <row r="5" spans="1:23" x14ac:dyDescent="0.3">
      <c r="A5" s="7" t="s">
        <v>37</v>
      </c>
      <c r="B5" s="1">
        <v>409323422.56999999</v>
      </c>
      <c r="C5" s="1">
        <v>533881477.81</v>
      </c>
      <c r="D5" s="1">
        <v>2044724792</v>
      </c>
      <c r="E5" s="1">
        <v>967987137.89999998</v>
      </c>
      <c r="F5" s="1">
        <v>2004098829.8199999</v>
      </c>
      <c r="G5" s="1">
        <v>1959856500.03</v>
      </c>
      <c r="H5" s="1">
        <f>640845876.5+21782670.99</f>
        <v>662628547.49000001</v>
      </c>
      <c r="I5" s="1">
        <v>49898012.240000002</v>
      </c>
      <c r="J5" s="1">
        <v>396166983.10000002</v>
      </c>
      <c r="K5" s="1">
        <v>283984930.62</v>
      </c>
      <c r="L5" s="1">
        <v>594966823.72000003</v>
      </c>
      <c r="M5" s="1">
        <v>341143204.06</v>
      </c>
      <c r="N5" s="1">
        <v>158246810.43000001</v>
      </c>
      <c r="O5" s="1">
        <v>0</v>
      </c>
      <c r="P5" s="1">
        <v>237745516.33000001</v>
      </c>
      <c r="Q5" s="1">
        <v>168448949</v>
      </c>
      <c r="R5" s="1">
        <v>1330592775.77</v>
      </c>
      <c r="S5" s="1">
        <v>0</v>
      </c>
      <c r="T5" s="1">
        <v>56020555.469999999</v>
      </c>
      <c r="U5" s="1">
        <v>429362672</v>
      </c>
      <c r="V5" s="1">
        <v>1719426011</v>
      </c>
      <c r="W5" s="1">
        <f t="shared" si="0"/>
        <v>14348503951.360001</v>
      </c>
    </row>
    <row r="6" spans="1:23" x14ac:dyDescent="0.3">
      <c r="A6" s="7" t="s">
        <v>38</v>
      </c>
      <c r="B6" s="1">
        <v>180767578.28</v>
      </c>
      <c r="C6" s="1">
        <v>2099953383.23</v>
      </c>
      <c r="D6" s="1">
        <v>925070626</v>
      </c>
      <c r="E6" s="1">
        <v>1368672150.97</v>
      </c>
      <c r="F6" s="1">
        <v>1064213635.35</v>
      </c>
      <c r="G6" s="1">
        <v>678570522.32000005</v>
      </c>
      <c r="H6" s="1">
        <f>17938554.03+6201000+167949967.05</f>
        <v>192089521.08000001</v>
      </c>
      <c r="I6" s="1">
        <v>150269410.81999999</v>
      </c>
      <c r="J6" s="1">
        <v>12903854.49</v>
      </c>
      <c r="K6" s="1">
        <v>154059789.50999999</v>
      </c>
      <c r="L6" s="1">
        <v>82286152.709999993</v>
      </c>
      <c r="M6" s="1">
        <v>157361919.44</v>
      </c>
      <c r="N6" s="1">
        <v>1047623.28</v>
      </c>
      <c r="O6" s="1">
        <v>0</v>
      </c>
      <c r="P6" s="1">
        <v>1637500</v>
      </c>
      <c r="Q6" s="1">
        <v>125889252.98999999</v>
      </c>
      <c r="R6" s="1">
        <v>423140.29</v>
      </c>
      <c r="S6" s="1">
        <v>0</v>
      </c>
      <c r="T6" s="1">
        <v>0</v>
      </c>
      <c r="U6" s="1">
        <v>1105937093</v>
      </c>
      <c r="V6" s="1">
        <v>64309398</v>
      </c>
      <c r="W6" s="1">
        <f t="shared" si="0"/>
        <v>8365462551.7599993</v>
      </c>
    </row>
    <row r="7" spans="1:23" x14ac:dyDescent="0.3">
      <c r="A7" s="7" t="s">
        <v>39</v>
      </c>
      <c r="B7" s="1">
        <v>0</v>
      </c>
      <c r="C7" s="1">
        <v>13633.62</v>
      </c>
      <c r="D7" s="1">
        <v>276478059</v>
      </c>
      <c r="E7" s="1">
        <v>197288.97</v>
      </c>
      <c r="F7" s="1">
        <v>58244218.369999997</v>
      </c>
      <c r="G7" s="1">
        <v>0</v>
      </c>
      <c r="H7" s="1">
        <v>12346000</v>
      </c>
      <c r="I7" s="1">
        <v>0</v>
      </c>
      <c r="J7" s="1">
        <v>600000</v>
      </c>
      <c r="K7" s="1">
        <v>15701457.35</v>
      </c>
      <c r="L7" s="1">
        <v>828</v>
      </c>
      <c r="M7" s="1">
        <v>0</v>
      </c>
      <c r="N7" s="1">
        <v>104814119.44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6000000</v>
      </c>
      <c r="W7" s="1">
        <f t="shared" si="0"/>
        <v>474395604.75000006</v>
      </c>
    </row>
    <row r="8" spans="1:23" x14ac:dyDescent="0.3">
      <c r="A8" s="7" t="s">
        <v>40</v>
      </c>
      <c r="B8" s="1">
        <v>345560.06</v>
      </c>
      <c r="C8" s="1">
        <v>118979.29</v>
      </c>
      <c r="D8" s="1">
        <v>85823</v>
      </c>
      <c r="E8" s="1">
        <v>5621685.7699999996</v>
      </c>
      <c r="F8" s="1">
        <v>0</v>
      </c>
      <c r="G8" s="1">
        <v>0</v>
      </c>
      <c r="H8" s="1">
        <v>347320.55</v>
      </c>
      <c r="I8" s="1">
        <v>0</v>
      </c>
      <c r="J8" s="1">
        <v>156817.59</v>
      </c>
      <c r="K8" s="1">
        <v>31884.54</v>
      </c>
      <c r="L8" s="1">
        <v>29233.18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15969.8</v>
      </c>
      <c r="U8" s="1">
        <v>0</v>
      </c>
      <c r="V8" s="1">
        <v>3046881</v>
      </c>
      <c r="W8" s="1">
        <f t="shared" si="0"/>
        <v>9800154.7799999975</v>
      </c>
    </row>
    <row r="9" spans="1:23" x14ac:dyDescent="0.3">
      <c r="A9" s="7" t="s">
        <v>24</v>
      </c>
      <c r="B9" s="1">
        <v>5208318038.1400003</v>
      </c>
      <c r="C9" s="1">
        <v>96057224.049999997</v>
      </c>
      <c r="D9" s="1">
        <v>20199924641</v>
      </c>
      <c r="E9" s="1">
        <v>1915347817.2</v>
      </c>
      <c r="F9" s="1">
        <v>2044708616.6099999</v>
      </c>
      <c r="G9" s="1">
        <v>5182687081.6400003</v>
      </c>
      <c r="H9" s="1">
        <v>882372417.49000001</v>
      </c>
      <c r="I9" s="1">
        <v>2395625735.8299999</v>
      </c>
      <c r="J9" s="1">
        <v>4925041494.9499998</v>
      </c>
      <c r="K9" s="1">
        <v>5738245665.2799997</v>
      </c>
      <c r="L9" s="1">
        <v>1290981665.74</v>
      </c>
      <c r="M9" s="1">
        <v>1964326827.51</v>
      </c>
      <c r="N9" s="1">
        <v>4009087528.1799998</v>
      </c>
      <c r="O9" s="1">
        <v>0</v>
      </c>
      <c r="P9" s="1">
        <v>596422404.61000001</v>
      </c>
      <c r="Q9" s="1">
        <v>7710354848.0299997</v>
      </c>
      <c r="R9" s="1">
        <v>8006098752.7399998</v>
      </c>
      <c r="S9" s="1">
        <v>0</v>
      </c>
      <c r="T9" s="1">
        <v>3451824521.6199999</v>
      </c>
      <c r="U9" s="1">
        <v>3471683472</v>
      </c>
      <c r="V9" s="1">
        <v>1979976631</v>
      </c>
      <c r="W9" s="1">
        <f t="shared" si="0"/>
        <v>81069085383.619995</v>
      </c>
    </row>
    <row r="10" spans="1:23" x14ac:dyDescent="0.3">
      <c r="A10" s="25" t="s">
        <v>113</v>
      </c>
      <c r="B10" s="1">
        <v>3002470554.8400002</v>
      </c>
      <c r="C10" s="1">
        <v>0</v>
      </c>
      <c r="D10" s="1">
        <v>9499805224</v>
      </c>
      <c r="E10" s="1">
        <v>0</v>
      </c>
      <c r="F10" s="1">
        <v>0</v>
      </c>
      <c r="G10" s="1">
        <v>3243383848.5700002</v>
      </c>
      <c r="H10" s="1">
        <v>0</v>
      </c>
      <c r="I10" s="1">
        <v>1116045209.6500001</v>
      </c>
      <c r="J10" s="1">
        <v>3436115379.6799998</v>
      </c>
      <c r="K10" s="1">
        <v>2732584981.3899999</v>
      </c>
      <c r="L10" s="1">
        <v>207482474.56999999</v>
      </c>
      <c r="M10" s="1">
        <v>1067474019.46</v>
      </c>
      <c r="N10" s="1">
        <v>1818436578.23</v>
      </c>
      <c r="O10" s="1">
        <v>0</v>
      </c>
      <c r="P10" s="1">
        <v>121243296.31999999</v>
      </c>
      <c r="Q10" s="1">
        <v>501815639.16000003</v>
      </c>
      <c r="R10" s="1">
        <v>276475606.27999997</v>
      </c>
      <c r="S10" s="1">
        <v>0</v>
      </c>
      <c r="T10" s="1">
        <v>811845308.60000002</v>
      </c>
      <c r="U10" s="1">
        <v>865770414</v>
      </c>
      <c r="V10" s="1">
        <v>0</v>
      </c>
      <c r="W10" s="1">
        <f t="shared" ref="W10:W11" si="1">SUM(B10:V10)</f>
        <v>28700948534.749992</v>
      </c>
    </row>
    <row r="11" spans="1:23" x14ac:dyDescent="0.3">
      <c r="A11" s="25" t="s">
        <v>114</v>
      </c>
      <c r="B11" s="1">
        <v>671398730.77999997</v>
      </c>
      <c r="C11" s="1">
        <v>37668021.549999997</v>
      </c>
      <c r="D11" s="1">
        <v>1718520853</v>
      </c>
      <c r="E11" s="1">
        <v>564920899.99000001</v>
      </c>
      <c r="F11" s="1">
        <v>411319246.12</v>
      </c>
      <c r="G11" s="1">
        <v>1624095026.3299999</v>
      </c>
      <c r="H11" s="1">
        <v>438248458.93000001</v>
      </c>
      <c r="I11" s="1">
        <v>597085281.89999998</v>
      </c>
      <c r="J11" s="1">
        <v>772708950.92999995</v>
      </c>
      <c r="K11" s="1">
        <v>882236378.42999995</v>
      </c>
      <c r="L11" s="1">
        <v>352473058.26999998</v>
      </c>
      <c r="M11" s="1">
        <v>562941383.59000003</v>
      </c>
      <c r="N11" s="1">
        <v>1064392943.11</v>
      </c>
      <c r="O11" s="1">
        <v>0</v>
      </c>
      <c r="P11" s="1">
        <v>234870330.41</v>
      </c>
      <c r="Q11" s="1">
        <v>3817311931.6700001</v>
      </c>
      <c r="R11" s="1">
        <v>6279333515.7200003</v>
      </c>
      <c r="S11" s="1">
        <v>0</v>
      </c>
      <c r="T11" s="1">
        <v>1284002986.53</v>
      </c>
      <c r="U11" s="1">
        <v>2088799383</v>
      </c>
      <c r="V11" s="1">
        <v>1196675877</v>
      </c>
      <c r="W11" s="1">
        <f t="shared" si="1"/>
        <v>24599003257.259998</v>
      </c>
    </row>
    <row r="12" spans="1:23" x14ac:dyDescent="0.3">
      <c r="A12" s="7" t="s">
        <v>41</v>
      </c>
      <c r="B12" s="1">
        <v>0</v>
      </c>
      <c r="C12" s="1">
        <v>4825.08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275816.68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4002094.87</v>
      </c>
      <c r="S12" s="1">
        <v>0</v>
      </c>
      <c r="T12" s="1">
        <v>0</v>
      </c>
      <c r="U12" s="1">
        <v>0</v>
      </c>
      <c r="V12" s="1">
        <v>0</v>
      </c>
      <c r="W12" s="1">
        <f t="shared" ref="W12:W22" si="2">SUM(B12:V12)</f>
        <v>4282736.63</v>
      </c>
    </row>
    <row r="13" spans="1:23" x14ac:dyDescent="0.3">
      <c r="A13" s="7" t="s">
        <v>25</v>
      </c>
      <c r="B13" s="1">
        <v>172003631.49000001</v>
      </c>
      <c r="C13" s="1">
        <v>265799339.34</v>
      </c>
      <c r="D13" s="1">
        <v>5210219443</v>
      </c>
      <c r="E13" s="1">
        <v>1370330875.28</v>
      </c>
      <c r="F13" s="1">
        <v>1498258300.24</v>
      </c>
      <c r="G13" s="1">
        <v>914504470.48000002</v>
      </c>
      <c r="H13" s="1">
        <v>2341217994.0700002</v>
      </c>
      <c r="I13" s="1">
        <v>353411421.56</v>
      </c>
      <c r="J13" s="1">
        <v>517021793.00999999</v>
      </c>
      <c r="K13" s="1">
        <v>289450823.55000001</v>
      </c>
      <c r="L13" s="1">
        <v>388252957.89999998</v>
      </c>
      <c r="M13" s="1">
        <v>566371116.54999995</v>
      </c>
      <c r="N13" s="1">
        <v>767354767</v>
      </c>
      <c r="O13" s="1">
        <v>0</v>
      </c>
      <c r="P13" s="1">
        <v>127101570.34</v>
      </c>
      <c r="Q13" s="1">
        <v>854619005.14999998</v>
      </c>
      <c r="R13" s="1">
        <v>1922393065.01</v>
      </c>
      <c r="S13" s="1">
        <v>0</v>
      </c>
      <c r="T13" s="1">
        <v>382050436.68000001</v>
      </c>
      <c r="U13" s="1">
        <v>1128423882</v>
      </c>
      <c r="V13" s="1">
        <v>907687661</v>
      </c>
      <c r="W13" s="1">
        <f t="shared" si="2"/>
        <v>19976472553.649998</v>
      </c>
    </row>
    <row r="14" spans="1:23" x14ac:dyDescent="0.3">
      <c r="A14" s="7" t="s">
        <v>26</v>
      </c>
      <c r="B14" s="1">
        <v>0</v>
      </c>
      <c r="C14" s="1">
        <v>29880261.98</v>
      </c>
      <c r="D14" s="1">
        <v>36156878</v>
      </c>
      <c r="E14" s="1">
        <v>240377.15</v>
      </c>
      <c r="F14" s="1">
        <v>0</v>
      </c>
      <c r="G14" s="1">
        <v>1303626.8700000001</v>
      </c>
      <c r="H14" s="1">
        <v>598779.82999999996</v>
      </c>
      <c r="I14" s="1">
        <v>311781740</v>
      </c>
      <c r="J14" s="1">
        <v>0</v>
      </c>
      <c r="K14" s="1">
        <v>51940.97</v>
      </c>
      <c r="L14" s="1">
        <v>0</v>
      </c>
      <c r="M14" s="1">
        <v>0</v>
      </c>
      <c r="N14" s="1">
        <v>461156937.39999998</v>
      </c>
      <c r="O14" s="1">
        <v>0</v>
      </c>
      <c r="P14" s="1">
        <v>0</v>
      </c>
      <c r="Q14" s="1">
        <v>1341512.69</v>
      </c>
      <c r="R14" s="1">
        <v>49081.95</v>
      </c>
      <c r="S14" s="1">
        <v>0</v>
      </c>
      <c r="T14" s="1">
        <v>6659.39</v>
      </c>
      <c r="U14" s="1">
        <v>2676959</v>
      </c>
      <c r="V14" s="1">
        <v>213621</v>
      </c>
      <c r="W14" s="1">
        <f t="shared" si="2"/>
        <v>845458376.23000014</v>
      </c>
    </row>
    <row r="15" spans="1:23" x14ac:dyDescent="0.3">
      <c r="A15" s="4" t="s">
        <v>27</v>
      </c>
      <c r="B15" s="5">
        <f t="shared" ref="B15" si="3">SUM(B2:B9)+SUM(B12:B14)</f>
        <v>6828559075.2399998</v>
      </c>
      <c r="C15" s="5">
        <f t="shared" ref="C15" si="4">SUM(C2:C9)+SUM(C12:C14)</f>
        <v>4047853998.3200002</v>
      </c>
      <c r="D15" s="5">
        <f t="shared" ref="D15" si="5">SUM(D2:D9)+SUM(D12:D14)</f>
        <v>30001579540</v>
      </c>
      <c r="E15" s="5">
        <f t="shared" ref="E15:F15" si="6">SUM(E2:E9)+SUM(E12:E14)</f>
        <v>14937300368.449999</v>
      </c>
      <c r="F15" s="5">
        <f t="shared" si="6"/>
        <v>9420776592.6200008</v>
      </c>
      <c r="G15" s="5">
        <f t="shared" ref="G15" si="7">SUM(G2:G9)+SUM(G12:G14)</f>
        <v>10310150275.99</v>
      </c>
      <c r="H15" s="5">
        <f t="shared" ref="H15" si="8">SUM(H2:H9)+SUM(H12:H14)</f>
        <v>5714794684.0799999</v>
      </c>
      <c r="I15" s="5">
        <f t="shared" ref="I15" si="9">SUM(I2:I9)+SUM(I12:I14)</f>
        <v>3367594057.96</v>
      </c>
      <c r="J15" s="5">
        <v>6532906149.3999996</v>
      </c>
      <c r="K15" s="5">
        <f t="shared" ref="K15" si="10">SUM(K2:K9)+SUM(K12:K14)</f>
        <v>7322695314.6999998</v>
      </c>
      <c r="L15" s="5">
        <f t="shared" ref="L15" si="11">SUM(L2:L9)+SUM(L12:L14)</f>
        <v>2722511327.4499998</v>
      </c>
      <c r="M15" s="5">
        <f t="shared" ref="M15" si="12">SUM(M2:M9)+SUM(M12:M14)</f>
        <v>3524175188.4800005</v>
      </c>
      <c r="N15" s="5">
        <f t="shared" ref="N15" si="13">SUM(N2:N9)+SUM(N12:N14)</f>
        <v>6611204392.7999992</v>
      </c>
      <c r="O15" s="5">
        <f t="shared" ref="O15:S15" si="14">SUM(O2:O9)+SUM(O12:O14)</f>
        <v>0</v>
      </c>
      <c r="P15" s="5">
        <f t="shared" ref="P15" si="15">SUM(P2:P9)+SUM(P12:P14)</f>
        <v>1017243207.61</v>
      </c>
      <c r="Q15" s="23">
        <f t="shared" ref="Q15" si="16">SUM(Q2:Q9)+SUM(Q12:Q14)</f>
        <v>9958133298.9400005</v>
      </c>
      <c r="R15" s="5">
        <f t="shared" ref="R15" si="17">SUM(R2:R9)+SUM(R12:R14)</f>
        <v>12152009833.719999</v>
      </c>
      <c r="S15" s="5">
        <f t="shared" si="14"/>
        <v>0</v>
      </c>
      <c r="T15" s="5">
        <f t="shared" ref="T15" si="18">SUM(T2:T9)+SUM(T12:T14)</f>
        <v>6895644749.1999998</v>
      </c>
      <c r="U15" s="5">
        <f t="shared" ref="U15" si="19">SUM(U2:U9)+SUM(U12:U14)</f>
        <v>8147387140</v>
      </c>
      <c r="V15" s="5">
        <f t="shared" ref="V15" si="20">SUM(V2:V9)+SUM(V12:V14)</f>
        <v>6497788267</v>
      </c>
      <c r="W15" s="5">
        <f t="shared" si="2"/>
        <v>156010307461.95999</v>
      </c>
    </row>
    <row r="16" spans="1:23" x14ac:dyDescent="0.3">
      <c r="A16" s="7" t="s">
        <v>28</v>
      </c>
      <c r="B16" s="1">
        <v>-8054402285.4300003</v>
      </c>
      <c r="C16" s="1">
        <v>2078849697.9200001</v>
      </c>
      <c r="D16" s="1">
        <v>210621519</v>
      </c>
      <c r="E16" s="1">
        <v>1214065158.01</v>
      </c>
      <c r="F16" s="1">
        <v>656679235.79999995</v>
      </c>
      <c r="G16" s="1">
        <v>421067548.60000002</v>
      </c>
      <c r="H16" s="1">
        <v>3092686058.98</v>
      </c>
      <c r="I16" s="1">
        <v>-462672814.49000001</v>
      </c>
      <c r="J16" s="1">
        <v>-2160500543.52</v>
      </c>
      <c r="K16" s="1">
        <v>-3349560887.0100002</v>
      </c>
      <c r="L16" s="1">
        <v>9360304.9499999993</v>
      </c>
      <c r="M16" s="1">
        <v>-490943839.97000003</v>
      </c>
      <c r="N16" s="1">
        <v>-20942154147.290001</v>
      </c>
      <c r="O16" s="1">
        <v>0</v>
      </c>
      <c r="P16" s="1">
        <v>482045906</v>
      </c>
      <c r="Q16" s="1">
        <v>-13740239814.309999</v>
      </c>
      <c r="R16" s="1">
        <v>2463629016.6700001</v>
      </c>
      <c r="S16" s="1">
        <v>0</v>
      </c>
      <c r="T16" s="1">
        <v>1354601242.95</v>
      </c>
      <c r="U16" s="1">
        <v>-8336717311</v>
      </c>
      <c r="V16" s="1">
        <v>402261202</v>
      </c>
      <c r="W16" s="1">
        <f t="shared" si="2"/>
        <v>-45151324752.140007</v>
      </c>
    </row>
    <row r="17" spans="1:23" x14ac:dyDescent="0.3">
      <c r="A17" s="7" t="s">
        <v>29</v>
      </c>
      <c r="B17" s="1">
        <v>609743472.09000003</v>
      </c>
      <c r="C17" s="1">
        <v>543557053.99000001</v>
      </c>
      <c r="D17" s="1">
        <v>1527366779</v>
      </c>
      <c r="E17" s="1">
        <v>11292985256.1</v>
      </c>
      <c r="F17" s="1">
        <v>6037374489.8999996</v>
      </c>
      <c r="G17" s="1">
        <v>859902210.00999999</v>
      </c>
      <c r="H17" s="1">
        <v>1426419289.45</v>
      </c>
      <c r="I17" s="1">
        <v>4705807.79</v>
      </c>
      <c r="J17" s="1">
        <v>493526460.33999997</v>
      </c>
      <c r="K17" s="1">
        <v>801114147.77999997</v>
      </c>
      <c r="L17" s="1">
        <v>335988560.43000001</v>
      </c>
      <c r="M17" s="1">
        <v>822202683.92999995</v>
      </c>
      <c r="N17" s="1">
        <v>-1680108985.1500001</v>
      </c>
      <c r="O17" s="1">
        <v>0</v>
      </c>
      <c r="P17" s="1">
        <v>-497694735.56</v>
      </c>
      <c r="Q17" s="1">
        <v>1542920517.5799999</v>
      </c>
      <c r="R17" s="1">
        <v>748547520.15999997</v>
      </c>
      <c r="S17" s="1">
        <v>0</v>
      </c>
      <c r="T17" s="1">
        <v>327770007.94999999</v>
      </c>
      <c r="U17" s="1">
        <v>1893667895</v>
      </c>
      <c r="V17" s="1">
        <v>910056916</v>
      </c>
      <c r="W17" s="1">
        <f t="shared" si="2"/>
        <v>28000045346.790001</v>
      </c>
    </row>
    <row r="18" spans="1:23" x14ac:dyDescent="0.3">
      <c r="A18" s="7" t="s">
        <v>30</v>
      </c>
      <c r="B18" s="1">
        <v>590110561</v>
      </c>
      <c r="C18" s="1">
        <v>210330806.93000001</v>
      </c>
      <c r="D18" s="1">
        <v>498245724</v>
      </c>
      <c r="E18" s="1">
        <v>110505431.26000001</v>
      </c>
      <c r="F18" s="1">
        <v>367171473.19999999</v>
      </c>
      <c r="G18" s="1">
        <v>592084149.08000004</v>
      </c>
      <c r="H18" s="1">
        <v>-305767094.88</v>
      </c>
      <c r="I18" s="1">
        <v>147239770.13</v>
      </c>
      <c r="J18" s="1">
        <v>393746670.19</v>
      </c>
      <c r="K18" s="1">
        <v>267757254.91</v>
      </c>
      <c r="L18" s="1">
        <v>36894388.829999998</v>
      </c>
      <c r="M18" s="1">
        <v>183349703.24000001</v>
      </c>
      <c r="N18" s="1">
        <v>505475705.50999999</v>
      </c>
      <c r="O18" s="1">
        <v>0</v>
      </c>
      <c r="P18" s="1">
        <v>-87915503.680000007</v>
      </c>
      <c r="Q18" s="1">
        <v>1251200365.9100001</v>
      </c>
      <c r="R18" s="1">
        <v>346619117.30000001</v>
      </c>
      <c r="S18" s="1">
        <v>0</v>
      </c>
      <c r="T18" s="1">
        <v>-57563832.399999999</v>
      </c>
      <c r="U18" s="1">
        <v>690993879</v>
      </c>
      <c r="V18" s="1">
        <v>136034179</v>
      </c>
      <c r="W18" s="1">
        <f t="shared" si="2"/>
        <v>5876512748.5300016</v>
      </c>
    </row>
    <row r="19" spans="1:23" x14ac:dyDescent="0.3">
      <c r="A19" s="7" t="s">
        <v>31</v>
      </c>
      <c r="B19" s="1">
        <v>416940521.73000002</v>
      </c>
      <c r="C19" s="1">
        <v>18589308.300000001</v>
      </c>
      <c r="D19" s="1">
        <f>243689688+381657</f>
        <v>244071345</v>
      </c>
      <c r="E19" s="1">
        <f>52705378.21+108828125.73</f>
        <v>161533503.94</v>
      </c>
      <c r="F19" s="1">
        <f>246021917.94</f>
        <v>246021917.94</v>
      </c>
      <c r="G19" s="1">
        <v>90119757.359999999</v>
      </c>
      <c r="H19" s="1">
        <v>346294782.29000002</v>
      </c>
      <c r="I19" s="1">
        <v>53364774.840000004</v>
      </c>
      <c r="J19" s="1">
        <v>22369055.5</v>
      </c>
      <c r="K19" s="1">
        <v>41936225.640000001</v>
      </c>
      <c r="L19" s="1">
        <v>54555458.93</v>
      </c>
      <c r="M19" s="1">
        <v>117997642.92</v>
      </c>
      <c r="N19" s="1">
        <v>47884355.960000001</v>
      </c>
      <c r="O19" s="1">
        <v>0</v>
      </c>
      <c r="P19" s="1">
        <v>334974133.49000001</v>
      </c>
      <c r="Q19" s="1">
        <v>854597685.96000004</v>
      </c>
      <c r="R19" s="1">
        <v>685807246.23000002</v>
      </c>
      <c r="S19" s="1">
        <v>0</v>
      </c>
      <c r="T19" s="1">
        <v>344497717.51999998</v>
      </c>
      <c r="U19" s="1">
        <v>228336553</v>
      </c>
      <c r="V19" s="1">
        <v>802446734</v>
      </c>
      <c r="W19" s="1">
        <f t="shared" si="2"/>
        <v>5112338720.5500002</v>
      </c>
    </row>
    <row r="20" spans="1:23" x14ac:dyDescent="0.3">
      <c r="A20" s="7" t="s">
        <v>20</v>
      </c>
      <c r="B20" s="1">
        <v>5511019908.4899998</v>
      </c>
      <c r="C20" s="1">
        <v>722435159.22000003</v>
      </c>
      <c r="D20" s="1">
        <v>12104813095</v>
      </c>
      <c r="E20" s="1">
        <v>218933870.28</v>
      </c>
      <c r="F20" s="1">
        <v>127580523.8</v>
      </c>
      <c r="G20" s="1">
        <v>5932918734.3299999</v>
      </c>
      <c r="H20" s="1">
        <f>245930347.39+780000+122601016.66</f>
        <v>369311364.04999995</v>
      </c>
      <c r="I20" s="1">
        <v>2002065873.71</v>
      </c>
      <c r="J20" s="1">
        <v>4493696310.2399998</v>
      </c>
      <c r="K20" s="1">
        <v>4715902608.1300001</v>
      </c>
      <c r="L20" s="1">
        <v>1483863796.46</v>
      </c>
      <c r="M20" s="1">
        <v>1754313067.48</v>
      </c>
      <c r="N20" s="1">
        <v>21928629228.759998</v>
      </c>
      <c r="O20" s="1">
        <v>0</v>
      </c>
      <c r="P20" s="1">
        <v>307048118.74000001</v>
      </c>
      <c r="Q20" s="1">
        <v>9314700269.4200001</v>
      </c>
      <c r="R20" s="1">
        <v>2768862551.8099999</v>
      </c>
      <c r="S20" s="1">
        <v>0</v>
      </c>
      <c r="T20" s="1">
        <v>1496936745.79</v>
      </c>
      <c r="U20" s="1">
        <v>8808399159</v>
      </c>
      <c r="V20" s="1">
        <v>1341618383</v>
      </c>
      <c r="W20" s="1">
        <f t="shared" si="2"/>
        <v>85403048767.709991</v>
      </c>
    </row>
    <row r="21" spans="1:23" x14ac:dyDescent="0.3">
      <c r="A21" s="7" t="s">
        <v>32</v>
      </c>
      <c r="B21" s="1">
        <v>62608452.329999998</v>
      </c>
      <c r="C21" s="1">
        <v>78655569.760000005</v>
      </c>
      <c r="D21" s="1">
        <v>99991747</v>
      </c>
      <c r="E21" s="1">
        <v>290382165.43000001</v>
      </c>
      <c r="F21" s="1">
        <v>188174521.44999999</v>
      </c>
      <c r="G21" s="1">
        <v>210965854.94999999</v>
      </c>
      <c r="H21" s="1">
        <v>106931117.77</v>
      </c>
      <c r="I21" s="1">
        <v>51026774.210000001</v>
      </c>
      <c r="J21" s="1">
        <v>85706800.810000002</v>
      </c>
      <c r="K21" s="1">
        <v>312785.48</v>
      </c>
      <c r="L21" s="1">
        <v>38105187.549999997</v>
      </c>
      <c r="M21" s="1">
        <v>161233210.53</v>
      </c>
      <c r="N21" s="1">
        <v>342867065.19</v>
      </c>
      <c r="O21" s="1">
        <v>0</v>
      </c>
      <c r="P21" s="1">
        <v>50900444.770000003</v>
      </c>
      <c r="Q21" s="1">
        <v>55514351.479999997</v>
      </c>
      <c r="R21" s="1">
        <v>255304893.91999999</v>
      </c>
      <c r="S21" s="1">
        <v>0</v>
      </c>
      <c r="T21" s="1">
        <v>231400317.65000001</v>
      </c>
      <c r="U21" s="1">
        <v>258880591</v>
      </c>
      <c r="V21" s="1">
        <v>46924961</v>
      </c>
      <c r="W21" s="1">
        <f t="shared" si="2"/>
        <v>2615886812.2800002</v>
      </c>
    </row>
    <row r="22" spans="1:23" x14ac:dyDescent="0.3">
      <c r="A22" s="7" t="s">
        <v>33</v>
      </c>
      <c r="B22" s="1">
        <v>7304346651.7200003</v>
      </c>
      <c r="C22" s="1">
        <v>137057029.80000001</v>
      </c>
      <c r="D22" s="1">
        <v>10829778548</v>
      </c>
      <c r="E22" s="1">
        <v>1121950824.9400001</v>
      </c>
      <c r="F22" s="1">
        <v>1715137017.03</v>
      </c>
      <c r="G22" s="1">
        <v>1683226409.6199999</v>
      </c>
      <c r="H22" s="1">
        <f>H23+H24+5386208.3+28460821.52</f>
        <v>637050519.04999995</v>
      </c>
      <c r="I22" s="1">
        <v>986427525.90999997</v>
      </c>
      <c r="J22" s="1">
        <v>1856993113.99</v>
      </c>
      <c r="K22" s="1">
        <v>1762965755.96</v>
      </c>
      <c r="L22" s="1">
        <v>349076270.58999997</v>
      </c>
      <c r="M22" s="1">
        <v>575379807.79999995</v>
      </c>
      <c r="N22" s="1">
        <v>3795278004.8099999</v>
      </c>
      <c r="O22" s="1">
        <v>0</v>
      </c>
      <c r="P22" s="1">
        <v>265610027.31</v>
      </c>
      <c r="Q22" s="1">
        <v>5613228406.04</v>
      </c>
      <c r="R22" s="1">
        <v>4184663208.9699998</v>
      </c>
      <c r="S22" s="1">
        <v>0</v>
      </c>
      <c r="T22" s="1">
        <v>2347051852.4699998</v>
      </c>
      <c r="U22" s="1">
        <v>1847378033</v>
      </c>
      <c r="V22" s="1">
        <v>1241189215</v>
      </c>
      <c r="W22" s="1">
        <f t="shared" si="2"/>
        <v>48253788222.010002</v>
      </c>
    </row>
    <row r="23" spans="1:23" x14ac:dyDescent="0.3">
      <c r="A23" s="25" t="s">
        <v>115</v>
      </c>
      <c r="B23" s="1">
        <v>3211772174.6199999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3041029075.1799998</v>
      </c>
      <c r="O23" s="1">
        <v>0</v>
      </c>
      <c r="P23" s="1">
        <v>0</v>
      </c>
      <c r="Q23" s="1">
        <v>1456931828.54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f t="shared" ref="W23:W24" si="21">SUM(B23:V23)</f>
        <v>7709733078.3399992</v>
      </c>
    </row>
    <row r="24" spans="1:23" x14ac:dyDescent="0.3">
      <c r="A24" s="25" t="s">
        <v>116</v>
      </c>
      <c r="B24" s="1">
        <v>3369765099.9000001</v>
      </c>
      <c r="C24" s="1">
        <v>119189419.06</v>
      </c>
      <c r="D24" s="1">
        <v>10572677194</v>
      </c>
      <c r="E24" s="1">
        <v>1002612304.12</v>
      </c>
      <c r="F24" s="1">
        <v>1412449604.9400001</v>
      </c>
      <c r="G24" s="1">
        <v>1446275447.3399999</v>
      </c>
      <c r="H24" s="1">
        <f>603203489.23</f>
        <v>603203489.23000002</v>
      </c>
      <c r="I24" s="1">
        <v>887750352.86000001</v>
      </c>
      <c r="J24" s="1">
        <v>1636472333.1099999</v>
      </c>
      <c r="K24" s="1">
        <v>1604068147.8800001</v>
      </c>
      <c r="L24" s="1">
        <v>321926349.92000002</v>
      </c>
      <c r="M24" s="1">
        <v>535312116.12</v>
      </c>
      <c r="N24" s="1">
        <v>476169091.94</v>
      </c>
      <c r="O24" s="1">
        <v>0</v>
      </c>
      <c r="P24" s="1">
        <v>245216597.43000001</v>
      </c>
      <c r="Q24" s="1">
        <v>3477908005.9400001</v>
      </c>
      <c r="R24" s="1">
        <v>3591515837.6799998</v>
      </c>
      <c r="S24" s="1">
        <v>0</v>
      </c>
      <c r="T24" s="1">
        <v>2172266502.5700002</v>
      </c>
      <c r="U24" s="1">
        <v>1704189105</v>
      </c>
      <c r="V24" s="1">
        <v>1092741049</v>
      </c>
      <c r="W24" s="1">
        <f t="shared" si="21"/>
        <v>36271708048.039993</v>
      </c>
    </row>
    <row r="25" spans="1:23" x14ac:dyDescent="0.3">
      <c r="A25" s="7" t="s">
        <v>34</v>
      </c>
      <c r="B25" s="1">
        <v>100684003.75</v>
      </c>
      <c r="C25" s="1">
        <v>32961128.010000002</v>
      </c>
      <c r="D25" s="1">
        <v>2908271986</v>
      </c>
      <c r="E25" s="1">
        <f>43621023.16+472766622.51</f>
        <v>516387645.66999996</v>
      </c>
      <c r="F25" s="1">
        <v>82637413.5</v>
      </c>
      <c r="G25" s="1">
        <f>512102274.3+513001.13</f>
        <v>512615275.43000001</v>
      </c>
      <c r="H25" s="1">
        <f>24203148.36+1749079.58+15872735.21</f>
        <v>41824963.149999999</v>
      </c>
      <c r="I25" s="1">
        <v>409476862.81999999</v>
      </c>
      <c r="J25" s="1">
        <v>167255778.99000001</v>
      </c>
      <c r="K25" s="1">
        <f>2141645050.08+23625</f>
        <v>2141668675.0799999</v>
      </c>
      <c r="L25" s="1">
        <f>32249298.42+6064.67</f>
        <v>32255363.090000004</v>
      </c>
      <c r="M25" s="1">
        <v>297730045.43000001</v>
      </c>
      <c r="N25" s="1">
        <v>1917947474.1400001</v>
      </c>
      <c r="O25" s="1">
        <v>0</v>
      </c>
      <c r="P25" s="1">
        <v>162274816.53999999</v>
      </c>
      <c r="Q25" s="1">
        <v>3085319484.4899998</v>
      </c>
      <c r="R25" s="1">
        <v>148812125.71000001</v>
      </c>
      <c r="S25" s="1">
        <v>0</v>
      </c>
      <c r="T25" s="1">
        <v>329039203.62</v>
      </c>
      <c r="U25" s="1">
        <v>1597919760</v>
      </c>
      <c r="V25" s="1">
        <v>1261219515</v>
      </c>
      <c r="W25" s="1">
        <f>SUM(B25:V25)</f>
        <v>15746301520.42</v>
      </c>
    </row>
    <row r="26" spans="1:23" x14ac:dyDescent="0.3">
      <c r="A26" s="7" t="s">
        <v>35</v>
      </c>
      <c r="B26" s="1">
        <v>287507789.56999999</v>
      </c>
      <c r="C26" s="1">
        <v>225418244.38999999</v>
      </c>
      <c r="D26" s="1">
        <v>1578418797</v>
      </c>
      <c r="E26" s="1">
        <v>10556512.82</v>
      </c>
      <c r="F26" s="1">
        <v>0</v>
      </c>
      <c r="G26" s="1">
        <v>7250336.6100000003</v>
      </c>
      <c r="H26" s="1">
        <v>43684.22</v>
      </c>
      <c r="I26" s="1">
        <v>175959483.03999999</v>
      </c>
      <c r="J26" s="1">
        <v>1180112502.8599999</v>
      </c>
      <c r="K26" s="1">
        <v>940598748.73000002</v>
      </c>
      <c r="L26" s="1">
        <v>382411996.62</v>
      </c>
      <c r="M26" s="1">
        <v>102912867.12</v>
      </c>
      <c r="N26" s="1">
        <v>695385691.40999997</v>
      </c>
      <c r="O26" s="1">
        <v>0</v>
      </c>
      <c r="P26" s="1">
        <v>0</v>
      </c>
      <c r="Q26" s="1">
        <v>1980892032.3699999</v>
      </c>
      <c r="R26" s="1">
        <v>549764152.95000005</v>
      </c>
      <c r="S26" s="1">
        <v>0</v>
      </c>
      <c r="T26" s="1">
        <v>521911493.64999998</v>
      </c>
      <c r="U26" s="1">
        <v>1158528581</v>
      </c>
      <c r="V26" s="1">
        <v>356037162</v>
      </c>
      <c r="W26" s="1">
        <f>SUM(B26:V26)</f>
        <v>10153710076.359999</v>
      </c>
    </row>
    <row r="27" spans="1:23" x14ac:dyDescent="0.3">
      <c r="A27" s="21" t="s">
        <v>36</v>
      </c>
      <c r="B27" s="2">
        <f>SUM(B16:B26)-B23-B24</f>
        <v>6828559075.2499981</v>
      </c>
      <c r="C27" s="2">
        <f t="shared" ref="C27" si="22">SUM(C16:C26)-C23-C24</f>
        <v>4047853998.3200002</v>
      </c>
      <c r="D27" s="2">
        <f t="shared" ref="D27" si="23">SUM(D16:D26)-D23-D24</f>
        <v>30001579540</v>
      </c>
      <c r="E27" s="2">
        <f t="shared" ref="E27" si="24">SUM(E16:E26)-E23-E24</f>
        <v>14937300368.450003</v>
      </c>
      <c r="F27" s="2">
        <f t="shared" ref="F27" si="25">SUM(F16:F26)-F23-F24</f>
        <v>9420776592.6199989</v>
      </c>
      <c r="G27" s="2">
        <f t="shared" ref="G27" si="26">SUM(G16:G26)-G23-G24</f>
        <v>10310150275.990002</v>
      </c>
      <c r="H27" s="2">
        <f t="shared" ref="H27" si="27">SUM(H16:H26)-H23-H24</f>
        <v>5714794684.0799999</v>
      </c>
      <c r="I27" s="2">
        <f t="shared" ref="I27" si="28">SUM(I16:I26)-I23-I24</f>
        <v>3367594057.96</v>
      </c>
      <c r="J27" s="2">
        <v>6532906149.3999996</v>
      </c>
      <c r="K27" s="2">
        <f t="shared" ref="K27" si="29">SUM(K16:K26)-K23-K24</f>
        <v>7322695314.6999998</v>
      </c>
      <c r="L27" s="2">
        <f t="shared" ref="L27" si="30">SUM(L16:L26)-L23-L24</f>
        <v>2722511327.4499998</v>
      </c>
      <c r="M27" s="2">
        <f t="shared" ref="M27" si="31">SUM(M16:M26)-M23-M24</f>
        <v>3524175188.48</v>
      </c>
      <c r="N27" s="2">
        <f t="shared" ref="N27" si="32">SUM(N16:N26)-N23-N24</f>
        <v>6611204393.3399935</v>
      </c>
      <c r="O27" s="2">
        <f t="shared" ref="O27:S27" si="33">SUM(O16:O26)-O23-O24</f>
        <v>0</v>
      </c>
      <c r="P27" s="2">
        <f t="shared" ref="P27" si="34">SUM(P16:P26)-P23-P24</f>
        <v>1017243207.6099999</v>
      </c>
      <c r="Q27" s="2">
        <f t="shared" ref="Q27:R27" si="35">SUM(Q16:Q26)-Q23-Q24</f>
        <v>9958133298.9399967</v>
      </c>
      <c r="R27" s="2">
        <f t="shared" si="35"/>
        <v>12152009833.719999</v>
      </c>
      <c r="S27" s="2">
        <f t="shared" si="33"/>
        <v>0</v>
      </c>
      <c r="T27" s="2">
        <f t="shared" ref="T27:U27" si="36">SUM(T16:T26)-T23-T24</f>
        <v>6895644749.2000008</v>
      </c>
      <c r="U27" s="2">
        <f t="shared" si="36"/>
        <v>8147387140</v>
      </c>
      <c r="V27" s="2">
        <f t="shared" ref="V27" si="37">SUM(V16:V26)-V23-V24</f>
        <v>6497788267</v>
      </c>
      <c r="W27" s="2">
        <f>SUM(B27:V27)</f>
        <v>156010307462.51001</v>
      </c>
    </row>
    <row r="28" spans="1:23" x14ac:dyDescent="0.3">
      <c r="A28" s="4" t="s">
        <v>71</v>
      </c>
      <c r="B28" s="5">
        <f t="shared" ref="B28:I28" si="38">B16+B17+B18</f>
        <v>-6854548252.3400002</v>
      </c>
      <c r="C28" s="5">
        <f t="shared" si="38"/>
        <v>2832737558.8399997</v>
      </c>
      <c r="D28" s="5">
        <f t="shared" si="38"/>
        <v>2236234022</v>
      </c>
      <c r="E28" s="5">
        <f>E16+E17+E18</f>
        <v>12617555845.370001</v>
      </c>
      <c r="F28" s="5">
        <f>F16+F17+F18</f>
        <v>7061225198.8999996</v>
      </c>
      <c r="G28" s="5">
        <f t="shared" si="38"/>
        <v>1873053907.6900001</v>
      </c>
      <c r="H28" s="5">
        <f t="shared" si="38"/>
        <v>4213338253.5500002</v>
      </c>
      <c r="I28" s="5">
        <f t="shared" si="38"/>
        <v>-310727236.56999999</v>
      </c>
      <c r="J28" s="5">
        <v>-1273227412.99</v>
      </c>
      <c r="K28" s="5">
        <f>K16+K17+K18</f>
        <v>-2280689484.3200006</v>
      </c>
      <c r="L28" s="5">
        <f>L16+L17+L18</f>
        <v>382243254.20999998</v>
      </c>
      <c r="M28" s="5">
        <f>M16+M17+M18</f>
        <v>514608547.19999993</v>
      </c>
      <c r="N28" s="5">
        <f>N16+N17+N18</f>
        <v>-22116787426.930004</v>
      </c>
      <c r="O28" s="5">
        <f t="shared" ref="O28:S28" si="39">O16+O17+O18</f>
        <v>0</v>
      </c>
      <c r="P28" s="5">
        <f>P16+P17+P18</f>
        <v>-103564333.24000001</v>
      </c>
      <c r="Q28" s="5">
        <f>Q16+Q17+Q18</f>
        <v>-10946118930.82</v>
      </c>
      <c r="R28" s="5">
        <f>R16+R17+R18</f>
        <v>3558795654.1300001</v>
      </c>
      <c r="S28" s="5">
        <f t="shared" si="39"/>
        <v>0</v>
      </c>
      <c r="T28" s="5">
        <f>T16+T17+T18</f>
        <v>1624807418.5</v>
      </c>
      <c r="U28" s="5">
        <f>U16+U17+U18</f>
        <v>-5752055537</v>
      </c>
      <c r="V28" s="5">
        <f>V16+V17+V18</f>
        <v>1448352297</v>
      </c>
      <c r="W28" s="5">
        <f>SUM(B28:V28)</f>
        <v>-11274766656.820007</v>
      </c>
    </row>
    <row r="29" spans="1:23" x14ac:dyDescent="0.3">
      <c r="A29" s="25" t="s">
        <v>82</v>
      </c>
      <c r="B29" s="26">
        <f t="shared" ref="B29:M29" si="40">B28/B27*100</f>
        <v>-100.38059533209869</v>
      </c>
      <c r="C29" s="26">
        <f t="shared" si="40"/>
        <v>69.981218690587255</v>
      </c>
      <c r="D29" s="26">
        <f t="shared" si="40"/>
        <v>7.4537209583199164</v>
      </c>
      <c r="E29" s="26">
        <f t="shared" ref="E29" si="41">E28/E27*100</f>
        <v>84.470122004243294</v>
      </c>
      <c r="F29" s="26">
        <f t="shared" si="40"/>
        <v>74.953748552232796</v>
      </c>
      <c r="G29" s="26">
        <f t="shared" si="40"/>
        <v>18.167086391087018</v>
      </c>
      <c r="H29" s="26">
        <f t="shared" si="40"/>
        <v>73.726852607449132</v>
      </c>
      <c r="I29" s="26">
        <f t="shared" si="40"/>
        <v>-9.2269801888838821</v>
      </c>
      <c r="J29" s="26">
        <f t="shared" si="40"/>
        <v>-19.489449012013388</v>
      </c>
      <c r="K29" s="26">
        <f t="shared" si="40"/>
        <v>-31.145492012232346</v>
      </c>
      <c r="L29" s="26">
        <f t="shared" si="40"/>
        <v>14.040097844809429</v>
      </c>
      <c r="M29" s="26">
        <f t="shared" si="40"/>
        <v>14.602240798986896</v>
      </c>
      <c r="N29" s="26">
        <f t="shared" ref="N29" si="42">N28/N27*100</f>
        <v>-334.53492149191533</v>
      </c>
      <c r="O29" s="26" t="e">
        <f t="shared" ref="O29" si="43">O28/O27*100</f>
        <v>#DIV/0!</v>
      </c>
      <c r="P29" s="26">
        <f t="shared" ref="P29" si="44">P28/P27*100</f>
        <v>-10.180882257579592</v>
      </c>
      <c r="Q29" s="26">
        <f t="shared" ref="Q29" si="45">Q28/Q27*100</f>
        <v>-109.92139392214372</v>
      </c>
      <c r="R29" s="26">
        <f t="shared" ref="R29" si="46">R28/R27*100</f>
        <v>29.285654824396843</v>
      </c>
      <c r="S29" s="26" t="e">
        <f t="shared" ref="S29" si="47">S28/S27*100</f>
        <v>#DIV/0!</v>
      </c>
      <c r="T29" s="26">
        <f t="shared" ref="T29" si="48">T28/T27*100</f>
        <v>23.562806345099236</v>
      </c>
      <c r="U29" s="26">
        <f t="shared" ref="U29" si="49">U28/U27*100</f>
        <v>-70.600002653120526</v>
      </c>
      <c r="V29" s="26">
        <f t="shared" ref="V29" si="50">V28/V27*100</f>
        <v>22.289927548973488</v>
      </c>
      <c r="W29" s="26">
        <f>W28/W27*100</f>
        <v>-7.226937014741404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showGridLines="0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B75" sqref="B75"/>
    </sheetView>
  </sheetViews>
  <sheetFormatPr defaultRowHeight="14.4" x14ac:dyDescent="0.3"/>
  <cols>
    <col min="1" max="1" width="51.6640625" style="7" bestFit="1" customWidth="1"/>
    <col min="2" max="2" width="14.5546875" bestFit="1" customWidth="1"/>
    <col min="3" max="3" width="12.6640625" bestFit="1" customWidth="1"/>
    <col min="4" max="7" width="13.88671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4.5546875" bestFit="1" customWidth="1"/>
    <col min="15" max="15" width="11.109375" bestFit="1" customWidth="1"/>
    <col min="16" max="16" width="12.6640625" bestFit="1" customWidth="1"/>
    <col min="17" max="17" width="14.5546875" bestFit="1" customWidth="1"/>
    <col min="18" max="18" width="13.88671875" bestFit="1" customWidth="1"/>
    <col min="19" max="19" width="11.109375" bestFit="1" customWidth="1"/>
    <col min="20" max="20" width="12.6640625" bestFit="1" customWidth="1"/>
    <col min="21" max="22" width="13.88671875" bestFit="1" customWidth="1"/>
    <col min="23" max="23" width="14.5546875" bestFit="1" customWidth="1"/>
  </cols>
  <sheetData>
    <row r="1" spans="1:23" x14ac:dyDescent="0.3">
      <c r="A1" s="22"/>
      <c r="B1" s="38" t="s">
        <v>93</v>
      </c>
      <c r="C1" s="38" t="s">
        <v>94</v>
      </c>
      <c r="D1" s="38" t="s">
        <v>95</v>
      </c>
      <c r="E1" s="38" t="s">
        <v>119</v>
      </c>
      <c r="F1" s="38" t="s">
        <v>120</v>
      </c>
      <c r="G1" s="38" t="s">
        <v>96</v>
      </c>
      <c r="H1" s="38" t="s">
        <v>97</v>
      </c>
      <c r="I1" s="38" t="s">
        <v>98</v>
      </c>
      <c r="J1" s="38" t="s">
        <v>99</v>
      </c>
      <c r="K1" s="38" t="s">
        <v>100</v>
      </c>
      <c r="L1" s="38" t="s">
        <v>101</v>
      </c>
      <c r="M1" s="38" t="s">
        <v>102</v>
      </c>
      <c r="N1" s="38" t="s">
        <v>103</v>
      </c>
      <c r="O1" s="38" t="s">
        <v>109</v>
      </c>
      <c r="P1" s="38" t="s">
        <v>110</v>
      </c>
      <c r="Q1" s="38" t="s">
        <v>104</v>
      </c>
      <c r="R1" s="38" t="s">
        <v>105</v>
      </c>
      <c r="S1" s="38" t="s">
        <v>111</v>
      </c>
      <c r="T1" s="38" t="s">
        <v>106</v>
      </c>
      <c r="U1" s="38" t="s">
        <v>107</v>
      </c>
      <c r="V1" s="38" t="s">
        <v>108</v>
      </c>
      <c r="W1" s="38" t="s">
        <v>83</v>
      </c>
    </row>
    <row r="2" spans="1:23" x14ac:dyDescent="0.3">
      <c r="A2" s="7" t="s">
        <v>21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f t="shared" ref="W2:W9" si="0">SUM(B2:V2)</f>
        <v>0</v>
      </c>
    </row>
    <row r="3" spans="1:23" x14ac:dyDescent="0.3">
      <c r="A3" s="7" t="s">
        <v>22</v>
      </c>
      <c r="B3" s="1">
        <v>42836859.340000004</v>
      </c>
      <c r="C3" s="1">
        <v>6226736.4900000002</v>
      </c>
      <c r="D3" s="1">
        <v>97157338</v>
      </c>
      <c r="E3" s="1">
        <v>1181389029.6900001</v>
      </c>
      <c r="F3" s="1">
        <v>60221719.840000004</v>
      </c>
      <c r="G3" s="1">
        <v>131254028.28</v>
      </c>
      <c r="H3" s="1">
        <v>54786735.43</v>
      </c>
      <c r="I3" s="1">
        <v>9647032.0199999996</v>
      </c>
      <c r="J3" s="1">
        <v>82257368.340000004</v>
      </c>
      <c r="K3" s="1">
        <v>35117008.049999997</v>
      </c>
      <c r="L3" s="1">
        <v>10475255.710000001</v>
      </c>
      <c r="M3" s="1">
        <v>24279316.079999998</v>
      </c>
      <c r="N3" s="1">
        <v>34972821.32</v>
      </c>
      <c r="O3" s="1">
        <v>0</v>
      </c>
      <c r="P3" s="1">
        <v>20084161.710000001</v>
      </c>
      <c r="Q3" s="1">
        <v>91523885.459999993</v>
      </c>
      <c r="R3" s="1">
        <v>0</v>
      </c>
      <c r="S3" s="1">
        <v>0</v>
      </c>
      <c r="T3" s="1">
        <v>21482669.579999998</v>
      </c>
      <c r="U3" s="1">
        <v>68704431</v>
      </c>
      <c r="V3" s="1">
        <v>52140876</v>
      </c>
      <c r="W3" s="1">
        <f t="shared" si="0"/>
        <v>2024557272.3399997</v>
      </c>
    </row>
    <row r="4" spans="1:23" x14ac:dyDescent="0.3">
      <c r="A4" s="7" t="s">
        <v>23</v>
      </c>
      <c r="B4" s="1">
        <v>786665911.46000004</v>
      </c>
      <c r="C4" s="1">
        <v>1077932767.3</v>
      </c>
      <c r="D4" s="1">
        <v>1183519810</v>
      </c>
      <c r="E4" s="1">
        <v>8013248102.4899998</v>
      </c>
      <c r="F4" s="1">
        <v>2473382073.7199998</v>
      </c>
      <c r="G4" s="1">
        <v>1866066540.5899999</v>
      </c>
      <c r="H4" s="1">
        <v>1185582094.78</v>
      </c>
      <c r="I4" s="1">
        <v>112083782.13</v>
      </c>
      <c r="J4" s="1">
        <v>498687481.37</v>
      </c>
      <c r="K4" s="1">
        <v>863811863.49000001</v>
      </c>
      <c r="L4" s="1">
        <v>364445386.35000002</v>
      </c>
      <c r="M4" s="1">
        <v>423750740.92000002</v>
      </c>
      <c r="N4" s="1">
        <v>1040925057.76</v>
      </c>
      <c r="O4" s="1">
        <v>0</v>
      </c>
      <c r="P4" s="1">
        <v>28050731.43</v>
      </c>
      <c r="Q4" s="1">
        <v>1145270087.75</v>
      </c>
      <c r="R4" s="1">
        <v>909990617.02999997</v>
      </c>
      <c r="S4" s="1">
        <v>0</v>
      </c>
      <c r="T4" s="1">
        <v>3196496658.5900002</v>
      </c>
      <c r="U4" s="1">
        <v>2138212948</v>
      </c>
      <c r="V4" s="1">
        <v>1293362776</v>
      </c>
      <c r="W4" s="1">
        <f t="shared" si="0"/>
        <v>28601485431.159996</v>
      </c>
    </row>
    <row r="5" spans="1:23" x14ac:dyDescent="0.3">
      <c r="A5" s="7" t="s">
        <v>37</v>
      </c>
      <c r="B5" s="1">
        <v>391965638.93000001</v>
      </c>
      <c r="C5" s="1">
        <v>501171549.68000001</v>
      </c>
      <c r="D5" s="1">
        <v>2043633876</v>
      </c>
      <c r="E5" s="1">
        <v>2238770871.54</v>
      </c>
      <c r="F5" s="1">
        <v>2092641550.3599999</v>
      </c>
      <c r="G5" s="1">
        <v>1895193832.8199999</v>
      </c>
      <c r="H5" s="1">
        <f>565091828.41+86732119.33+10000</f>
        <v>651833947.74000001</v>
      </c>
      <c r="I5" s="1">
        <v>40466981.82</v>
      </c>
      <c r="J5" s="1">
        <v>396926098.66000003</v>
      </c>
      <c r="K5" s="1">
        <v>274334691.62</v>
      </c>
      <c r="L5" s="1">
        <v>589300210.71000004</v>
      </c>
      <c r="M5" s="1">
        <v>341778349.63</v>
      </c>
      <c r="N5" s="1">
        <v>178663028.68000001</v>
      </c>
      <c r="O5" s="1">
        <v>0</v>
      </c>
      <c r="P5" s="1">
        <v>239982280.33000001</v>
      </c>
      <c r="Q5" s="1">
        <v>169815931.28999999</v>
      </c>
      <c r="R5" s="1">
        <v>1091041814.23</v>
      </c>
      <c r="S5" s="1">
        <v>0</v>
      </c>
      <c r="T5" s="1">
        <v>54003163.68</v>
      </c>
      <c r="U5" s="1">
        <v>472367468</v>
      </c>
      <c r="V5" s="1">
        <v>1646536452</v>
      </c>
      <c r="W5" s="1">
        <f t="shared" si="0"/>
        <v>15310427737.720001</v>
      </c>
    </row>
    <row r="6" spans="1:23" x14ac:dyDescent="0.3">
      <c r="A6" s="7" t="s">
        <v>38</v>
      </c>
      <c r="B6" s="1">
        <v>254026111.18000001</v>
      </c>
      <c r="C6" s="1">
        <v>2072804678.5699999</v>
      </c>
      <c r="D6" s="1">
        <v>738348527</v>
      </c>
      <c r="E6" s="1">
        <v>1177520006.01</v>
      </c>
      <c r="F6" s="1">
        <v>1097094062.29</v>
      </c>
      <c r="G6" s="1">
        <v>644112223.97000003</v>
      </c>
      <c r="H6" s="1">
        <f>5732518.77+6201000+156969525.22</f>
        <v>168903043.99000001</v>
      </c>
      <c r="I6" s="1">
        <v>161469946.16999999</v>
      </c>
      <c r="J6" s="1">
        <v>28403854.489999998</v>
      </c>
      <c r="K6" s="1">
        <v>151177625.56999999</v>
      </c>
      <c r="L6" s="1">
        <v>95707757.079999998</v>
      </c>
      <c r="M6" s="1">
        <v>157687341</v>
      </c>
      <c r="N6" s="1">
        <v>4443478.2300000004</v>
      </c>
      <c r="O6" s="1">
        <v>0</v>
      </c>
      <c r="P6" s="1">
        <v>3275000</v>
      </c>
      <c r="Q6" s="1">
        <v>139391612.75999999</v>
      </c>
      <c r="R6" s="1">
        <v>2079517.52</v>
      </c>
      <c r="S6" s="1">
        <v>0</v>
      </c>
      <c r="T6" s="1">
        <v>0</v>
      </c>
      <c r="U6" s="1">
        <v>1023215857</v>
      </c>
      <c r="V6" s="1">
        <v>39814722</v>
      </c>
      <c r="W6" s="1">
        <f t="shared" si="0"/>
        <v>7959475364.8299999</v>
      </c>
    </row>
    <row r="7" spans="1:23" x14ac:dyDescent="0.3">
      <c r="A7" s="7" t="s">
        <v>39</v>
      </c>
      <c r="B7" s="1">
        <v>0</v>
      </c>
      <c r="C7" s="1">
        <v>357160.2</v>
      </c>
      <c r="D7" s="1">
        <v>280455263</v>
      </c>
      <c r="E7" s="1">
        <v>0</v>
      </c>
      <c r="F7" s="1">
        <v>58480176.219999999</v>
      </c>
      <c r="G7" s="1">
        <v>0</v>
      </c>
      <c r="H7" s="1">
        <v>12346000</v>
      </c>
      <c r="I7" s="1">
        <v>0</v>
      </c>
      <c r="J7" s="1">
        <v>600000</v>
      </c>
      <c r="K7" s="1">
        <v>15393058.949999999</v>
      </c>
      <c r="L7" s="1">
        <v>828</v>
      </c>
      <c r="M7" s="1">
        <v>0</v>
      </c>
      <c r="N7" s="1">
        <v>147965819.11000001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6000000</v>
      </c>
      <c r="W7" s="1">
        <f t="shared" si="0"/>
        <v>521598305.47999996</v>
      </c>
    </row>
    <row r="8" spans="1:23" x14ac:dyDescent="0.3">
      <c r="A8" s="7" t="s">
        <v>40</v>
      </c>
      <c r="B8" s="1">
        <v>284043.82</v>
      </c>
      <c r="C8" s="1">
        <v>89031.14</v>
      </c>
      <c r="D8" s="1">
        <v>83164</v>
      </c>
      <c r="E8" s="1">
        <v>6659705.2999999998</v>
      </c>
      <c r="F8" s="1">
        <v>1829922.75</v>
      </c>
      <c r="G8" s="1">
        <v>112574.13</v>
      </c>
      <c r="H8" s="1">
        <v>344169.79</v>
      </c>
      <c r="I8" s="1">
        <v>0</v>
      </c>
      <c r="J8" s="1">
        <v>170632.14</v>
      </c>
      <c r="K8" s="1">
        <v>120818.41</v>
      </c>
      <c r="L8" s="1">
        <v>2601.94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44263.65</v>
      </c>
      <c r="U8" s="1">
        <v>0</v>
      </c>
      <c r="V8" s="1">
        <v>2772245</v>
      </c>
      <c r="W8" s="1">
        <f t="shared" si="0"/>
        <v>12513172.07</v>
      </c>
    </row>
    <row r="9" spans="1:23" x14ac:dyDescent="0.3">
      <c r="A9" s="7" t="s">
        <v>24</v>
      </c>
      <c r="B9" s="1">
        <v>6078095146.2600002</v>
      </c>
      <c r="C9" s="1">
        <v>147589885.84</v>
      </c>
      <c r="D9" s="1">
        <v>16185293785</v>
      </c>
      <c r="E9" s="1">
        <v>1579821758.6500001</v>
      </c>
      <c r="F9" s="1">
        <v>1800092297.1500001</v>
      </c>
      <c r="G9" s="1">
        <v>4945075608.3400002</v>
      </c>
      <c r="H9" s="1">
        <v>1071024025.67</v>
      </c>
      <c r="I9" s="1">
        <v>1994898221.8299999</v>
      </c>
      <c r="J9" s="1">
        <v>4444286410.1599998</v>
      </c>
      <c r="K9" s="1">
        <v>5032855349.21</v>
      </c>
      <c r="L9" s="1">
        <v>1004227806</v>
      </c>
      <c r="M9" s="1">
        <v>1655949284.4300001</v>
      </c>
      <c r="N9" s="1">
        <v>4072332483.9000001</v>
      </c>
      <c r="O9" s="1">
        <v>0</v>
      </c>
      <c r="P9" s="1">
        <v>743160898.71000004</v>
      </c>
      <c r="Q9" s="1">
        <v>9148448730.4300003</v>
      </c>
      <c r="R9" s="1">
        <v>8765357205.25</v>
      </c>
      <c r="S9" s="1">
        <v>0</v>
      </c>
      <c r="T9" s="1">
        <v>3863362648.77</v>
      </c>
      <c r="U9" s="1">
        <v>4432453967</v>
      </c>
      <c r="V9" s="1">
        <v>2131282410</v>
      </c>
      <c r="W9" s="1">
        <f t="shared" si="0"/>
        <v>79095607922.599991</v>
      </c>
    </row>
    <row r="10" spans="1:23" x14ac:dyDescent="0.3">
      <c r="A10" s="25" t="s">
        <v>113</v>
      </c>
      <c r="B10" s="1">
        <v>3484592128.4699998</v>
      </c>
      <c r="C10" s="1">
        <v>0</v>
      </c>
      <c r="D10" s="1">
        <v>8865550446</v>
      </c>
      <c r="E10" s="1">
        <v>0</v>
      </c>
      <c r="F10" s="1">
        <v>0</v>
      </c>
      <c r="G10" s="1">
        <v>3007594983.5700002</v>
      </c>
      <c r="H10" s="1">
        <v>0</v>
      </c>
      <c r="I10" s="1">
        <v>1001418637.54</v>
      </c>
      <c r="J10" s="1">
        <v>3144265314.8099999</v>
      </c>
      <c r="K10" s="1">
        <v>2420911012.8000002</v>
      </c>
      <c r="L10" s="1">
        <v>171875477.56</v>
      </c>
      <c r="M10" s="1">
        <v>968953479.72000003</v>
      </c>
      <c r="N10" s="1">
        <v>1798069157.27</v>
      </c>
      <c r="O10" s="1">
        <v>0</v>
      </c>
      <c r="P10" s="1">
        <v>130142519.64</v>
      </c>
      <c r="Q10" s="1">
        <v>451789797.69</v>
      </c>
      <c r="R10" s="1">
        <v>412605143.99000001</v>
      </c>
      <c r="S10" s="1">
        <v>0</v>
      </c>
      <c r="T10" s="1">
        <v>1284388140.3599999</v>
      </c>
      <c r="U10" s="1">
        <v>926361306</v>
      </c>
      <c r="V10" s="1">
        <v>106456954</v>
      </c>
      <c r="W10" s="1">
        <f t="shared" ref="W10:W11" si="1">SUM(B10:V10)</f>
        <v>28174974499.420002</v>
      </c>
    </row>
    <row r="11" spans="1:23" x14ac:dyDescent="0.3">
      <c r="A11" s="25" t="s">
        <v>114</v>
      </c>
      <c r="B11" s="1">
        <v>538603404.83000004</v>
      </c>
      <c r="C11" s="1">
        <v>30740232.829999998</v>
      </c>
      <c r="D11" s="1">
        <v>1373613620</v>
      </c>
      <c r="E11" s="1">
        <v>568531253.74000001</v>
      </c>
      <c r="F11" s="1">
        <v>433124378.16000003</v>
      </c>
      <c r="G11" s="1">
        <v>1334642251.4400001</v>
      </c>
      <c r="H11" s="1">
        <v>413203750.30000001</v>
      </c>
      <c r="I11" s="1">
        <v>492076023.81</v>
      </c>
      <c r="J11" s="1">
        <v>590735347.49000001</v>
      </c>
      <c r="K11" s="1">
        <v>652860453.67999995</v>
      </c>
      <c r="L11" s="1">
        <v>288430457.92000002</v>
      </c>
      <c r="M11" s="1">
        <v>455182407.86000001</v>
      </c>
      <c r="N11" s="1">
        <v>1033289563.6</v>
      </c>
      <c r="O11" s="1">
        <v>0</v>
      </c>
      <c r="P11" s="1">
        <v>228839744.06</v>
      </c>
      <c r="Q11" s="1">
        <v>4365457344.7299995</v>
      </c>
      <c r="R11" s="1">
        <v>6658116698.9799995</v>
      </c>
      <c r="S11" s="1">
        <v>0</v>
      </c>
      <c r="T11" s="1">
        <v>1394078142.9300001</v>
      </c>
      <c r="U11" s="1">
        <v>2490173035</v>
      </c>
      <c r="V11" s="1">
        <v>1268726549</v>
      </c>
      <c r="W11" s="1">
        <f t="shared" si="1"/>
        <v>24610424660.360001</v>
      </c>
    </row>
    <row r="12" spans="1:23" x14ac:dyDescent="0.3">
      <c r="A12" s="7" t="s">
        <v>41</v>
      </c>
      <c r="B12" s="1">
        <v>0</v>
      </c>
      <c r="C12" s="1">
        <v>4825.08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18794528.719999999</v>
      </c>
      <c r="L12" s="1">
        <v>2035723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3967054.87</v>
      </c>
      <c r="S12" s="1">
        <v>0</v>
      </c>
      <c r="T12" s="1">
        <v>0</v>
      </c>
      <c r="U12" s="1">
        <v>0</v>
      </c>
      <c r="V12" s="1">
        <v>0</v>
      </c>
      <c r="W12" s="1">
        <f t="shared" ref="W12:W22" si="2">SUM(B12:V12)</f>
        <v>24802131.669999998</v>
      </c>
    </row>
    <row r="13" spans="1:23" x14ac:dyDescent="0.3">
      <c r="A13" s="7" t="s">
        <v>25</v>
      </c>
      <c r="B13" s="1">
        <v>303635275.74000001</v>
      </c>
      <c r="C13" s="1">
        <v>265536222.91999999</v>
      </c>
      <c r="D13" s="1">
        <v>7237721535</v>
      </c>
      <c r="E13" s="1">
        <v>1490825979.8800001</v>
      </c>
      <c r="F13" s="1">
        <v>1783374059.8</v>
      </c>
      <c r="G13" s="1">
        <v>1186966420.01</v>
      </c>
      <c r="H13" s="1">
        <v>2331435991.8400002</v>
      </c>
      <c r="I13" s="1">
        <v>389028816.55000001</v>
      </c>
      <c r="J13" s="1">
        <v>740533887.20000005</v>
      </c>
      <c r="K13" s="1">
        <v>400584172.39999998</v>
      </c>
      <c r="L13" s="1">
        <v>480435264.16000003</v>
      </c>
      <c r="M13" s="1">
        <v>768812021.11000001</v>
      </c>
      <c r="N13" s="1">
        <v>827914131.08000004</v>
      </c>
      <c r="O13" s="1">
        <v>0</v>
      </c>
      <c r="P13" s="1">
        <v>57018021.619999997</v>
      </c>
      <c r="Q13" s="1">
        <v>511863225.74000001</v>
      </c>
      <c r="R13" s="1">
        <v>1842507933.6400001</v>
      </c>
      <c r="S13" s="1">
        <v>0</v>
      </c>
      <c r="T13" s="1">
        <v>455053153.58999997</v>
      </c>
      <c r="U13" s="1">
        <v>316822405</v>
      </c>
      <c r="V13" s="1">
        <v>805865751</v>
      </c>
      <c r="W13" s="1">
        <f t="shared" si="2"/>
        <v>22195934268.280003</v>
      </c>
    </row>
    <row r="14" spans="1:23" x14ac:dyDescent="0.3">
      <c r="A14" s="7" t="s">
        <v>26</v>
      </c>
      <c r="B14" s="1">
        <v>0</v>
      </c>
      <c r="C14" s="1">
        <v>16056053.619999999</v>
      </c>
      <c r="D14" s="1">
        <v>6386093</v>
      </c>
      <c r="E14" s="1">
        <v>155838.84</v>
      </c>
      <c r="F14" s="1">
        <v>3800347.27</v>
      </c>
      <c r="G14" s="1">
        <v>818632.28</v>
      </c>
      <c r="H14" s="1">
        <v>149068.54</v>
      </c>
      <c r="I14" s="1">
        <v>265930148.59999999</v>
      </c>
      <c r="J14" s="1">
        <v>0</v>
      </c>
      <c r="K14" s="1">
        <v>342036.06</v>
      </c>
      <c r="L14" s="1">
        <v>0</v>
      </c>
      <c r="M14" s="1">
        <v>0</v>
      </c>
      <c r="N14" s="1">
        <v>419233579.45999998</v>
      </c>
      <c r="O14" s="1">
        <v>0</v>
      </c>
      <c r="P14" s="1">
        <v>2642.83</v>
      </c>
      <c r="Q14" s="1">
        <v>3704797.49</v>
      </c>
      <c r="R14" s="1">
        <v>16932.689999999999</v>
      </c>
      <c r="S14" s="1">
        <v>0</v>
      </c>
      <c r="T14" s="1">
        <v>19709.12</v>
      </c>
      <c r="U14" s="1">
        <v>311007</v>
      </c>
      <c r="V14" s="1">
        <v>212724</v>
      </c>
      <c r="W14" s="1">
        <f t="shared" si="2"/>
        <v>717139610.80000007</v>
      </c>
    </row>
    <row r="15" spans="1:23" x14ac:dyDescent="0.3">
      <c r="A15" s="4" t="s">
        <v>27</v>
      </c>
      <c r="B15" s="5">
        <f>SUM(B2:B9)+SUM(B12:B14)</f>
        <v>7857508986.7299995</v>
      </c>
      <c r="C15" s="5">
        <f>SUM(C2:C9)+SUM(C12:C14)</f>
        <v>4087768910.8399997</v>
      </c>
      <c r="D15" s="5">
        <f>SUM(D2:D9)+SUM(D12:D14)</f>
        <v>27772599391</v>
      </c>
      <c r="E15" s="5">
        <f>SUM(E2:E9)+SUM(E12:E14)</f>
        <v>15688391292.4</v>
      </c>
      <c r="F15" s="5">
        <f>SUM(F2:F9)+SUM(F12:F14)</f>
        <v>9370916209.3999996</v>
      </c>
      <c r="G15" s="5">
        <f t="shared" ref="G15:N15" si="3">SUM(G2:G9)+SUM(G12:G14)</f>
        <v>10669599860.420002</v>
      </c>
      <c r="H15" s="5">
        <f t="shared" si="3"/>
        <v>5476405077.7800007</v>
      </c>
      <c r="I15" s="5">
        <f t="shared" si="3"/>
        <v>2973524929.1199999</v>
      </c>
      <c r="J15" s="5">
        <f t="shared" si="3"/>
        <v>6191865732.3599997</v>
      </c>
      <c r="K15" s="5">
        <f t="shared" si="3"/>
        <v>6792531152.4800005</v>
      </c>
      <c r="L15" s="5">
        <f t="shared" si="3"/>
        <v>2546630832.9499998</v>
      </c>
      <c r="M15" s="5">
        <f t="shared" si="3"/>
        <v>3372257053.1700001</v>
      </c>
      <c r="N15" s="5">
        <f t="shared" si="3"/>
        <v>6726450399.54</v>
      </c>
      <c r="O15" s="5">
        <f t="shared" ref="O15:S15" si="4">SUM(O2:O9)+SUM(O12:O14)</f>
        <v>0</v>
      </c>
      <c r="P15" s="5">
        <f t="shared" ref="P15" si="5">SUM(P2:P9)+SUM(P12:P14)</f>
        <v>1091573736.6300001</v>
      </c>
      <c r="Q15" s="5">
        <f>SUM(Q2:Q9)+SUM(Q12:Q14)</f>
        <v>11210018270.92</v>
      </c>
      <c r="R15" s="5">
        <f>SUM(R2:R9)+SUM(R12:R14)</f>
        <v>12614961075.230001</v>
      </c>
      <c r="S15" s="5">
        <f t="shared" si="4"/>
        <v>0</v>
      </c>
      <c r="T15" s="5">
        <f>SUM(T2:T9)+SUM(T12:T14)</f>
        <v>7590462266.9800005</v>
      </c>
      <c r="U15" s="5">
        <f>SUM(U2:U9)+SUM(U12:U14)</f>
        <v>8452088083</v>
      </c>
      <c r="V15" s="5">
        <f>SUM(V2:V9)+SUM(V12:V14)</f>
        <v>5977987956</v>
      </c>
      <c r="W15" s="5">
        <f t="shared" si="2"/>
        <v>156463541216.94998</v>
      </c>
    </row>
    <row r="16" spans="1:23" x14ac:dyDescent="0.3">
      <c r="A16" s="7" t="s">
        <v>28</v>
      </c>
      <c r="B16" s="1">
        <v>-8077799405.0600004</v>
      </c>
      <c r="C16" s="1">
        <v>2125784472.3299999</v>
      </c>
      <c r="D16" s="1">
        <v>210621519</v>
      </c>
      <c r="E16" s="1">
        <v>1265393975.0699999</v>
      </c>
      <c r="F16" s="1">
        <v>721460210.36000001</v>
      </c>
      <c r="G16" s="1">
        <v>421367477.20999998</v>
      </c>
      <c r="H16" s="1">
        <v>3028350585.5700002</v>
      </c>
      <c r="I16" s="1">
        <v>-462672814.49000001</v>
      </c>
      <c r="J16" s="1">
        <v>-1766753873.3299999</v>
      </c>
      <c r="K16" s="1">
        <v>-3216962229.46</v>
      </c>
      <c r="L16" s="1">
        <v>9360304.9499999993</v>
      </c>
      <c r="M16" s="1">
        <v>-490943839.97000003</v>
      </c>
      <c r="N16" s="1">
        <v>-20942154147.290001</v>
      </c>
      <c r="O16" s="1">
        <v>0</v>
      </c>
      <c r="P16" s="1">
        <v>482045906</v>
      </c>
      <c r="Q16" s="1">
        <v>-13571382728.34</v>
      </c>
      <c r="R16" s="1">
        <v>-31440368.640000001</v>
      </c>
      <c r="S16" s="1">
        <v>0</v>
      </c>
      <c r="T16" s="1">
        <v>1354601242.95</v>
      </c>
      <c r="U16" s="1">
        <v>-7645723432</v>
      </c>
      <c r="V16" s="1">
        <v>405326201</v>
      </c>
      <c r="W16" s="1">
        <f t="shared" si="2"/>
        <v>-46181520944.139999</v>
      </c>
    </row>
    <row r="17" spans="1:23" x14ac:dyDescent="0.3">
      <c r="A17" s="7" t="s">
        <v>29</v>
      </c>
      <c r="B17" s="1">
        <v>1209809478.25</v>
      </c>
      <c r="C17" s="1">
        <v>755610722.51999998</v>
      </c>
      <c r="D17" s="1">
        <v>2065930396</v>
      </c>
      <c r="E17" s="1">
        <v>12530346861.030001</v>
      </c>
      <c r="F17" s="1">
        <v>6090001347.7200003</v>
      </c>
      <c r="G17" s="1">
        <v>1588718827.5999999</v>
      </c>
      <c r="H17" s="1">
        <v>763062246.97000003</v>
      </c>
      <c r="I17" s="1">
        <v>151945577.91999999</v>
      </c>
      <c r="J17" s="1">
        <v>398838593.32999998</v>
      </c>
      <c r="K17" s="1">
        <v>933814493.55999994</v>
      </c>
      <c r="L17" s="1">
        <v>363330257.88999999</v>
      </c>
      <c r="M17" s="1">
        <v>938586899.41999996</v>
      </c>
      <c r="N17" s="1">
        <v>-1174633279.6300001</v>
      </c>
      <c r="O17" s="1">
        <v>0</v>
      </c>
      <c r="P17" s="1">
        <v>-585610239.24000001</v>
      </c>
      <c r="Q17" s="1">
        <v>2778815708.4699998</v>
      </c>
      <c r="R17" s="1">
        <v>749911344.38999999</v>
      </c>
      <c r="S17" s="1">
        <v>0</v>
      </c>
      <c r="T17" s="1">
        <v>787980398.63999999</v>
      </c>
      <c r="U17" s="1">
        <v>1901353878</v>
      </c>
      <c r="V17" s="1">
        <v>1033154353</v>
      </c>
      <c r="W17" s="1">
        <f t="shared" si="2"/>
        <v>33280967865.839996</v>
      </c>
    </row>
    <row r="18" spans="1:23" x14ac:dyDescent="0.3">
      <c r="A18" s="7" t="s">
        <v>30</v>
      </c>
      <c r="B18" s="1">
        <v>238704595.93000001</v>
      </c>
      <c r="C18" s="1">
        <v>11646594.99</v>
      </c>
      <c r="D18" s="1">
        <v>532951049</v>
      </c>
      <c r="E18" s="1">
        <v>171977332.71000001</v>
      </c>
      <c r="F18" s="1">
        <v>224359491.31999999</v>
      </c>
      <c r="G18" s="1">
        <v>245442254.71000001</v>
      </c>
      <c r="H18" s="1">
        <v>-25758920.780000001</v>
      </c>
      <c r="I18" s="1">
        <v>76835377.640000001</v>
      </c>
      <c r="J18" s="1">
        <v>457199862.11000001</v>
      </c>
      <c r="K18" s="1">
        <v>570845922.02999997</v>
      </c>
      <c r="L18" s="1">
        <v>59031603.990000002</v>
      </c>
      <c r="M18" s="1">
        <v>121762147.41</v>
      </c>
      <c r="N18" s="1">
        <v>541713829.25999999</v>
      </c>
      <c r="O18" s="1">
        <v>0</v>
      </c>
      <c r="P18" s="1">
        <v>5419746.6699999999</v>
      </c>
      <c r="Q18" s="1">
        <v>1261131446.21</v>
      </c>
      <c r="R18" s="1">
        <v>-52920901.390000001</v>
      </c>
      <c r="S18" s="1">
        <v>0</v>
      </c>
      <c r="T18" s="1">
        <v>133443744.34</v>
      </c>
      <c r="U18" s="1">
        <v>464618251</v>
      </c>
      <c r="V18" s="1">
        <v>494699368</v>
      </c>
      <c r="W18" s="1">
        <f t="shared" si="2"/>
        <v>5533102795.1499996</v>
      </c>
    </row>
    <row r="19" spans="1:23" x14ac:dyDescent="0.3">
      <c r="A19" s="7" t="s">
        <v>31</v>
      </c>
      <c r="B19" s="1">
        <v>440971091.94</v>
      </c>
      <c r="C19" s="1">
        <v>44955872.780000001</v>
      </c>
      <c r="D19" s="1">
        <f>161763224+222896</f>
        <v>161986120</v>
      </c>
      <c r="E19" s="1">
        <f>66130304.78+110065842.2</f>
        <v>176196146.98000002</v>
      </c>
      <c r="F19" s="1">
        <f>11918447.99+231607784.76</f>
        <v>243526232.75</v>
      </c>
      <c r="G19" s="1">
        <f>104784180.88+295049.01</f>
        <v>105079229.89</v>
      </c>
      <c r="H19" s="1">
        <v>354331684.68000001</v>
      </c>
      <c r="I19" s="1">
        <v>72826301.769999996</v>
      </c>
      <c r="J19" s="1">
        <v>48951560.5</v>
      </c>
      <c r="K19" s="1">
        <v>23716658.41</v>
      </c>
      <c r="L19" s="1">
        <v>57994521.18</v>
      </c>
      <c r="M19" s="1">
        <v>96906242.290000007</v>
      </c>
      <c r="N19" s="1">
        <v>37608400.159999996</v>
      </c>
      <c r="O19" s="1">
        <v>0</v>
      </c>
      <c r="P19" s="1">
        <v>331735911.24000001</v>
      </c>
      <c r="Q19" s="1">
        <v>565564738.64999998</v>
      </c>
      <c r="R19" s="1">
        <v>533375745.70999998</v>
      </c>
      <c r="S19" s="1">
        <v>0</v>
      </c>
      <c r="T19" s="1">
        <v>43551257.869999997</v>
      </c>
      <c r="U19" s="1">
        <v>416446012</v>
      </c>
      <c r="V19" s="1">
        <v>448050915</v>
      </c>
      <c r="W19" s="1">
        <f t="shared" si="2"/>
        <v>4203774643.8000007</v>
      </c>
    </row>
    <row r="20" spans="1:23" x14ac:dyDescent="0.3">
      <c r="A20" s="7" t="s">
        <v>20</v>
      </c>
      <c r="B20" s="1">
        <v>5429387367.0299997</v>
      </c>
      <c r="C20" s="1">
        <v>748261836.03999996</v>
      </c>
      <c r="D20" s="1">
        <v>12315732526</v>
      </c>
      <c r="E20" s="1">
        <v>151681730.69</v>
      </c>
      <c r="F20" s="1">
        <v>119614624.65000001</v>
      </c>
      <c r="G20" s="1">
        <v>5879650407.0799999</v>
      </c>
      <c r="H20" s="1">
        <f>200009049.54+650000+188941357.55</f>
        <v>389600407.09000003</v>
      </c>
      <c r="I20" s="1">
        <v>1873885533.1800001</v>
      </c>
      <c r="J20" s="1">
        <v>4393367167.25</v>
      </c>
      <c r="K20" s="1">
        <v>4580433710.3199997</v>
      </c>
      <c r="L20" s="1">
        <v>1229060127.1700001</v>
      </c>
      <c r="M20" s="1">
        <v>1574731382.1199999</v>
      </c>
      <c r="N20" s="1">
        <v>22647861763.709999</v>
      </c>
      <c r="O20" s="1">
        <v>0</v>
      </c>
      <c r="P20" s="1">
        <v>362995815.66000003</v>
      </c>
      <c r="Q20" s="1">
        <v>9028504469.0499992</v>
      </c>
      <c r="R20" s="1">
        <v>4147444609.1100001</v>
      </c>
      <c r="S20" s="1">
        <v>0</v>
      </c>
      <c r="T20" s="1">
        <v>1810571883.79</v>
      </c>
      <c r="U20" s="1">
        <v>8484133602</v>
      </c>
      <c r="V20" s="1">
        <v>1436721118</v>
      </c>
      <c r="W20" s="1">
        <f t="shared" si="2"/>
        <v>86603640079.940002</v>
      </c>
    </row>
    <row r="21" spans="1:23" x14ac:dyDescent="0.3">
      <c r="A21" s="7" t="s">
        <v>32</v>
      </c>
      <c r="B21" s="1">
        <v>40930918.770000003</v>
      </c>
      <c r="C21" s="1">
        <v>54434113.549999997</v>
      </c>
      <c r="D21" s="1">
        <v>115821074</v>
      </c>
      <c r="E21" s="1">
        <v>188735976.47</v>
      </c>
      <c r="F21" s="1">
        <v>156382310.53999999</v>
      </c>
      <c r="G21" s="1">
        <v>267772535.69</v>
      </c>
      <c r="H21" s="1">
        <v>116852802.16</v>
      </c>
      <c r="I21" s="1">
        <v>52941058.829999998</v>
      </c>
      <c r="J21" s="1">
        <v>91228320.25</v>
      </c>
      <c r="K21" s="1">
        <v>592849.69999999995</v>
      </c>
      <c r="L21" s="1">
        <v>30333315.699999999</v>
      </c>
      <c r="M21" s="1">
        <v>189343077.86000001</v>
      </c>
      <c r="N21" s="1">
        <v>176029855.68000001</v>
      </c>
      <c r="O21" s="1">
        <v>0</v>
      </c>
      <c r="P21" s="1">
        <v>43746232.659999996</v>
      </c>
      <c r="Q21" s="1">
        <v>48678506.469999999</v>
      </c>
      <c r="R21" s="1">
        <v>188194640.94999999</v>
      </c>
      <c r="S21" s="1">
        <v>0</v>
      </c>
      <c r="T21" s="1">
        <v>224201280.90000001</v>
      </c>
      <c r="U21" s="1">
        <v>215730319</v>
      </c>
      <c r="V21" s="1">
        <v>38031440</v>
      </c>
      <c r="W21" s="1">
        <f t="shared" si="2"/>
        <v>2239980629.1800003</v>
      </c>
    </row>
    <row r="22" spans="1:23" x14ac:dyDescent="0.3">
      <c r="A22" s="7" t="s">
        <v>33</v>
      </c>
      <c r="B22" s="1">
        <v>8035718596.2700005</v>
      </c>
      <c r="C22" s="1">
        <v>79312750.790000007</v>
      </c>
      <c r="D22" s="1">
        <v>7734760751</v>
      </c>
      <c r="E22" s="1">
        <v>943102682.77999997</v>
      </c>
      <c r="F22" s="1">
        <v>1760755781.8</v>
      </c>
      <c r="G22" s="1">
        <v>1593221696.5899999</v>
      </c>
      <c r="H22" s="1">
        <f>716873205.79+33409679.79+34371953.33</f>
        <v>784654838.90999997</v>
      </c>
      <c r="I22" s="1">
        <v>773188401.91999996</v>
      </c>
      <c r="J22" s="1">
        <v>1400171408.77</v>
      </c>
      <c r="K22" s="1">
        <v>1125004187.72</v>
      </c>
      <c r="L22" s="1">
        <v>389142104.93000001</v>
      </c>
      <c r="M22" s="1">
        <v>509690457.56</v>
      </c>
      <c r="N22" s="1">
        <v>3050140881.7399998</v>
      </c>
      <c r="O22" s="1">
        <v>0</v>
      </c>
      <c r="P22" s="1">
        <v>349934785.81999999</v>
      </c>
      <c r="Q22" s="1">
        <v>6395361518.2399998</v>
      </c>
      <c r="R22" s="1">
        <v>4692393444.9200001</v>
      </c>
      <c r="S22" s="1">
        <v>0</v>
      </c>
      <c r="T22" s="1">
        <v>2380931049.6999998</v>
      </c>
      <c r="U22" s="1">
        <v>1888556459</v>
      </c>
      <c r="V22" s="1">
        <v>864549191</v>
      </c>
      <c r="W22" s="1">
        <f t="shared" si="2"/>
        <v>44750590989.459999</v>
      </c>
    </row>
    <row r="23" spans="1:23" x14ac:dyDescent="0.3">
      <c r="A23" s="25" t="s">
        <v>115</v>
      </c>
      <c r="B23" s="1">
        <v>3318783585.4899998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2337905069.0900002</v>
      </c>
      <c r="O23" s="1">
        <v>0</v>
      </c>
      <c r="P23" s="1">
        <v>0</v>
      </c>
      <c r="Q23" s="1">
        <v>1792399222.26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f t="shared" ref="W23:W24" si="6">SUM(B23:V23)</f>
        <v>7449087876.8400002</v>
      </c>
    </row>
    <row r="24" spans="1:23" x14ac:dyDescent="0.3">
      <c r="A24" s="25" t="s">
        <v>116</v>
      </c>
      <c r="B24" s="1">
        <v>3969011331.7399998</v>
      </c>
      <c r="C24" s="1">
        <v>68613125.519999996</v>
      </c>
      <c r="D24" s="1">
        <v>7427124645</v>
      </c>
      <c r="E24" s="1">
        <v>884040346.46000004</v>
      </c>
      <c r="F24" s="1">
        <v>1437866235.3199999</v>
      </c>
      <c r="G24" s="1">
        <v>1296162068.3499999</v>
      </c>
      <c r="H24" s="1">
        <v>716873205.78999996</v>
      </c>
      <c r="I24" s="1">
        <v>696487355.94000006</v>
      </c>
      <c r="J24" s="1">
        <v>1194913051.75</v>
      </c>
      <c r="K24" s="1">
        <v>983883061.11000001</v>
      </c>
      <c r="L24" s="1">
        <v>345504710.56</v>
      </c>
      <c r="M24" s="1">
        <v>454331769.67000002</v>
      </c>
      <c r="N24" s="1">
        <v>449090856</v>
      </c>
      <c r="O24" s="1">
        <v>0</v>
      </c>
      <c r="P24" s="1">
        <v>317136865.64999998</v>
      </c>
      <c r="Q24" s="1">
        <v>3433572304.3800001</v>
      </c>
      <c r="R24" s="1">
        <v>3831956133.7399998</v>
      </c>
      <c r="S24" s="1">
        <v>0</v>
      </c>
      <c r="T24" s="1">
        <v>2235615699.3400002</v>
      </c>
      <c r="U24" s="1">
        <v>1724079729</v>
      </c>
      <c r="V24" s="1">
        <v>716093770</v>
      </c>
      <c r="W24" s="1">
        <f t="shared" si="6"/>
        <v>32182356265.320004</v>
      </c>
    </row>
    <row r="25" spans="1:23" x14ac:dyDescent="0.3">
      <c r="A25" s="7" t="s">
        <v>34</v>
      </c>
      <c r="B25" s="1">
        <v>167418184.58000001</v>
      </c>
      <c r="C25" s="1">
        <v>42500044.079999998</v>
      </c>
      <c r="D25" s="1">
        <v>3348648928</v>
      </c>
      <c r="E25" s="1">
        <f>5556434.3+244530356.61</f>
        <v>250086790.91000003</v>
      </c>
      <c r="F25" s="1">
        <v>51654704.619999997</v>
      </c>
      <c r="G25" s="1">
        <v>469937800.18000001</v>
      </c>
      <c r="H25" s="1">
        <f>32624292.44+2582155.88+29143504.68+19840.32</f>
        <v>64369793.32</v>
      </c>
      <c r="I25" s="1">
        <v>280650656.19</v>
      </c>
      <c r="J25" s="1">
        <v>121478593.40000001</v>
      </c>
      <c r="K25" s="1">
        <f>1847433227.77+1600756</f>
        <v>1849033983.77</v>
      </c>
      <c r="L25" s="1">
        <v>32913352.550000001</v>
      </c>
      <c r="M25" s="1">
        <v>327482712.81</v>
      </c>
      <c r="N25" s="1">
        <v>1658946791.1500001</v>
      </c>
      <c r="O25" s="1">
        <v>0</v>
      </c>
      <c r="P25" s="1">
        <v>100562271.62</v>
      </c>
      <c r="Q25" s="1">
        <v>3304338091.0500002</v>
      </c>
      <c r="R25" s="1">
        <v>170003147.91</v>
      </c>
      <c r="S25" s="1">
        <v>0</v>
      </c>
      <c r="T25" s="1">
        <v>287825549.35000002</v>
      </c>
      <c r="U25" s="1">
        <v>1788725417</v>
      </c>
      <c r="V25" s="1">
        <v>869370717</v>
      </c>
      <c r="W25" s="1">
        <f>SUM(B25:V25)</f>
        <v>15185947529.49</v>
      </c>
    </row>
    <row r="26" spans="1:23" x14ac:dyDescent="0.3">
      <c r="A26" s="7" t="s">
        <v>35</v>
      </c>
      <c r="B26" s="1">
        <v>372368159.01999998</v>
      </c>
      <c r="C26" s="1">
        <v>225262503.75999999</v>
      </c>
      <c r="D26" s="1">
        <v>1286147028</v>
      </c>
      <c r="E26" s="1">
        <v>10869795.76</v>
      </c>
      <c r="F26" s="1">
        <v>3161505.64</v>
      </c>
      <c r="G26" s="1">
        <v>98409631.469999999</v>
      </c>
      <c r="H26" s="1">
        <v>941639.86</v>
      </c>
      <c r="I26" s="1">
        <v>153924836.16</v>
      </c>
      <c r="J26" s="1">
        <v>1047384100.08</v>
      </c>
      <c r="K26" s="1">
        <v>926051576.42999995</v>
      </c>
      <c r="L26" s="1">
        <v>375465244.58999997</v>
      </c>
      <c r="M26" s="1">
        <v>104697973.67</v>
      </c>
      <c r="N26" s="1">
        <v>730936304.75999999</v>
      </c>
      <c r="O26" s="1">
        <v>0</v>
      </c>
      <c r="P26" s="1">
        <v>743306.2</v>
      </c>
      <c r="Q26" s="1">
        <v>1399006521.1199999</v>
      </c>
      <c r="R26" s="1">
        <v>2217999412.27</v>
      </c>
      <c r="S26" s="1">
        <v>0</v>
      </c>
      <c r="T26" s="1">
        <v>567355859.44000006</v>
      </c>
      <c r="U26" s="1">
        <v>938247577</v>
      </c>
      <c r="V26" s="1">
        <v>388084653</v>
      </c>
      <c r="W26" s="1">
        <f>SUM(B26:V26)</f>
        <v>10847057628.23</v>
      </c>
    </row>
    <row r="27" spans="1:23" x14ac:dyDescent="0.3">
      <c r="A27" s="21" t="s">
        <v>36</v>
      </c>
      <c r="B27" s="2">
        <f t="shared" ref="B27:N27" si="7">SUM(B16:B26)-B23-B24</f>
        <v>7857508986.7299995</v>
      </c>
      <c r="C27" s="2">
        <f t="shared" si="7"/>
        <v>4087768910.8399997</v>
      </c>
      <c r="D27" s="2">
        <f t="shared" si="7"/>
        <v>27772599391</v>
      </c>
      <c r="E27" s="2">
        <f>SUM(E16:E26)-E23-E24</f>
        <v>15688391292.399998</v>
      </c>
      <c r="F27" s="2">
        <f>SUM(F16:F26)-F23-F24</f>
        <v>9370916209.3999996</v>
      </c>
      <c r="G27" s="2">
        <f t="shared" si="7"/>
        <v>10669599860.419998</v>
      </c>
      <c r="H27" s="2">
        <f t="shared" si="7"/>
        <v>5476405077.7799988</v>
      </c>
      <c r="I27" s="2">
        <f t="shared" si="7"/>
        <v>2973524929.1199999</v>
      </c>
      <c r="J27" s="2">
        <f t="shared" si="7"/>
        <v>6191865732.3599997</v>
      </c>
      <c r="K27" s="2">
        <f t="shared" si="7"/>
        <v>6792531152.4800005</v>
      </c>
      <c r="L27" s="2">
        <f t="shared" si="7"/>
        <v>2546630832.9500008</v>
      </c>
      <c r="M27" s="2">
        <f t="shared" si="7"/>
        <v>3372257053.1699996</v>
      </c>
      <c r="N27" s="2">
        <f t="shared" si="7"/>
        <v>6726450399.5399952</v>
      </c>
      <c r="O27" s="2">
        <f t="shared" ref="O27:S27" si="8">SUM(O16:O26)-O23-O24</f>
        <v>0</v>
      </c>
      <c r="P27" s="2">
        <f>SUM(P16:P26)-P23-P24</f>
        <v>1091573736.6300001</v>
      </c>
      <c r="Q27" s="2">
        <f>SUM(Q16:Q26)-Q23-Q24</f>
        <v>11210018270.919998</v>
      </c>
      <c r="R27" s="2">
        <f>SUM(R16:R26)-R23-R24</f>
        <v>12614961075.23</v>
      </c>
      <c r="S27" s="2">
        <f t="shared" si="8"/>
        <v>0</v>
      </c>
      <c r="T27" s="2">
        <f>SUM(T16:T26)-T23-T24</f>
        <v>7590462266.9799995</v>
      </c>
      <c r="U27" s="2">
        <f>SUM(U16:U26)-U23-U24</f>
        <v>8452088083</v>
      </c>
      <c r="V27" s="2">
        <f>SUM(V16:V26)-V23-V24</f>
        <v>5977987956</v>
      </c>
      <c r="W27" s="2">
        <f>SUM(B27:V27)</f>
        <v>156463541216.94998</v>
      </c>
    </row>
    <row r="28" spans="1:23" x14ac:dyDescent="0.3">
      <c r="A28" s="4" t="s">
        <v>71</v>
      </c>
      <c r="B28" s="5">
        <f t="shared" ref="B28:N28" si="9">B16+B17+B18</f>
        <v>-6629285330.8800001</v>
      </c>
      <c r="C28" s="5">
        <f t="shared" si="9"/>
        <v>2893041789.8399997</v>
      </c>
      <c r="D28" s="5">
        <f t="shared" si="9"/>
        <v>2809502964</v>
      </c>
      <c r="E28" s="5">
        <f>E16+E17+E18</f>
        <v>13967718168.809999</v>
      </c>
      <c r="F28" s="5">
        <f>F16+F17+F18</f>
        <v>7035821049.3999996</v>
      </c>
      <c r="G28" s="5">
        <f t="shared" si="9"/>
        <v>2255528559.52</v>
      </c>
      <c r="H28" s="5">
        <f t="shared" si="9"/>
        <v>3765653911.7599998</v>
      </c>
      <c r="I28" s="5">
        <f t="shared" si="9"/>
        <v>-233891858.93000007</v>
      </c>
      <c r="J28" s="5">
        <f t="shared" si="9"/>
        <v>-910715417.88999999</v>
      </c>
      <c r="K28" s="5">
        <f t="shared" si="9"/>
        <v>-1712301813.8700001</v>
      </c>
      <c r="L28" s="5">
        <f t="shared" si="9"/>
        <v>431722166.82999998</v>
      </c>
      <c r="M28" s="5">
        <f t="shared" si="9"/>
        <v>569405206.8599999</v>
      </c>
      <c r="N28" s="5">
        <f t="shared" si="9"/>
        <v>-21575073597.660004</v>
      </c>
      <c r="O28" s="5">
        <f t="shared" ref="O28:S28" si="10">O16+O17+O18</f>
        <v>0</v>
      </c>
      <c r="P28" s="5">
        <f>P16+P17+P18</f>
        <v>-98144586.570000008</v>
      </c>
      <c r="Q28" s="5">
        <f>Q16+Q17+Q18</f>
        <v>-9531435573.6599998</v>
      </c>
      <c r="R28" s="5">
        <f>R16+R17+R18</f>
        <v>665550074.36000001</v>
      </c>
      <c r="S28" s="5">
        <f t="shared" si="10"/>
        <v>0</v>
      </c>
      <c r="T28" s="5">
        <f>T16+T17+T18</f>
        <v>2276025385.9300003</v>
      </c>
      <c r="U28" s="5">
        <f>U16+U17+U18</f>
        <v>-5279751303</v>
      </c>
      <c r="V28" s="5">
        <f>V16+V17+V18</f>
        <v>1933179922</v>
      </c>
      <c r="W28" s="5">
        <f>SUM(B28:V28)</f>
        <v>-7367450283.1500015</v>
      </c>
    </row>
    <row r="29" spans="1:23" x14ac:dyDescent="0.3">
      <c r="A29" s="25" t="s">
        <v>82</v>
      </c>
      <c r="B29" s="26">
        <f>B28/B27*100</f>
        <v>-84.368790949851146</v>
      </c>
      <c r="C29" s="26">
        <f t="shared" ref="C29:W29" si="11">C28/C27*100</f>
        <v>70.773124727481374</v>
      </c>
      <c r="D29" s="26">
        <f t="shared" si="11"/>
        <v>10.116096532578974</v>
      </c>
      <c r="E29" s="26">
        <f t="shared" ref="E29" si="12">E28/E27*100</f>
        <v>89.032188887183409</v>
      </c>
      <c r="F29" s="26">
        <f t="shared" si="11"/>
        <v>75.081463670994538</v>
      </c>
      <c r="G29" s="26">
        <f t="shared" si="11"/>
        <v>21.139767086178367</v>
      </c>
      <c r="H29" s="26">
        <f t="shared" si="11"/>
        <v>68.761420279861838</v>
      </c>
      <c r="I29" s="26">
        <f t="shared" si="11"/>
        <v>-7.8658112679492218</v>
      </c>
      <c r="J29" s="26">
        <f t="shared" si="11"/>
        <v>-14.708255269981205</v>
      </c>
      <c r="K29" s="26">
        <f t="shared" si="11"/>
        <v>-25.208597140475781</v>
      </c>
      <c r="L29" s="26">
        <f t="shared" si="11"/>
        <v>16.95267964418289</v>
      </c>
      <c r="M29" s="26">
        <f t="shared" si="11"/>
        <v>16.884988240286898</v>
      </c>
      <c r="N29" s="26">
        <f t="shared" si="11"/>
        <v>-320.74976125796553</v>
      </c>
      <c r="O29" s="26" t="e">
        <f t="shared" si="11"/>
        <v>#DIV/0!</v>
      </c>
      <c r="P29" s="26">
        <f t="shared" si="11"/>
        <v>-8.9911091918536226</v>
      </c>
      <c r="Q29" s="26">
        <f t="shared" si="11"/>
        <v>-85.026048515777859</v>
      </c>
      <c r="R29" s="26">
        <f t="shared" ref="R29:V29" si="13">R28/R27*100</f>
        <v>5.2758789376436148</v>
      </c>
      <c r="S29" s="26" t="e">
        <f t="shared" si="13"/>
        <v>#DIV/0!</v>
      </c>
      <c r="T29" s="26">
        <f t="shared" si="13"/>
        <v>29.985332985991608</v>
      </c>
      <c r="U29" s="26">
        <f t="shared" si="13"/>
        <v>-62.466827737152443</v>
      </c>
      <c r="V29" s="26">
        <f t="shared" si="13"/>
        <v>32.33830406198296</v>
      </c>
      <c r="W29" s="26">
        <f t="shared" si="11"/>
        <v>-4.7087329264358182</v>
      </c>
    </row>
    <row r="30" spans="1:23" x14ac:dyDescent="0.3">
      <c r="A30" s="25" t="s">
        <v>91</v>
      </c>
      <c r="B30" s="1">
        <f>B20+B21+B22+B25</f>
        <v>13673455066.65</v>
      </c>
      <c r="C30" s="1">
        <f t="shared" ref="C30:W30" si="14">C20+C21+C22+C25</f>
        <v>924508744.45999992</v>
      </c>
      <c r="D30" s="1">
        <f t="shared" si="14"/>
        <v>23514963279</v>
      </c>
      <c r="E30" s="1">
        <f t="shared" si="14"/>
        <v>1533607180.8500001</v>
      </c>
      <c r="F30" s="1">
        <f t="shared" si="14"/>
        <v>2088407421.6099999</v>
      </c>
      <c r="G30" s="1">
        <f t="shared" si="14"/>
        <v>8210582439.54</v>
      </c>
      <c r="H30" s="1">
        <f t="shared" si="14"/>
        <v>1355477841.4799998</v>
      </c>
      <c r="I30" s="1">
        <f t="shared" si="14"/>
        <v>2980665650.1199999</v>
      </c>
      <c r="J30" s="1">
        <f t="shared" si="14"/>
        <v>6006245489.6700001</v>
      </c>
      <c r="K30" s="1">
        <f t="shared" si="14"/>
        <v>7555064731.5100002</v>
      </c>
      <c r="L30" s="1">
        <f t="shared" si="14"/>
        <v>1681448900.3500001</v>
      </c>
      <c r="M30" s="1">
        <f t="shared" si="14"/>
        <v>2601247630.3499999</v>
      </c>
      <c r="N30" s="1">
        <f t="shared" si="14"/>
        <v>27532979292.279999</v>
      </c>
      <c r="O30" s="1">
        <f t="shared" si="14"/>
        <v>0</v>
      </c>
      <c r="P30" s="1">
        <f t="shared" si="14"/>
        <v>857239105.76000011</v>
      </c>
      <c r="Q30" s="1">
        <f t="shared" si="14"/>
        <v>18776882584.809998</v>
      </c>
      <c r="R30" s="1">
        <f t="shared" si="14"/>
        <v>9198035842.8899994</v>
      </c>
      <c r="S30" s="1">
        <f t="shared" si="14"/>
        <v>0</v>
      </c>
      <c r="T30" s="1">
        <f t="shared" si="14"/>
        <v>4703529763.7399998</v>
      </c>
      <c r="U30" s="1">
        <f t="shared" si="14"/>
        <v>12377145797</v>
      </c>
      <c r="V30" s="1">
        <f t="shared" si="14"/>
        <v>3208672466</v>
      </c>
      <c r="W30" s="1">
        <f t="shared" si="14"/>
        <v>148780159228.06998</v>
      </c>
    </row>
    <row r="31" spans="1:23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55" spans="1:7" ht="21" x14ac:dyDescent="0.4">
      <c r="G55" s="39" t="s">
        <v>118</v>
      </c>
    </row>
    <row r="58" spans="1:7" x14ac:dyDescent="0.3">
      <c r="A58" s="7" t="s">
        <v>119</v>
      </c>
      <c r="B58" s="1">
        <v>13967718168.809999</v>
      </c>
    </row>
    <row r="59" spans="1:7" x14ac:dyDescent="0.3">
      <c r="A59" s="7" t="s">
        <v>120</v>
      </c>
      <c r="B59" s="1">
        <v>7035821049.3999996</v>
      </c>
    </row>
    <row r="60" spans="1:7" x14ac:dyDescent="0.3">
      <c r="A60" s="7" t="s">
        <v>97</v>
      </c>
      <c r="B60" s="1">
        <v>3765653911.7599998</v>
      </c>
    </row>
    <row r="61" spans="1:7" x14ac:dyDescent="0.3">
      <c r="A61" s="7" t="s">
        <v>94</v>
      </c>
      <c r="B61" s="1">
        <v>2893041789.8399997</v>
      </c>
    </row>
    <row r="62" spans="1:7" x14ac:dyDescent="0.3">
      <c r="A62" s="7" t="s">
        <v>95</v>
      </c>
      <c r="B62" s="1">
        <v>2809502964</v>
      </c>
    </row>
    <row r="63" spans="1:7" x14ac:dyDescent="0.3">
      <c r="A63" s="7" t="s">
        <v>106</v>
      </c>
      <c r="B63" s="1">
        <v>2276025385.9300003</v>
      </c>
    </row>
    <row r="64" spans="1:7" x14ac:dyDescent="0.3">
      <c r="A64" s="7" t="s">
        <v>96</v>
      </c>
      <c r="B64" s="1">
        <v>2255528559.52</v>
      </c>
    </row>
    <row r="65" spans="1:2" x14ac:dyDescent="0.3">
      <c r="A65" s="7" t="s">
        <v>108</v>
      </c>
      <c r="B65" s="1">
        <v>1933179922</v>
      </c>
    </row>
    <row r="66" spans="1:2" x14ac:dyDescent="0.3">
      <c r="A66" s="7" t="s">
        <v>105</v>
      </c>
      <c r="B66" s="1">
        <v>665550074.36000001</v>
      </c>
    </row>
    <row r="67" spans="1:2" x14ac:dyDescent="0.3">
      <c r="A67" s="7" t="s">
        <v>102</v>
      </c>
      <c r="B67" s="1">
        <v>569405206.8599999</v>
      </c>
    </row>
    <row r="68" spans="1:2" x14ac:dyDescent="0.3">
      <c r="A68" s="7" t="s">
        <v>101</v>
      </c>
      <c r="B68" s="1">
        <v>431722166.82999998</v>
      </c>
    </row>
    <row r="69" spans="1:2" x14ac:dyDescent="0.3">
      <c r="A69" s="7" t="s">
        <v>110</v>
      </c>
      <c r="B69" s="1">
        <v>-98144586.570000008</v>
      </c>
    </row>
    <row r="70" spans="1:2" x14ac:dyDescent="0.3">
      <c r="A70" s="7" t="s">
        <v>98</v>
      </c>
      <c r="B70" s="1">
        <v>-233891858.93000007</v>
      </c>
    </row>
    <row r="71" spans="1:2" x14ac:dyDescent="0.3">
      <c r="A71" s="7" t="s">
        <v>99</v>
      </c>
      <c r="B71" s="1">
        <v>-910715417.88999999</v>
      </c>
    </row>
    <row r="72" spans="1:2" x14ac:dyDescent="0.3">
      <c r="A72" s="7" t="s">
        <v>100</v>
      </c>
      <c r="B72" s="1">
        <v>-1712301813.8700001</v>
      </c>
    </row>
    <row r="73" spans="1:2" x14ac:dyDescent="0.3">
      <c r="A73" s="7" t="s">
        <v>107</v>
      </c>
      <c r="B73" s="1">
        <v>-5279751303</v>
      </c>
    </row>
    <row r="74" spans="1:2" x14ac:dyDescent="0.3">
      <c r="A74" s="7" t="s">
        <v>93</v>
      </c>
      <c r="B74" s="1">
        <v>-6629285330.8800001</v>
      </c>
    </row>
    <row r="75" spans="1:2" x14ac:dyDescent="0.3">
      <c r="A75" s="7" t="s">
        <v>104</v>
      </c>
      <c r="B75" s="1">
        <v>-9531435573.6599998</v>
      </c>
    </row>
    <row r="76" spans="1:2" x14ac:dyDescent="0.3">
      <c r="A76" s="7" t="s">
        <v>103</v>
      </c>
      <c r="B76" s="1">
        <v>-21575073597.660004</v>
      </c>
    </row>
    <row r="84" spans="1:6" x14ac:dyDescent="0.3">
      <c r="B84" s="7" t="s">
        <v>20</v>
      </c>
      <c r="C84" s="7" t="s">
        <v>32</v>
      </c>
      <c r="D84" s="7" t="s">
        <v>33</v>
      </c>
      <c r="E84" s="7" t="s">
        <v>34</v>
      </c>
      <c r="F84" s="25" t="s">
        <v>83</v>
      </c>
    </row>
    <row r="85" spans="1:6" x14ac:dyDescent="0.3">
      <c r="A85" s="41" t="s">
        <v>103</v>
      </c>
      <c r="B85" s="1">
        <v>22647861763.709999</v>
      </c>
      <c r="C85">
        <v>176029855.68000001</v>
      </c>
      <c r="D85">
        <v>3050140881.7399998</v>
      </c>
      <c r="E85">
        <v>1658946791.1500001</v>
      </c>
      <c r="F85" s="1">
        <f t="shared" ref="F85:F105" si="15">SUM(B85:E85)</f>
        <v>27532979292.279999</v>
      </c>
    </row>
    <row r="86" spans="1:6" x14ac:dyDescent="0.3">
      <c r="A86" s="41" t="s">
        <v>95</v>
      </c>
      <c r="B86" s="1">
        <v>12315732526</v>
      </c>
      <c r="C86">
        <v>115821074</v>
      </c>
      <c r="D86">
        <v>7734760751</v>
      </c>
      <c r="E86">
        <v>3348648928</v>
      </c>
      <c r="F86" s="1">
        <f t="shared" si="15"/>
        <v>23514963279</v>
      </c>
    </row>
    <row r="87" spans="1:6" x14ac:dyDescent="0.3">
      <c r="A87" s="41" t="s">
        <v>104</v>
      </c>
      <c r="B87" s="1">
        <v>9028504469.0499992</v>
      </c>
      <c r="C87">
        <v>48678506.469999999</v>
      </c>
      <c r="D87">
        <v>6395361518.2399998</v>
      </c>
      <c r="E87">
        <v>3304338091.0500002</v>
      </c>
      <c r="F87" s="1">
        <f t="shared" si="15"/>
        <v>18776882584.809998</v>
      </c>
    </row>
    <row r="88" spans="1:6" x14ac:dyDescent="0.3">
      <c r="A88" s="41" t="s">
        <v>93</v>
      </c>
      <c r="B88" s="1">
        <v>5429387367.0299997</v>
      </c>
      <c r="C88">
        <v>40930918.770000003</v>
      </c>
      <c r="D88">
        <v>8035718596.2700005</v>
      </c>
      <c r="E88">
        <v>167418184.58000001</v>
      </c>
      <c r="F88" s="1">
        <f t="shared" si="15"/>
        <v>13673455066.65</v>
      </c>
    </row>
    <row r="89" spans="1:6" x14ac:dyDescent="0.3">
      <c r="A89" s="41" t="s">
        <v>107</v>
      </c>
      <c r="B89" s="1">
        <v>8484133602</v>
      </c>
      <c r="C89">
        <v>215730319</v>
      </c>
      <c r="D89">
        <v>1888556459</v>
      </c>
      <c r="E89">
        <v>1788725417</v>
      </c>
      <c r="F89" s="1">
        <f t="shared" si="15"/>
        <v>12377145797</v>
      </c>
    </row>
    <row r="90" spans="1:6" x14ac:dyDescent="0.3">
      <c r="A90" s="41" t="s">
        <v>105</v>
      </c>
      <c r="B90" s="1">
        <v>4147444609.1100001</v>
      </c>
      <c r="C90">
        <v>188194640.94999999</v>
      </c>
      <c r="D90">
        <v>4692393444.9200001</v>
      </c>
      <c r="E90">
        <v>170003147.91</v>
      </c>
      <c r="F90" s="1">
        <f t="shared" si="15"/>
        <v>9198035842.8899994</v>
      </c>
    </row>
    <row r="91" spans="1:6" x14ac:dyDescent="0.3">
      <c r="A91" s="41" t="s">
        <v>96</v>
      </c>
      <c r="B91" s="1">
        <v>5879650407.0799999</v>
      </c>
      <c r="C91">
        <v>267772535.69</v>
      </c>
      <c r="D91">
        <v>1593221696.5899999</v>
      </c>
      <c r="E91">
        <v>469937800.18000001</v>
      </c>
      <c r="F91" s="1">
        <f t="shared" si="15"/>
        <v>8210582439.54</v>
      </c>
    </row>
    <row r="92" spans="1:6" x14ac:dyDescent="0.3">
      <c r="A92" s="41" t="s">
        <v>100</v>
      </c>
      <c r="B92" s="1">
        <v>4580433710.3199997</v>
      </c>
      <c r="C92">
        <v>592849.69999999995</v>
      </c>
      <c r="D92">
        <v>1125004187.72</v>
      </c>
      <c r="E92">
        <v>1849033983.77</v>
      </c>
      <c r="F92" s="1">
        <f t="shared" si="15"/>
        <v>7555064731.5100002</v>
      </c>
    </row>
    <row r="93" spans="1:6" x14ac:dyDescent="0.3">
      <c r="A93" s="41" t="s">
        <v>99</v>
      </c>
      <c r="B93" s="1">
        <v>4393367167.25</v>
      </c>
      <c r="C93">
        <v>91228320.25</v>
      </c>
      <c r="D93">
        <v>1400171408.77</v>
      </c>
      <c r="E93">
        <v>121478593.40000001</v>
      </c>
      <c r="F93" s="1">
        <f t="shared" si="15"/>
        <v>6006245489.6700001</v>
      </c>
    </row>
    <row r="94" spans="1:6" x14ac:dyDescent="0.3">
      <c r="A94" s="41" t="s">
        <v>106</v>
      </c>
      <c r="B94" s="1">
        <v>1810571883.79</v>
      </c>
      <c r="C94">
        <v>224201280.90000001</v>
      </c>
      <c r="D94">
        <v>2380931049.6999998</v>
      </c>
      <c r="E94">
        <v>287825549.35000002</v>
      </c>
      <c r="F94" s="1">
        <f t="shared" si="15"/>
        <v>4703529763.7399998</v>
      </c>
    </row>
    <row r="95" spans="1:6" x14ac:dyDescent="0.3">
      <c r="A95" s="41" t="s">
        <v>108</v>
      </c>
      <c r="B95" s="1">
        <v>1436721118</v>
      </c>
      <c r="C95">
        <v>38031440</v>
      </c>
      <c r="D95">
        <v>864549191</v>
      </c>
      <c r="E95">
        <v>869370717</v>
      </c>
      <c r="F95" s="1">
        <f t="shared" si="15"/>
        <v>3208672466</v>
      </c>
    </row>
    <row r="96" spans="1:6" x14ac:dyDescent="0.3">
      <c r="A96" s="41" t="s">
        <v>98</v>
      </c>
      <c r="B96" s="1">
        <v>1873885533.1800001</v>
      </c>
      <c r="C96">
        <v>52941058.829999998</v>
      </c>
      <c r="D96">
        <v>773188401.91999996</v>
      </c>
      <c r="E96">
        <v>280650656.19</v>
      </c>
      <c r="F96" s="1">
        <f t="shared" si="15"/>
        <v>2980665650.1199999</v>
      </c>
    </row>
    <row r="97" spans="1:6" x14ac:dyDescent="0.3">
      <c r="A97" s="41" t="s">
        <v>102</v>
      </c>
      <c r="B97" s="1">
        <v>1574731382.1199999</v>
      </c>
      <c r="C97">
        <v>189343077.86000001</v>
      </c>
      <c r="D97">
        <v>509690457.56</v>
      </c>
      <c r="E97">
        <v>327482712.81</v>
      </c>
      <c r="F97" s="1">
        <f t="shared" si="15"/>
        <v>2601247630.3499999</v>
      </c>
    </row>
    <row r="98" spans="1:6" x14ac:dyDescent="0.3">
      <c r="A98" s="41" t="s">
        <v>120</v>
      </c>
      <c r="B98" s="1">
        <v>119614624.65000001</v>
      </c>
      <c r="C98">
        <v>156382310.53999999</v>
      </c>
      <c r="D98">
        <v>1760755781.8</v>
      </c>
      <c r="E98">
        <v>51654704.619999997</v>
      </c>
      <c r="F98" s="1">
        <f t="shared" si="15"/>
        <v>2088407421.6099999</v>
      </c>
    </row>
    <row r="99" spans="1:6" x14ac:dyDescent="0.3">
      <c r="A99" s="41" t="s">
        <v>101</v>
      </c>
      <c r="B99" s="1">
        <v>1229060127.1700001</v>
      </c>
      <c r="C99">
        <v>30333315.699999999</v>
      </c>
      <c r="D99">
        <v>389142104.93000001</v>
      </c>
      <c r="E99">
        <v>32913352.550000001</v>
      </c>
      <c r="F99" s="1">
        <f t="shared" si="15"/>
        <v>1681448900.3500001</v>
      </c>
    </row>
    <row r="100" spans="1:6" x14ac:dyDescent="0.3">
      <c r="A100" s="41" t="s">
        <v>119</v>
      </c>
      <c r="B100" s="1">
        <v>151681730.69</v>
      </c>
      <c r="C100">
        <v>188735976.47</v>
      </c>
      <c r="D100">
        <v>943102682.77999997</v>
      </c>
      <c r="E100">
        <v>250086790.91000003</v>
      </c>
      <c r="F100" s="1">
        <f t="shared" si="15"/>
        <v>1533607180.8500001</v>
      </c>
    </row>
    <row r="101" spans="1:6" x14ac:dyDescent="0.3">
      <c r="A101" s="41" t="s">
        <v>97</v>
      </c>
      <c r="B101" s="1">
        <v>389600407.09000003</v>
      </c>
      <c r="C101">
        <v>116852802.16</v>
      </c>
      <c r="D101">
        <v>784654838.90999997</v>
      </c>
      <c r="E101">
        <v>64369793.32</v>
      </c>
      <c r="F101" s="1">
        <f t="shared" si="15"/>
        <v>1355477841.4799998</v>
      </c>
    </row>
    <row r="102" spans="1:6" x14ac:dyDescent="0.3">
      <c r="A102" s="41" t="s">
        <v>94</v>
      </c>
      <c r="B102" s="1">
        <v>748261836.03999996</v>
      </c>
      <c r="C102">
        <v>54434113.549999997</v>
      </c>
      <c r="D102">
        <v>79312750.790000007</v>
      </c>
      <c r="E102">
        <v>42500044.079999998</v>
      </c>
      <c r="F102" s="1">
        <f t="shared" si="15"/>
        <v>924508744.45999992</v>
      </c>
    </row>
    <row r="103" spans="1:6" x14ac:dyDescent="0.3">
      <c r="A103" s="41" t="s">
        <v>110</v>
      </c>
      <c r="B103" s="1">
        <v>362995815.66000003</v>
      </c>
      <c r="C103">
        <v>43746232.659999996</v>
      </c>
      <c r="D103">
        <v>349934785.81999999</v>
      </c>
      <c r="E103">
        <v>100562271.62</v>
      </c>
      <c r="F103" s="1">
        <f t="shared" si="15"/>
        <v>857239105.76000011</v>
      </c>
    </row>
    <row r="104" spans="1:6" x14ac:dyDescent="0.3">
      <c r="A104" s="41" t="s">
        <v>109</v>
      </c>
      <c r="B104" s="1">
        <v>0</v>
      </c>
      <c r="C104">
        <v>0</v>
      </c>
      <c r="D104">
        <v>0</v>
      </c>
      <c r="E104">
        <v>0</v>
      </c>
      <c r="F104" s="1">
        <f t="shared" si="15"/>
        <v>0</v>
      </c>
    </row>
    <row r="105" spans="1:6" x14ac:dyDescent="0.3">
      <c r="A105" s="41" t="s">
        <v>111</v>
      </c>
      <c r="B105" s="1">
        <v>0</v>
      </c>
      <c r="C105">
        <v>0</v>
      </c>
      <c r="D105">
        <v>0</v>
      </c>
      <c r="E105">
        <v>0</v>
      </c>
      <c r="F105" s="1">
        <f t="shared" si="15"/>
        <v>0</v>
      </c>
    </row>
  </sheetData>
  <sortState ref="A85:F105">
    <sortCondition descending="1" ref="F85:F105"/>
  </sortState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showGridLines="0" tabSelected="1" workbookViewId="0">
      <pane xSplit="1" ySplit="1" topLeftCell="M17" activePane="bottomRight" state="frozen"/>
      <selection pane="topRight" activeCell="B1" sqref="B1"/>
      <selection pane="bottomLeft" activeCell="A2" sqref="A2"/>
      <selection pane="bottomRight" activeCell="B30" sqref="B30"/>
    </sheetView>
  </sheetViews>
  <sheetFormatPr defaultRowHeight="14.4" x14ac:dyDescent="0.3"/>
  <cols>
    <col min="1" max="1" width="51.6640625" style="7" bestFit="1" customWidth="1"/>
    <col min="2" max="2" width="14.5546875" bestFit="1" customWidth="1"/>
    <col min="3" max="3" width="12.6640625" bestFit="1" customWidth="1"/>
    <col min="4" max="7" width="13.88671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4.5546875" bestFit="1" customWidth="1"/>
    <col min="15" max="15" width="11.109375" bestFit="1" customWidth="1"/>
    <col min="16" max="16" width="12.6640625" bestFit="1" customWidth="1"/>
    <col min="17" max="17" width="14.5546875" bestFit="1" customWidth="1"/>
    <col min="18" max="18" width="13.88671875" bestFit="1" customWidth="1"/>
    <col min="19" max="19" width="11.109375" bestFit="1" customWidth="1"/>
    <col min="20" max="20" width="12.6640625" bestFit="1" customWidth="1"/>
    <col min="21" max="22" width="13.88671875" bestFit="1" customWidth="1"/>
    <col min="23" max="23" width="14.5546875" bestFit="1" customWidth="1"/>
  </cols>
  <sheetData>
    <row r="1" spans="1:23" x14ac:dyDescent="0.3">
      <c r="A1" s="22"/>
      <c r="B1" s="38" t="s">
        <v>93</v>
      </c>
      <c r="C1" s="38" t="s">
        <v>94</v>
      </c>
      <c r="D1" s="38" t="s">
        <v>95</v>
      </c>
      <c r="E1" s="38" t="s">
        <v>119</v>
      </c>
      <c r="F1" s="38" t="s">
        <v>120</v>
      </c>
      <c r="G1" s="38" t="s">
        <v>96</v>
      </c>
      <c r="H1" s="38" t="s">
        <v>97</v>
      </c>
      <c r="I1" s="38" t="s">
        <v>98</v>
      </c>
      <c r="J1" s="38" t="s">
        <v>99</v>
      </c>
      <c r="K1" s="38" t="s">
        <v>100</v>
      </c>
      <c r="L1" s="38" t="s">
        <v>101</v>
      </c>
      <c r="M1" s="38" t="s">
        <v>102</v>
      </c>
      <c r="N1" s="38" t="s">
        <v>103</v>
      </c>
      <c r="O1" s="38" t="s">
        <v>109</v>
      </c>
      <c r="P1" s="38" t="s">
        <v>110</v>
      </c>
      <c r="Q1" s="38" t="s">
        <v>104</v>
      </c>
      <c r="R1" s="38" t="s">
        <v>105</v>
      </c>
      <c r="S1" s="38" t="s">
        <v>111</v>
      </c>
      <c r="T1" s="38" t="s">
        <v>106</v>
      </c>
      <c r="U1" s="38" t="s">
        <v>107</v>
      </c>
      <c r="V1" s="38" t="s">
        <v>108</v>
      </c>
      <c r="W1" s="38" t="s">
        <v>83</v>
      </c>
    </row>
    <row r="2" spans="1:23" x14ac:dyDescent="0.3">
      <c r="A2" s="7" t="s">
        <v>21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f t="shared" ref="W2:W9" si="0">SUM(B2:V2)</f>
        <v>0</v>
      </c>
    </row>
    <row r="3" spans="1:23" x14ac:dyDescent="0.3">
      <c r="A3" s="7" t="s">
        <v>22</v>
      </c>
      <c r="B3" s="1">
        <v>32652060.920000002</v>
      </c>
      <c r="C3" s="1">
        <v>8252478.4100000001</v>
      </c>
      <c r="D3" s="1">
        <v>109591528</v>
      </c>
      <c r="E3" s="1">
        <v>1226904084.53</v>
      </c>
      <c r="F3" s="1">
        <v>70548817.090000004</v>
      </c>
      <c r="G3" s="1">
        <v>167200799.31</v>
      </c>
      <c r="H3" s="1">
        <v>86524171.510000005</v>
      </c>
      <c r="I3" s="1">
        <v>11052122.84</v>
      </c>
      <c r="J3" s="1">
        <v>43291963.880000003</v>
      </c>
      <c r="K3" s="1">
        <v>31637019.98</v>
      </c>
      <c r="L3" s="1">
        <v>12145240.859999999</v>
      </c>
      <c r="M3" s="1">
        <v>23070381.239999998</v>
      </c>
      <c r="N3" s="1">
        <v>60455917.619999997</v>
      </c>
      <c r="O3" s="1">
        <v>0</v>
      </c>
      <c r="P3" s="1">
        <v>4910930.42</v>
      </c>
      <c r="Q3" s="1">
        <v>170447084.81</v>
      </c>
      <c r="R3" s="1">
        <v>1198666.82</v>
      </c>
      <c r="S3" s="1">
        <v>0</v>
      </c>
      <c r="T3" s="1">
        <v>34736419.990000002</v>
      </c>
      <c r="U3" s="1">
        <v>82114272</v>
      </c>
      <c r="V3" s="1">
        <v>60614980</v>
      </c>
      <c r="W3" s="1">
        <f t="shared" si="0"/>
        <v>2237348940.2299995</v>
      </c>
    </row>
    <row r="4" spans="1:23" x14ac:dyDescent="0.3">
      <c r="A4" s="7" t="s">
        <v>23</v>
      </c>
      <c r="B4" s="1">
        <v>854190531.03999996</v>
      </c>
      <c r="C4" s="1">
        <v>1090148170.5799999</v>
      </c>
      <c r="D4" s="1">
        <v>1162296022</v>
      </c>
      <c r="E4" s="1">
        <v>7993061604.1400003</v>
      </c>
      <c r="F4" s="1">
        <v>2603249049.8400002</v>
      </c>
      <c r="G4" s="1">
        <v>2155502567.5500002</v>
      </c>
      <c r="H4" s="1">
        <v>1147954479.1500001</v>
      </c>
      <c r="I4" s="1">
        <v>107884309.77</v>
      </c>
      <c r="J4" s="1">
        <v>518512891.16000003</v>
      </c>
      <c r="K4" s="1">
        <v>885546510.48000002</v>
      </c>
      <c r="L4" s="1">
        <v>361405694.99000001</v>
      </c>
      <c r="M4" s="1">
        <v>415704790.85000002</v>
      </c>
      <c r="N4" s="1">
        <v>1101777807.9300001</v>
      </c>
      <c r="O4" s="1">
        <v>0</v>
      </c>
      <c r="P4" s="1">
        <v>86386830.290000007</v>
      </c>
      <c r="Q4" s="1">
        <v>1288376582.46</v>
      </c>
      <c r="R4" s="1">
        <v>916226688.82000005</v>
      </c>
      <c r="S4" s="1">
        <v>0</v>
      </c>
      <c r="T4" s="1">
        <v>3299345323.7600002</v>
      </c>
      <c r="U4" s="1">
        <v>2303892432</v>
      </c>
      <c r="V4" s="1">
        <v>1298351321</v>
      </c>
      <c r="W4" s="1">
        <f t="shared" si="0"/>
        <v>29589813607.810005</v>
      </c>
    </row>
    <row r="5" spans="1:23" x14ac:dyDescent="0.3">
      <c r="A5" s="7" t="s">
        <v>37</v>
      </c>
      <c r="B5" s="1">
        <v>191512951.87</v>
      </c>
      <c r="C5" s="1">
        <v>503290164.37</v>
      </c>
      <c r="D5" s="1">
        <v>2383308206</v>
      </c>
      <c r="E5" s="1">
        <v>2192398117.4099998</v>
      </c>
      <c r="F5" s="1">
        <v>2102224621.8199999</v>
      </c>
      <c r="G5" s="1">
        <v>2008342315.78</v>
      </c>
      <c r="H5" s="1">
        <f>1685933940.43+85150470.67+25846427.15</f>
        <v>1796930838.2500002</v>
      </c>
      <c r="I5" s="1">
        <v>69765642.060000002</v>
      </c>
      <c r="J5" s="1">
        <v>416350193.06999999</v>
      </c>
      <c r="K5" s="1">
        <v>255896628.34999999</v>
      </c>
      <c r="L5" s="1">
        <v>588562017.25</v>
      </c>
      <c r="M5" s="1">
        <v>377390867.85000002</v>
      </c>
      <c r="N5" s="1">
        <v>222479384.31</v>
      </c>
      <c r="O5" s="1">
        <v>0</v>
      </c>
      <c r="P5" s="1">
        <v>243898710.59</v>
      </c>
      <c r="Q5" s="1">
        <v>213278709.66</v>
      </c>
      <c r="R5" s="1">
        <v>1114948899.5799999</v>
      </c>
      <c r="S5" s="1">
        <v>0</v>
      </c>
      <c r="T5" s="1">
        <v>44189997.5</v>
      </c>
      <c r="U5" s="1">
        <v>453124275</v>
      </c>
      <c r="V5" s="1">
        <v>1599044301</v>
      </c>
      <c r="W5" s="1">
        <f t="shared" si="0"/>
        <v>16776936841.719999</v>
      </c>
    </row>
    <row r="6" spans="1:23" x14ac:dyDescent="0.3">
      <c r="A6" s="7" t="s">
        <v>38</v>
      </c>
      <c r="B6" s="1">
        <v>276640411.5</v>
      </c>
      <c r="C6" s="1">
        <v>2110721431.55</v>
      </c>
      <c r="D6" s="1">
        <v>582940396</v>
      </c>
      <c r="E6" s="1">
        <v>1284979772.9000001</v>
      </c>
      <c r="F6" s="1">
        <v>1079060252.48</v>
      </c>
      <c r="G6" s="1">
        <v>592363831.75999999</v>
      </c>
      <c r="H6" s="1">
        <f>8110498.22+3920449+178205871.27</f>
        <v>190236818.49000001</v>
      </c>
      <c r="I6" s="1">
        <v>101238165.73999999</v>
      </c>
      <c r="J6" s="1">
        <v>31571727.890000001</v>
      </c>
      <c r="K6" s="1">
        <v>143228394.5</v>
      </c>
      <c r="L6" s="1">
        <v>108003154.78</v>
      </c>
      <c r="M6" s="1">
        <v>136932522.37</v>
      </c>
      <c r="N6" s="1">
        <v>13330434.689999999</v>
      </c>
      <c r="O6" s="1">
        <v>0</v>
      </c>
      <c r="P6" s="1">
        <v>4912500</v>
      </c>
      <c r="Q6" s="1">
        <v>151358426.86000001</v>
      </c>
      <c r="R6" s="1">
        <v>527363.03</v>
      </c>
      <c r="S6" s="1">
        <v>0</v>
      </c>
      <c r="T6" s="1">
        <v>0</v>
      </c>
      <c r="U6" s="1">
        <v>876642410</v>
      </c>
      <c r="V6" s="1">
        <v>37700180</v>
      </c>
      <c r="W6" s="1">
        <f t="shared" si="0"/>
        <v>7722388194.539999</v>
      </c>
    </row>
    <row r="7" spans="1:23" x14ac:dyDescent="0.3">
      <c r="A7" s="7" t="s">
        <v>39</v>
      </c>
      <c r="B7" s="1">
        <v>0</v>
      </c>
      <c r="C7" s="1">
        <v>357871.16</v>
      </c>
      <c r="D7" s="1">
        <v>282269166</v>
      </c>
      <c r="E7" s="1">
        <v>1472308</v>
      </c>
      <c r="F7" s="1">
        <v>68259911.900000006</v>
      </c>
      <c r="G7" s="1">
        <v>0</v>
      </c>
      <c r="H7" s="1">
        <v>17346000</v>
      </c>
      <c r="I7" s="1">
        <v>0</v>
      </c>
      <c r="J7" s="1">
        <v>600000</v>
      </c>
      <c r="K7" s="1">
        <v>15324093.460000001</v>
      </c>
      <c r="L7" s="1">
        <v>828</v>
      </c>
      <c r="M7" s="1">
        <v>0</v>
      </c>
      <c r="N7" s="1">
        <v>163239671.56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52531996</v>
      </c>
      <c r="V7" s="1">
        <v>6000000</v>
      </c>
      <c r="W7" s="1">
        <f t="shared" si="0"/>
        <v>607401846.08000004</v>
      </c>
    </row>
    <row r="8" spans="1:23" x14ac:dyDescent="0.3">
      <c r="A8" s="7" t="s">
        <v>40</v>
      </c>
      <c r="B8" s="1">
        <v>259131.84</v>
      </c>
      <c r="C8" s="1">
        <v>171546.42</v>
      </c>
      <c r="D8" s="1">
        <v>90570</v>
      </c>
      <c r="E8" s="1">
        <v>6568496.0599999996</v>
      </c>
      <c r="F8" s="1">
        <v>2162707</v>
      </c>
      <c r="G8" s="1">
        <v>88245.46</v>
      </c>
      <c r="H8" s="1">
        <v>361627.8</v>
      </c>
      <c r="I8" s="1">
        <v>0</v>
      </c>
      <c r="J8" s="1">
        <v>195821.43</v>
      </c>
      <c r="K8" s="1">
        <v>207267.62</v>
      </c>
      <c r="L8" s="1">
        <v>3913.45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218562.82</v>
      </c>
      <c r="S8" s="1">
        <v>0</v>
      </c>
      <c r="T8" s="1">
        <v>147685.70000000001</v>
      </c>
      <c r="U8" s="1">
        <v>0</v>
      </c>
      <c r="V8" s="1">
        <v>2764424</v>
      </c>
      <c r="W8" s="1">
        <f t="shared" si="0"/>
        <v>13239999.6</v>
      </c>
    </row>
    <row r="9" spans="1:23" x14ac:dyDescent="0.3">
      <c r="A9" s="7" t="s">
        <v>24</v>
      </c>
      <c r="B9" s="1">
        <v>5704827888.4499998</v>
      </c>
      <c r="C9" s="1">
        <v>219647696.34999999</v>
      </c>
      <c r="D9" s="1">
        <v>13174801712</v>
      </c>
      <c r="E9" s="1">
        <v>1468995111.3299999</v>
      </c>
      <c r="F9" s="1">
        <v>1203895457.9000001</v>
      </c>
      <c r="G9" s="1">
        <v>3791029110.23</v>
      </c>
      <c r="H9" s="1">
        <v>876175504.98000002</v>
      </c>
      <c r="I9" s="1">
        <v>1853392291.3499999</v>
      </c>
      <c r="J9" s="1">
        <v>3774504430.1599998</v>
      </c>
      <c r="K9" s="1">
        <v>3961804782.6199999</v>
      </c>
      <c r="L9" s="1">
        <v>1080776504.3399999</v>
      </c>
      <c r="M9" s="1">
        <v>1423052375.6900001</v>
      </c>
      <c r="N9" s="1">
        <v>4150329069.7800002</v>
      </c>
      <c r="O9" s="1">
        <v>0</v>
      </c>
      <c r="P9" s="1">
        <v>698238907.37</v>
      </c>
      <c r="Q9" s="1">
        <v>10191430748.370001</v>
      </c>
      <c r="R9" s="1">
        <v>8910531444.2999992</v>
      </c>
      <c r="S9" s="1">
        <v>0</v>
      </c>
      <c r="T9" s="1">
        <v>4248302469.8600001</v>
      </c>
      <c r="U9" s="1">
        <v>4031569958</v>
      </c>
      <c r="V9" s="1">
        <v>2428057469</v>
      </c>
      <c r="W9" s="1">
        <f t="shared" si="0"/>
        <v>73191362932.080002</v>
      </c>
    </row>
    <row r="10" spans="1:23" x14ac:dyDescent="0.3">
      <c r="A10" s="25" t="s">
        <v>113</v>
      </c>
      <c r="B10" s="1">
        <v>3410339640.3499999</v>
      </c>
      <c r="C10" s="1">
        <v>0</v>
      </c>
      <c r="D10" s="1">
        <v>6518856143</v>
      </c>
      <c r="E10" s="1">
        <v>0</v>
      </c>
      <c r="F10" s="1">
        <v>0</v>
      </c>
      <c r="G10" s="1">
        <v>1815179757.95</v>
      </c>
      <c r="H10" s="1">
        <v>0</v>
      </c>
      <c r="I10" s="1">
        <v>786991196.17999995</v>
      </c>
      <c r="J10" s="1">
        <v>2562711439.1300001</v>
      </c>
      <c r="K10" s="1">
        <v>1705923589.8800001</v>
      </c>
      <c r="L10" s="1">
        <v>265756243.22999999</v>
      </c>
      <c r="M10" s="1">
        <v>623634082.71000004</v>
      </c>
      <c r="N10" s="1">
        <v>1476384470.8800001</v>
      </c>
      <c r="O10" s="1">
        <v>0</v>
      </c>
      <c r="P10" s="1">
        <v>322679974.69</v>
      </c>
      <c r="Q10" s="1">
        <v>865988035.88</v>
      </c>
      <c r="R10" s="1">
        <v>472662400.73000002</v>
      </c>
      <c r="S10" s="1">
        <v>0</v>
      </c>
      <c r="T10" s="1">
        <v>1363610966.3</v>
      </c>
      <c r="U10" s="1">
        <v>847749964</v>
      </c>
      <c r="V10" s="1">
        <v>105945981</v>
      </c>
      <c r="W10" s="1">
        <f t="shared" ref="W10:W11" si="1">SUM(B10:V10)</f>
        <v>23144413885.91</v>
      </c>
    </row>
    <row r="11" spans="1:23" x14ac:dyDescent="0.3">
      <c r="A11" s="25" t="s">
        <v>114</v>
      </c>
      <c r="B11" s="1">
        <v>740959251.63999999</v>
      </c>
      <c r="C11" s="1">
        <v>31955546.640000001</v>
      </c>
      <c r="D11" s="1">
        <v>1409605263</v>
      </c>
      <c r="E11" s="1">
        <v>577657624.15999997</v>
      </c>
      <c r="F11" s="1">
        <v>429924575.20999998</v>
      </c>
      <c r="G11" s="1">
        <v>1348095117.8099999</v>
      </c>
      <c r="H11" s="1">
        <v>375107929.32999998</v>
      </c>
      <c r="I11" s="1">
        <v>524717660.57999998</v>
      </c>
      <c r="J11" s="1">
        <v>588453470.86000001</v>
      </c>
      <c r="K11" s="1">
        <v>605577339.57000005</v>
      </c>
      <c r="L11" s="1">
        <v>244060059.90000001</v>
      </c>
      <c r="M11" s="1">
        <v>579738112.10000002</v>
      </c>
      <c r="N11" s="1">
        <v>1128584013.8199999</v>
      </c>
      <c r="O11" s="1">
        <v>0</v>
      </c>
      <c r="P11" s="1">
        <v>213991495.47</v>
      </c>
      <c r="Q11" s="1">
        <v>4395864880.6300001</v>
      </c>
      <c r="R11" s="1">
        <v>6736145983.1499996</v>
      </c>
      <c r="S11" s="1">
        <v>0</v>
      </c>
      <c r="T11" s="1">
        <v>1615034026.79</v>
      </c>
      <c r="U11" s="1">
        <v>2533891634</v>
      </c>
      <c r="V11" s="1">
        <v>1722320235</v>
      </c>
      <c r="W11" s="1">
        <f t="shared" si="1"/>
        <v>25801684219.659996</v>
      </c>
    </row>
    <row r="12" spans="1:23" x14ac:dyDescent="0.3">
      <c r="A12" s="7" t="s">
        <v>41</v>
      </c>
      <c r="B12" s="1">
        <v>0</v>
      </c>
      <c r="C12" s="1">
        <v>4825.08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17009468.210000001</v>
      </c>
      <c r="L12" s="1">
        <v>1807546.32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3967045.37</v>
      </c>
      <c r="S12" s="1">
        <v>0</v>
      </c>
      <c r="T12" s="1">
        <v>0</v>
      </c>
      <c r="U12" s="1">
        <v>0</v>
      </c>
      <c r="V12" s="1">
        <v>0</v>
      </c>
      <c r="W12" s="1">
        <f t="shared" ref="W12:W22" si="2">SUM(B12:V12)</f>
        <v>22788884.98</v>
      </c>
    </row>
    <row r="13" spans="1:23" x14ac:dyDescent="0.3">
      <c r="A13" s="7" t="s">
        <v>25</v>
      </c>
      <c r="B13" s="1">
        <v>181168140.12</v>
      </c>
      <c r="C13" s="1">
        <v>428169097.67000002</v>
      </c>
      <c r="D13" s="1">
        <v>8630514689</v>
      </c>
      <c r="E13" s="1">
        <v>1720940200.6600001</v>
      </c>
      <c r="F13" s="1">
        <v>2566241562.98</v>
      </c>
      <c r="G13" s="1">
        <v>1383525792.53</v>
      </c>
      <c r="H13" s="1">
        <v>2555617929.3299999</v>
      </c>
      <c r="I13" s="1">
        <v>566170648.03999996</v>
      </c>
      <c r="J13" s="1">
        <v>1064618990.74</v>
      </c>
      <c r="K13" s="1">
        <v>970089570.00999999</v>
      </c>
      <c r="L13" s="1">
        <v>565981809.72000003</v>
      </c>
      <c r="M13" s="1">
        <v>829663571.91999996</v>
      </c>
      <c r="N13" s="1">
        <v>1394932837.02</v>
      </c>
      <c r="O13" s="1">
        <v>0</v>
      </c>
      <c r="P13" s="1">
        <v>50373026.939999998</v>
      </c>
      <c r="Q13" s="1">
        <v>444742823.68000001</v>
      </c>
      <c r="R13" s="1">
        <v>2613624751.0100002</v>
      </c>
      <c r="S13" s="1">
        <v>0</v>
      </c>
      <c r="T13" s="1">
        <v>300234220.47000003</v>
      </c>
      <c r="U13" s="1">
        <v>1458593861</v>
      </c>
      <c r="V13" s="1">
        <v>1031523736</v>
      </c>
      <c r="W13" s="1">
        <f t="shared" si="2"/>
        <v>28756727258.840004</v>
      </c>
    </row>
    <row r="14" spans="1:23" x14ac:dyDescent="0.3">
      <c r="A14" s="7" t="s">
        <v>26</v>
      </c>
      <c r="B14" s="1">
        <v>131734.85</v>
      </c>
      <c r="C14" s="1">
        <v>16332173.82</v>
      </c>
      <c r="D14" s="1">
        <v>3798185</v>
      </c>
      <c r="E14" s="1">
        <v>421312.56</v>
      </c>
      <c r="F14" s="1">
        <v>3748688.28</v>
      </c>
      <c r="G14" s="1">
        <v>790931.85</v>
      </c>
      <c r="H14" s="1">
        <v>407166.98</v>
      </c>
      <c r="I14" s="1">
        <v>241452520.41999999</v>
      </c>
      <c r="J14" s="1">
        <v>0</v>
      </c>
      <c r="K14" s="1">
        <v>554175.68999999994</v>
      </c>
      <c r="L14" s="1">
        <v>0</v>
      </c>
      <c r="M14" s="1">
        <v>0</v>
      </c>
      <c r="N14" s="1">
        <v>444630721.51999998</v>
      </c>
      <c r="O14" s="1">
        <v>0</v>
      </c>
      <c r="P14" s="1">
        <v>0</v>
      </c>
      <c r="Q14" s="1">
        <v>9806442.9600000009</v>
      </c>
      <c r="R14" s="1">
        <v>82178.73</v>
      </c>
      <c r="S14" s="1">
        <v>0</v>
      </c>
      <c r="T14" s="1">
        <v>48713.91</v>
      </c>
      <c r="U14" s="1">
        <v>192344</v>
      </c>
      <c r="V14" s="1">
        <v>692083</v>
      </c>
      <c r="W14" s="1">
        <f t="shared" si="2"/>
        <v>723089373.57000005</v>
      </c>
    </row>
    <row r="15" spans="1:23" x14ac:dyDescent="0.3">
      <c r="A15" s="4" t="s">
        <v>27</v>
      </c>
      <c r="B15" s="5">
        <f t="shared" ref="B15:N15" si="3">SUM(B2:B9)+SUM(B12:B14)</f>
        <v>7241382850.5900002</v>
      </c>
      <c r="C15" s="5">
        <f t="shared" si="3"/>
        <v>4377095455.4099998</v>
      </c>
      <c r="D15" s="5">
        <f t="shared" si="3"/>
        <v>26329610474</v>
      </c>
      <c r="E15" s="5">
        <f t="shared" si="3"/>
        <v>15895741007.589998</v>
      </c>
      <c r="F15" s="5">
        <f t="shared" si="3"/>
        <v>9699391069.289999</v>
      </c>
      <c r="G15" s="5">
        <f t="shared" si="3"/>
        <v>10098843594.469999</v>
      </c>
      <c r="H15" s="5">
        <f t="shared" si="3"/>
        <v>6671554536.4900007</v>
      </c>
      <c r="I15" s="5">
        <f t="shared" si="3"/>
        <v>2950955700.2199998</v>
      </c>
      <c r="J15" s="5">
        <f t="shared" si="3"/>
        <v>5849646018.3299999</v>
      </c>
      <c r="K15" s="5">
        <f t="shared" si="3"/>
        <v>6281297910.9200001</v>
      </c>
      <c r="L15" s="5">
        <f t="shared" si="3"/>
        <v>2718686709.71</v>
      </c>
      <c r="M15" s="5">
        <f t="shared" si="3"/>
        <v>3205814509.9200001</v>
      </c>
      <c r="N15" s="5">
        <f t="shared" si="3"/>
        <v>7551175844.4300003</v>
      </c>
      <c r="O15" s="5">
        <f t="shared" ref="O15:S15" si="4">SUM(O2:O9)+SUM(O12:O14)</f>
        <v>0</v>
      </c>
      <c r="P15" s="5">
        <f t="shared" ref="P15" si="5">SUM(P2:P9)+SUM(P12:P14)</f>
        <v>1088720905.6100001</v>
      </c>
      <c r="Q15" s="5">
        <f>SUM(Q2:Q9)+SUM(Q12:Q14)</f>
        <v>12469440818.799999</v>
      </c>
      <c r="R15" s="5">
        <f>SUM(R2:R9)+SUM(R12:R14)</f>
        <v>13561325600.48</v>
      </c>
      <c r="S15" s="5">
        <f t="shared" si="4"/>
        <v>0</v>
      </c>
      <c r="T15" s="5">
        <f>SUM(T2:T9)+SUM(T12:T14)</f>
        <v>7927004831.1899996</v>
      </c>
      <c r="U15" s="5">
        <f>SUM(U2:U9)+SUM(U12:U14)</f>
        <v>9258661548</v>
      </c>
      <c r="V15" s="5">
        <f>SUM(V2:V9)+SUM(V12:V14)</f>
        <v>6464748494</v>
      </c>
      <c r="W15" s="5">
        <f t="shared" si="2"/>
        <v>159641097879.44998</v>
      </c>
    </row>
    <row r="16" spans="1:23" x14ac:dyDescent="0.3">
      <c r="A16" s="7" t="s">
        <v>28</v>
      </c>
      <c r="B16" s="1">
        <v>-8093579099.1999998</v>
      </c>
      <c r="C16" s="1">
        <v>2125784472.3299999</v>
      </c>
      <c r="D16" s="1">
        <v>210621519</v>
      </c>
      <c r="E16" s="1">
        <v>1265393975.0699999</v>
      </c>
      <c r="F16" s="1">
        <v>721460210.36000001</v>
      </c>
      <c r="G16" s="1">
        <v>421722914.32999998</v>
      </c>
      <c r="H16" s="1">
        <v>1766813128.1900001</v>
      </c>
      <c r="I16" s="1">
        <v>-462672814.49000001</v>
      </c>
      <c r="J16" s="1">
        <v>-1310591488.74</v>
      </c>
      <c r="K16" s="1">
        <v>-2753995156.9200001</v>
      </c>
      <c r="L16" s="1">
        <v>9360304.9499999993</v>
      </c>
      <c r="M16" s="1">
        <v>-460903305.97000003</v>
      </c>
      <c r="N16" s="1">
        <v>-20942154147.290001</v>
      </c>
      <c r="O16" s="1">
        <v>0</v>
      </c>
      <c r="P16" s="1">
        <v>460559001.85000002</v>
      </c>
      <c r="Q16" s="1">
        <v>-13738682073.27</v>
      </c>
      <c r="R16" s="1">
        <v>-49056951.920000002</v>
      </c>
      <c r="S16" s="1">
        <v>0</v>
      </c>
      <c r="T16" s="1">
        <v>1344876587.8299999</v>
      </c>
      <c r="U16" s="1">
        <v>-7181105182</v>
      </c>
      <c r="V16" s="1">
        <v>405326201</v>
      </c>
      <c r="W16" s="1">
        <f t="shared" si="2"/>
        <v>-46260821904.889999</v>
      </c>
    </row>
    <row r="17" spans="1:23" x14ac:dyDescent="0.3">
      <c r="A17" s="7" t="s">
        <v>29</v>
      </c>
      <c r="B17" s="1">
        <v>1477472420.99</v>
      </c>
      <c r="C17" s="1">
        <v>766099852.00999999</v>
      </c>
      <c r="D17" s="1">
        <v>2544184348</v>
      </c>
      <c r="E17" s="1">
        <v>12560849892.299999</v>
      </c>
      <c r="F17" s="1">
        <v>6314119273.4799995</v>
      </c>
      <c r="G17" s="1">
        <v>1887735827.4400001</v>
      </c>
      <c r="H17" s="1">
        <v>3163822195.3899999</v>
      </c>
      <c r="I17" s="1">
        <v>257273331.86000001</v>
      </c>
      <c r="J17" s="1">
        <v>399876070.85000002</v>
      </c>
      <c r="K17" s="1">
        <v>1033790984.99</v>
      </c>
      <c r="L17" s="1">
        <v>426494567.06</v>
      </c>
      <c r="M17" s="1">
        <v>1060411001.1</v>
      </c>
      <c r="N17" s="1">
        <v>-632919450.37</v>
      </c>
      <c r="O17" s="1">
        <v>0</v>
      </c>
      <c r="P17" s="1">
        <v>-518460364.81999999</v>
      </c>
      <c r="Q17" s="1">
        <v>4040477648.8699999</v>
      </c>
      <c r="R17" s="1">
        <v>807591299.53999996</v>
      </c>
      <c r="S17" s="1">
        <v>0</v>
      </c>
      <c r="T17" s="1">
        <v>1069578858.1</v>
      </c>
      <c r="U17" s="1">
        <v>1935272196</v>
      </c>
      <c r="V17" s="1">
        <v>1503041066</v>
      </c>
      <c r="W17" s="1">
        <f t="shared" si="2"/>
        <v>40096711018.790001</v>
      </c>
    </row>
    <row r="18" spans="1:23" x14ac:dyDescent="0.3">
      <c r="A18" s="7" t="s">
        <v>30</v>
      </c>
      <c r="B18" s="1">
        <v>229469988.25</v>
      </c>
      <c r="C18" s="1">
        <v>264276777.03</v>
      </c>
      <c r="D18" s="1">
        <v>391743051</v>
      </c>
      <c r="E18" s="1">
        <v>166110949.65000001</v>
      </c>
      <c r="F18" s="1">
        <v>342498667.31999999</v>
      </c>
      <c r="G18" s="1">
        <v>256743093.08000001</v>
      </c>
      <c r="H18" s="1">
        <v>273235347.52999997</v>
      </c>
      <c r="I18" s="1">
        <v>72546797.540000007</v>
      </c>
      <c r="J18" s="1">
        <v>378533598.04000002</v>
      </c>
      <c r="K18" s="1">
        <v>314838145.05000001</v>
      </c>
      <c r="L18" s="1">
        <v>27684786.600000001</v>
      </c>
      <c r="M18" s="1">
        <v>54903590.789999999</v>
      </c>
      <c r="N18" s="1">
        <v>498164467.76999998</v>
      </c>
      <c r="O18" s="1">
        <v>0</v>
      </c>
      <c r="P18" s="1">
        <v>-91760937.689999998</v>
      </c>
      <c r="Q18" s="1">
        <v>2383271806.71</v>
      </c>
      <c r="R18" s="1">
        <v>49729210.25</v>
      </c>
      <c r="S18" s="1">
        <v>0</v>
      </c>
      <c r="T18" s="1">
        <v>114025449.01000001</v>
      </c>
      <c r="U18" s="1">
        <v>582249156</v>
      </c>
      <c r="V18" s="1">
        <v>592247997</v>
      </c>
      <c r="W18" s="1">
        <f t="shared" si="2"/>
        <v>6900511940.9300003</v>
      </c>
    </row>
    <row r="19" spans="1:23" x14ac:dyDescent="0.3">
      <c r="A19" s="7" t="s">
        <v>31</v>
      </c>
      <c r="B19" s="1">
        <v>607283600.53999996</v>
      </c>
      <c r="C19" s="1">
        <v>51254005.159999996</v>
      </c>
      <c r="D19" s="1">
        <f>176228547+204496</f>
        <v>176433043</v>
      </c>
      <c r="E19" s="1">
        <f>21772513.48+108177685.31</f>
        <v>129950198.79000001</v>
      </c>
      <c r="F19" s="1">
        <f>10836527.85+236869442.77</f>
        <v>247705970.62</v>
      </c>
      <c r="G19" s="1">
        <f>102329011.48+299441.93</f>
        <v>102628453.41000001</v>
      </c>
      <c r="H19" s="1">
        <v>540045695.22000003</v>
      </c>
      <c r="I19" s="1">
        <v>52412046.439999998</v>
      </c>
      <c r="J19" s="1">
        <v>47041988.479999997</v>
      </c>
      <c r="K19" s="1">
        <v>8952097.7200000007</v>
      </c>
      <c r="L19" s="1">
        <v>98369775.049999997</v>
      </c>
      <c r="M19" s="1">
        <v>117396322.34999999</v>
      </c>
      <c r="N19" s="1">
        <v>91202372.280000001</v>
      </c>
      <c r="O19" s="1">
        <v>0</v>
      </c>
      <c r="P19" s="1">
        <v>396370151.64999998</v>
      </c>
      <c r="Q19" s="1">
        <v>614786158.77999997</v>
      </c>
      <c r="R19" s="1">
        <v>678742172.58000004</v>
      </c>
      <c r="S19" s="1">
        <v>0</v>
      </c>
      <c r="T19" s="1">
        <v>96881620.010000005</v>
      </c>
      <c r="U19" s="1">
        <v>716190096</v>
      </c>
      <c r="V19" s="1">
        <v>116952813</v>
      </c>
      <c r="W19" s="1">
        <f t="shared" si="2"/>
        <v>4890598581.0800009</v>
      </c>
    </row>
    <row r="20" spans="1:23" x14ac:dyDescent="0.3">
      <c r="A20" s="7" t="s">
        <v>20</v>
      </c>
      <c r="B20" s="1">
        <v>5341656395</v>
      </c>
      <c r="C20" s="1">
        <v>733317020.39999998</v>
      </c>
      <c r="D20" s="1">
        <v>10918928235</v>
      </c>
      <c r="E20" s="1">
        <v>183580642.06</v>
      </c>
      <c r="F20" s="1">
        <v>111619700.5</v>
      </c>
      <c r="G20" s="1">
        <v>4756101409.2600002</v>
      </c>
      <c r="H20" s="1">
        <f>113550318.74+520000+226648004.45</f>
        <v>340718323.19</v>
      </c>
      <c r="I20" s="1">
        <v>1547696368.71</v>
      </c>
      <c r="J20" s="1">
        <v>3745841775.0900002</v>
      </c>
      <c r="K20" s="1">
        <v>4031324993.7199998</v>
      </c>
      <c r="L20" s="1">
        <v>1346788374.4300001</v>
      </c>
      <c r="M20" s="1">
        <v>1312086632.55</v>
      </c>
      <c r="N20" s="1">
        <v>22575021714.580002</v>
      </c>
      <c r="O20" s="1">
        <v>0</v>
      </c>
      <c r="P20" s="1">
        <v>431618573.87</v>
      </c>
      <c r="Q20" s="1">
        <v>8730930635.4899998</v>
      </c>
      <c r="R20" s="1">
        <v>3798325462.3499999</v>
      </c>
      <c r="S20" s="1">
        <v>0</v>
      </c>
      <c r="T20" s="1">
        <v>1805864091.8299999</v>
      </c>
      <c r="U20" s="1">
        <v>8005983399</v>
      </c>
      <c r="V20" s="1">
        <v>1478634948</v>
      </c>
      <c r="W20" s="1">
        <f t="shared" si="2"/>
        <v>81196038695.030014</v>
      </c>
    </row>
    <row r="21" spans="1:23" x14ac:dyDescent="0.3">
      <c r="A21" s="7" t="s">
        <v>32</v>
      </c>
      <c r="B21" s="1">
        <v>43746161.020000003</v>
      </c>
      <c r="C21" s="1">
        <v>62141435.630000003</v>
      </c>
      <c r="D21" s="1">
        <v>116254481</v>
      </c>
      <c r="E21" s="1">
        <v>273208397.89999998</v>
      </c>
      <c r="F21" s="1">
        <v>161442948.75</v>
      </c>
      <c r="G21" s="1">
        <v>330443363.88999999</v>
      </c>
      <c r="H21" s="1">
        <v>110976497.72</v>
      </c>
      <c r="I21" s="1">
        <v>80621809.909999996</v>
      </c>
      <c r="J21" s="1">
        <v>89482719.299999997</v>
      </c>
      <c r="K21" s="1">
        <v>540604.09</v>
      </c>
      <c r="L21" s="1">
        <v>27093947.66</v>
      </c>
      <c r="M21" s="1">
        <v>179399801.94</v>
      </c>
      <c r="N21" s="1">
        <v>172083590.93000001</v>
      </c>
      <c r="O21" s="1">
        <v>0</v>
      </c>
      <c r="P21" s="1">
        <v>18125179.559999999</v>
      </c>
      <c r="Q21" s="1">
        <v>19178336.329999998</v>
      </c>
      <c r="R21" s="1">
        <v>226941450.69</v>
      </c>
      <c r="S21" s="1">
        <v>0</v>
      </c>
      <c r="T21" s="1">
        <v>255523897.83000001</v>
      </c>
      <c r="U21" s="1">
        <v>159545753</v>
      </c>
      <c r="V21" s="1">
        <v>53774192</v>
      </c>
      <c r="W21" s="1">
        <f t="shared" si="2"/>
        <v>2380524569.1500001</v>
      </c>
    </row>
    <row r="22" spans="1:23" x14ac:dyDescent="0.3">
      <c r="A22" s="7" t="s">
        <v>33</v>
      </c>
      <c r="B22" s="1">
        <v>7029617622.0500002</v>
      </c>
      <c r="C22" s="1">
        <v>65601866.5</v>
      </c>
      <c r="D22" s="1">
        <v>8698164874</v>
      </c>
      <c r="E22" s="1">
        <v>1126188305.1800001</v>
      </c>
      <c r="F22" s="1">
        <v>1746105233.0699999</v>
      </c>
      <c r="G22" s="1">
        <v>1650055855.22</v>
      </c>
      <c r="H22" s="1">
        <f>377694139.17+10444433.11+30382673.05</f>
        <v>418521245.33000004</v>
      </c>
      <c r="I22" s="1">
        <v>813135598.26999998</v>
      </c>
      <c r="J22" s="1">
        <v>1439913890.46</v>
      </c>
      <c r="K22" s="1">
        <v>1563632250.5699999</v>
      </c>
      <c r="L22" s="1">
        <v>384842510.42000002</v>
      </c>
      <c r="M22" s="1">
        <v>503591707.74000001</v>
      </c>
      <c r="N22" s="1">
        <v>3375116146.0900002</v>
      </c>
      <c r="O22" s="1">
        <v>0</v>
      </c>
      <c r="P22" s="1">
        <v>371197743.85000002</v>
      </c>
      <c r="Q22" s="1">
        <v>6760128010.79</v>
      </c>
      <c r="R22" s="1">
        <v>5958659515.6700001</v>
      </c>
      <c r="S22" s="1">
        <v>0</v>
      </c>
      <c r="T22" s="1">
        <v>2421937572.0900002</v>
      </c>
      <c r="U22" s="1">
        <v>2228969410</v>
      </c>
      <c r="V22" s="1">
        <v>1197064979</v>
      </c>
      <c r="W22" s="1">
        <f t="shared" si="2"/>
        <v>47752444336.300003</v>
      </c>
    </row>
    <row r="23" spans="1:23" x14ac:dyDescent="0.3">
      <c r="A23" s="25" t="s">
        <v>115</v>
      </c>
      <c r="B23" s="1">
        <v>2498299759.2800002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2557258633.3200002</v>
      </c>
      <c r="O23" s="1">
        <v>0</v>
      </c>
      <c r="P23" s="1">
        <v>0</v>
      </c>
      <c r="Q23" s="1">
        <v>2090441229.01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f t="shared" ref="W23:W24" si="6">SUM(B23:V23)</f>
        <v>7145999621.6100006</v>
      </c>
    </row>
    <row r="24" spans="1:23" x14ac:dyDescent="0.3">
      <c r="A24" s="25" t="s">
        <v>116</v>
      </c>
      <c r="B24" s="1">
        <v>3848480686.8400002</v>
      </c>
      <c r="C24" s="1">
        <v>57770073.57</v>
      </c>
      <c r="D24" s="1">
        <v>8328967613</v>
      </c>
      <c r="E24" s="1">
        <v>1048115811.74</v>
      </c>
      <c r="F24" s="1">
        <v>1391874546.1600001</v>
      </c>
      <c r="G24" s="1">
        <v>1324302014.04</v>
      </c>
      <c r="H24" s="1">
        <v>377694139.17000002</v>
      </c>
      <c r="I24" s="1">
        <v>685651936.75999999</v>
      </c>
      <c r="J24" s="1">
        <v>1233598398.02</v>
      </c>
      <c r="K24" s="1">
        <v>1389328793.6900001</v>
      </c>
      <c r="L24" s="1">
        <v>345818466.79000002</v>
      </c>
      <c r="M24" s="1">
        <v>464874161.85000002</v>
      </c>
      <c r="N24" s="1">
        <v>448733376</v>
      </c>
      <c r="O24" s="1">
        <v>0</v>
      </c>
      <c r="P24" s="1">
        <v>352129604.37</v>
      </c>
      <c r="Q24" s="1">
        <v>3626502784</v>
      </c>
      <c r="R24" s="1">
        <v>4549694247.0200005</v>
      </c>
      <c r="S24" s="1">
        <v>0</v>
      </c>
      <c r="T24" s="1">
        <v>2328616759.1599998</v>
      </c>
      <c r="U24" s="1">
        <v>1979353204</v>
      </c>
      <c r="V24" s="1">
        <v>1009409214</v>
      </c>
      <c r="W24" s="1">
        <f t="shared" si="6"/>
        <v>34790915830.179993</v>
      </c>
    </row>
    <row r="25" spans="1:23" x14ac:dyDescent="0.3">
      <c r="A25" s="7" t="s">
        <v>34</v>
      </c>
      <c r="B25" s="1">
        <v>41924697.609999999</v>
      </c>
      <c r="C25" s="1">
        <v>46576774.07</v>
      </c>
      <c r="D25" s="1">
        <v>1717395438</v>
      </c>
      <c r="E25" s="1">
        <f>19703867.87+160809364.27</f>
        <v>180513232.14000002</v>
      </c>
      <c r="F25" s="1">
        <v>52458064.450000003</v>
      </c>
      <c r="G25" s="1">
        <f>2600481.5+434790612.77</f>
        <v>437391094.26999998</v>
      </c>
      <c r="H25" s="1">
        <f>39234+36802782.87+3813387.71+15370964.25</f>
        <v>56026368.829999998</v>
      </c>
      <c r="I25" s="1">
        <v>373027616.29000002</v>
      </c>
      <c r="J25" s="1">
        <v>111053844.34</v>
      </c>
      <c r="K25" s="1">
        <f>1173509675.41+156900</f>
        <v>1173666575.4100001</v>
      </c>
      <c r="L25" s="1">
        <v>25483185.390000001</v>
      </c>
      <c r="M25" s="1">
        <v>337542326.56999999</v>
      </c>
      <c r="N25" s="1">
        <v>1685754422.21</v>
      </c>
      <c r="O25" s="1">
        <v>0</v>
      </c>
      <c r="P25" s="1">
        <v>20395206.800000001</v>
      </c>
      <c r="Q25" s="1">
        <v>2198588205.04</v>
      </c>
      <c r="R25" s="1">
        <v>301993739.23000002</v>
      </c>
      <c r="S25" s="1">
        <v>0</v>
      </c>
      <c r="T25" s="1">
        <v>241824073.78</v>
      </c>
      <c r="U25" s="1">
        <v>1670354198</v>
      </c>
      <c r="V25" s="1">
        <v>700608965</v>
      </c>
      <c r="W25" s="1">
        <f>SUM(B25:V25)</f>
        <v>11372578027.43</v>
      </c>
    </row>
    <row r="26" spans="1:23" x14ac:dyDescent="0.3">
      <c r="A26" s="7" t="s">
        <v>35</v>
      </c>
      <c r="B26" s="1">
        <v>563791064.33000004</v>
      </c>
      <c r="C26" s="1">
        <v>262043252.28</v>
      </c>
      <c r="D26" s="1">
        <v>1555885485</v>
      </c>
      <c r="E26" s="1">
        <v>9945414.5</v>
      </c>
      <c r="F26" s="1">
        <v>1981000.74</v>
      </c>
      <c r="G26" s="1">
        <v>256021583.56999999</v>
      </c>
      <c r="H26" s="1">
        <v>1395735.09</v>
      </c>
      <c r="I26" s="1">
        <v>216914945</v>
      </c>
      <c r="J26" s="1">
        <v>948493620.50999999</v>
      </c>
      <c r="K26" s="1">
        <v>908547416.28999996</v>
      </c>
      <c r="L26" s="1">
        <v>372569258.16000003</v>
      </c>
      <c r="M26" s="1">
        <v>101386432.84999999</v>
      </c>
      <c r="N26" s="1">
        <v>728906728.23000002</v>
      </c>
      <c r="O26" s="1">
        <v>0</v>
      </c>
      <c r="P26" s="1">
        <v>676350.54</v>
      </c>
      <c r="Q26" s="1">
        <v>1460762090.0599999</v>
      </c>
      <c r="R26" s="1">
        <v>1788399702.0899999</v>
      </c>
      <c r="S26" s="1">
        <v>0</v>
      </c>
      <c r="T26" s="1">
        <v>576492680.71000004</v>
      </c>
      <c r="U26" s="1">
        <v>1141202522</v>
      </c>
      <c r="V26" s="1">
        <v>417097333</v>
      </c>
      <c r="W26" s="1">
        <f>SUM(B26:V26)</f>
        <v>11312512614.950001</v>
      </c>
    </row>
    <row r="27" spans="1:23" x14ac:dyDescent="0.3">
      <c r="A27" s="21" t="s">
        <v>36</v>
      </c>
      <c r="B27" s="2">
        <f t="shared" ref="B27:N27" si="7">SUM(B16:B26)-B23-B24</f>
        <v>7241382850.5900002</v>
      </c>
      <c r="C27" s="2">
        <f t="shared" si="7"/>
        <v>4377095455.4100008</v>
      </c>
      <c r="D27" s="2">
        <f t="shared" si="7"/>
        <v>26329610474</v>
      </c>
      <c r="E27" s="2">
        <f t="shared" si="7"/>
        <v>15895741007.589998</v>
      </c>
      <c r="F27" s="2">
        <f t="shared" si="7"/>
        <v>9699391069.289999</v>
      </c>
      <c r="G27" s="2">
        <f t="shared" si="7"/>
        <v>10098843594.470001</v>
      </c>
      <c r="H27" s="2">
        <f t="shared" si="7"/>
        <v>6671554536.4899998</v>
      </c>
      <c r="I27" s="2">
        <f t="shared" si="7"/>
        <v>2950955699.5299997</v>
      </c>
      <c r="J27" s="2">
        <f t="shared" si="7"/>
        <v>5849646018.3299999</v>
      </c>
      <c r="K27" s="2">
        <f t="shared" si="7"/>
        <v>6281297910.9200001</v>
      </c>
      <c r="L27" s="2">
        <f t="shared" si="7"/>
        <v>2718686709.7199998</v>
      </c>
      <c r="M27" s="2">
        <f t="shared" si="7"/>
        <v>3205814509.9200001</v>
      </c>
      <c r="N27" s="2">
        <f t="shared" si="7"/>
        <v>7551175844.4300003</v>
      </c>
      <c r="O27" s="2">
        <f t="shared" ref="O27:S27" si="8">SUM(O16:O26)-O23-O24</f>
        <v>0</v>
      </c>
      <c r="P27" s="2">
        <f>SUM(P16:P26)-P23-P24</f>
        <v>1088720905.6099997</v>
      </c>
      <c r="Q27" s="2">
        <f>SUM(Q16:Q26)-Q23-Q24</f>
        <v>12469440818.799997</v>
      </c>
      <c r="R27" s="2">
        <f>SUM(R16:R26)-R23-R24</f>
        <v>13561325600.48</v>
      </c>
      <c r="S27" s="2">
        <f t="shared" si="8"/>
        <v>0</v>
      </c>
      <c r="T27" s="2">
        <f>SUM(T16:T26)-T23-T24</f>
        <v>7927004831.1900024</v>
      </c>
      <c r="U27" s="2">
        <f>SUM(U16:U26)-U23-U24</f>
        <v>9258661548</v>
      </c>
      <c r="V27" s="2">
        <f>SUM(V16:V26)-V23-V24</f>
        <v>6464748494</v>
      </c>
      <c r="W27" s="2">
        <f>SUM(B27:V27)</f>
        <v>159641097878.77002</v>
      </c>
    </row>
    <row r="28" spans="1:23" x14ac:dyDescent="0.3">
      <c r="A28" s="4" t="s">
        <v>71</v>
      </c>
      <c r="B28" s="5">
        <f>B16+B17+B18</f>
        <v>-6386636689.96</v>
      </c>
      <c r="C28" s="5">
        <f>C16+C17+C18</f>
        <v>3156161101.3700004</v>
      </c>
      <c r="D28" s="5">
        <f t="shared" ref="D28" si="9">D16+D17+D18</f>
        <v>3146548918</v>
      </c>
      <c r="E28" s="5">
        <f t="shared" ref="E28:M28" si="10">E16+E17+E18</f>
        <v>13992354817.019999</v>
      </c>
      <c r="F28" s="5">
        <f t="shared" si="10"/>
        <v>7378078151.1599989</v>
      </c>
      <c r="G28" s="5">
        <f t="shared" si="10"/>
        <v>2566201834.8499999</v>
      </c>
      <c r="H28" s="5">
        <f t="shared" si="10"/>
        <v>5203870671.1099997</v>
      </c>
      <c r="I28" s="5">
        <f t="shared" si="10"/>
        <v>-132852685.08999999</v>
      </c>
      <c r="J28" s="5">
        <f t="shared" si="10"/>
        <v>-532181819.84999996</v>
      </c>
      <c r="K28" s="5">
        <f t="shared" si="10"/>
        <v>-1405366026.8800001</v>
      </c>
      <c r="L28" s="5">
        <f t="shared" si="10"/>
        <v>463539658.61000001</v>
      </c>
      <c r="M28" s="5">
        <f t="shared" si="10"/>
        <v>654411285.91999996</v>
      </c>
      <c r="N28" s="5">
        <f t="shared" ref="N28" si="11">N16+N17+N18</f>
        <v>-21076909129.889999</v>
      </c>
      <c r="O28" s="5">
        <f t="shared" ref="O28:S28" si="12">O16+O17+O18</f>
        <v>0</v>
      </c>
      <c r="P28" s="5">
        <f>P16+P17+P18</f>
        <v>-149662300.65999997</v>
      </c>
      <c r="Q28" s="5">
        <f>Q16+Q17+Q18</f>
        <v>-7314932617.6900015</v>
      </c>
      <c r="R28" s="5">
        <f>R16+R17+R18</f>
        <v>808263557.87</v>
      </c>
      <c r="S28" s="5">
        <f t="shared" si="12"/>
        <v>0</v>
      </c>
      <c r="T28" s="5">
        <f>T16+T17+T18</f>
        <v>2528480894.9400001</v>
      </c>
      <c r="U28" s="5">
        <f>U16+U17+U18</f>
        <v>-4663583830</v>
      </c>
      <c r="V28" s="5">
        <f>V16+V17+V18</f>
        <v>2500615264</v>
      </c>
      <c r="W28" s="5">
        <f>SUM(B28:V28)</f>
        <v>736401054.82999372</v>
      </c>
    </row>
    <row r="29" spans="1:23" x14ac:dyDescent="0.3">
      <c r="A29" s="25" t="s">
        <v>82</v>
      </c>
      <c r="B29" s="26">
        <f>B28/B27*100</f>
        <v>-88.196368314370261</v>
      </c>
      <c r="C29" s="26">
        <f t="shared" ref="C29:W29" si="13">C28/C27*100</f>
        <v>72.106289056800193</v>
      </c>
      <c r="D29" s="26">
        <f t="shared" si="13"/>
        <v>11.950609452073582</v>
      </c>
      <c r="E29" s="26">
        <f t="shared" si="13"/>
        <v>88.025810249039921</v>
      </c>
      <c r="F29" s="26">
        <f t="shared" si="13"/>
        <v>76.067436589089695</v>
      </c>
      <c r="G29" s="26">
        <f t="shared" si="13"/>
        <v>25.410848389168233</v>
      </c>
      <c r="H29" s="26">
        <f t="shared" si="13"/>
        <v>78.000871350859555</v>
      </c>
      <c r="I29" s="26">
        <f t="shared" si="13"/>
        <v>-4.5020223485957276</v>
      </c>
      <c r="J29" s="26">
        <f t="shared" si="13"/>
        <v>-9.0976756231470421</v>
      </c>
      <c r="K29" s="26">
        <f t="shared" si="13"/>
        <v>-22.373815838869536</v>
      </c>
      <c r="L29" s="26">
        <f t="shared" si="13"/>
        <v>17.050131482701826</v>
      </c>
      <c r="M29" s="26">
        <f t="shared" si="13"/>
        <v>20.413261088406845</v>
      </c>
      <c r="N29" s="26">
        <f t="shared" si="13"/>
        <v>-279.12088877438907</v>
      </c>
      <c r="O29" s="26" t="e">
        <f t="shared" si="13"/>
        <v>#DIV/0!</v>
      </c>
      <c r="P29" s="26">
        <f t="shared" si="13"/>
        <v>-13.746617695023101</v>
      </c>
      <c r="Q29" s="26">
        <f t="shared" si="13"/>
        <v>-58.662876098352235</v>
      </c>
      <c r="R29" s="26">
        <f t="shared" si="13"/>
        <v>5.9600630622819919</v>
      </c>
      <c r="S29" s="26" t="e">
        <f t="shared" si="13"/>
        <v>#DIV/0!</v>
      </c>
      <c r="T29" s="26">
        <f t="shared" si="13"/>
        <v>31.897052528482238</v>
      </c>
      <c r="U29" s="26">
        <f t="shared" si="13"/>
        <v>-50.369956886558832</v>
      </c>
      <c r="V29" s="26">
        <f t="shared" si="13"/>
        <v>38.680781879153486</v>
      </c>
      <c r="W29" s="26">
        <f t="shared" si="13"/>
        <v>0.46128538616616754</v>
      </c>
    </row>
    <row r="30" spans="1:23" x14ac:dyDescent="0.3">
      <c r="A30" s="25" t="s">
        <v>91</v>
      </c>
      <c r="B30" s="1">
        <f>B20+B21+B22+B25</f>
        <v>12456944875.68</v>
      </c>
      <c r="C30" s="1">
        <f t="shared" ref="C30:W30" si="14">C20+C21+C22+C25</f>
        <v>907637096.60000002</v>
      </c>
      <c r="D30" s="1">
        <f t="shared" si="14"/>
        <v>21450743028</v>
      </c>
      <c r="E30" s="1">
        <f t="shared" si="14"/>
        <v>1763490577.2800002</v>
      </c>
      <c r="F30" s="1">
        <f t="shared" si="14"/>
        <v>2071625946.77</v>
      </c>
      <c r="G30" s="1">
        <f t="shared" si="14"/>
        <v>7173991722.6400013</v>
      </c>
      <c r="H30" s="1">
        <f t="shared" si="14"/>
        <v>926242435.07000005</v>
      </c>
      <c r="I30" s="1">
        <f t="shared" si="14"/>
        <v>2814481393.1800003</v>
      </c>
      <c r="J30" s="1">
        <f t="shared" si="14"/>
        <v>5386292229.1900005</v>
      </c>
      <c r="K30" s="1">
        <f t="shared" si="14"/>
        <v>6769164423.79</v>
      </c>
      <c r="L30" s="1">
        <f t="shared" si="14"/>
        <v>1784208017.9000003</v>
      </c>
      <c r="M30" s="1">
        <f t="shared" si="14"/>
        <v>2332620468.8000002</v>
      </c>
      <c r="N30" s="1">
        <f t="shared" si="14"/>
        <v>27807975873.810001</v>
      </c>
      <c r="O30" s="1">
        <f t="shared" si="14"/>
        <v>0</v>
      </c>
      <c r="P30" s="1">
        <f t="shared" si="14"/>
        <v>841336704.07999992</v>
      </c>
      <c r="Q30" s="1">
        <f t="shared" si="14"/>
        <v>17708825187.650002</v>
      </c>
      <c r="R30" s="1">
        <f t="shared" si="14"/>
        <v>10285920167.939999</v>
      </c>
      <c r="S30" s="1">
        <f t="shared" si="14"/>
        <v>0</v>
      </c>
      <c r="T30" s="1">
        <f t="shared" si="14"/>
        <v>4725149635.5299997</v>
      </c>
      <c r="U30" s="1">
        <f t="shared" si="14"/>
        <v>12064852760</v>
      </c>
      <c r="V30" s="1">
        <f t="shared" si="14"/>
        <v>3430083084</v>
      </c>
      <c r="W30" s="1">
        <f t="shared" si="14"/>
        <v>142701585627.91</v>
      </c>
    </row>
    <row r="31" spans="1:23" x14ac:dyDescent="0.3">
      <c r="A31" s="25" t="s">
        <v>129</v>
      </c>
      <c r="B31" s="1">
        <f>B28-Stato_patrimoniale_2018!B28</f>
        <v>242648640.92000008</v>
      </c>
      <c r="C31" s="1">
        <f>C28-Stato_patrimoniale_2018!C28</f>
        <v>263119311.53000069</v>
      </c>
      <c r="D31" s="1">
        <f>D28-Stato_patrimoniale_2018!D28</f>
        <v>337045954</v>
      </c>
      <c r="E31" s="1">
        <f>E28-Stato_patrimoniale_2018!E28</f>
        <v>24636648.209999084</v>
      </c>
      <c r="F31" s="1">
        <f>F28-Stato_patrimoniale_2018!F28</f>
        <v>342257101.75999928</v>
      </c>
      <c r="G31" s="1">
        <f>G28-Stato_patrimoniale_2018!G28</f>
        <v>310673275.32999992</v>
      </c>
      <c r="H31" s="1">
        <f>H28-Stato_patrimoniale_2018!H28</f>
        <v>1438216759.3499999</v>
      </c>
      <c r="I31" s="1">
        <f>I28-Stato_patrimoniale_2018!I28</f>
        <v>101039173.84000008</v>
      </c>
      <c r="J31" s="1">
        <f>J28-Stato_patrimoniale_2018!J28</f>
        <v>378533598.04000002</v>
      </c>
      <c r="K31" s="1">
        <f>K28-Stato_patrimoniale_2018!K28</f>
        <v>306935786.99000001</v>
      </c>
      <c r="L31" s="1">
        <f>L28-Stato_patrimoniale_2018!L28</f>
        <v>31817491.780000031</v>
      </c>
      <c r="M31" s="1">
        <f>M28-Stato_patrimoniale_2018!M28</f>
        <v>85006079.060000062</v>
      </c>
      <c r="N31" s="1">
        <f>N28-Stato_patrimoniale_2018!N28</f>
        <v>498164467.77000427</v>
      </c>
      <c r="O31" s="1">
        <f>O28-Stato_patrimoniale_2018!O28</f>
        <v>0</v>
      </c>
      <c r="P31" s="1">
        <f>P28-Stato_patrimoniale_2018!P28</f>
        <v>-51517714.089999959</v>
      </c>
      <c r="Q31" s="1">
        <f>Q28-Stato_patrimoniale_2018!Q28</f>
        <v>2216502955.9699984</v>
      </c>
      <c r="R31" s="1">
        <f>R28-Stato_patrimoniale_2018!R28</f>
        <v>142713483.50999999</v>
      </c>
      <c r="S31" s="1">
        <f>S28-Stato_patrimoniale_2018!S28</f>
        <v>0</v>
      </c>
      <c r="T31" s="1">
        <f>T28-Stato_patrimoniale_2018!T28</f>
        <v>252455509.00999975</v>
      </c>
      <c r="U31" s="1">
        <f>U28-Stato_patrimoniale_2018!U28</f>
        <v>616167473</v>
      </c>
      <c r="V31" s="1">
        <f>V28-Stato_patrimoniale_2018!V28</f>
        <v>567435342</v>
      </c>
      <c r="W31" s="1">
        <f>W28-Stato_patrimoniale_2018!W28</f>
        <v>8103851337.9799957</v>
      </c>
    </row>
    <row r="55" spans="1:7" ht="21" x14ac:dyDescent="0.4">
      <c r="G55" s="39" t="s">
        <v>118</v>
      </c>
    </row>
    <row r="58" spans="1:7" x14ac:dyDescent="0.3">
      <c r="A58" s="7" t="s">
        <v>119</v>
      </c>
      <c r="B58" s="1">
        <v>13992354817.019999</v>
      </c>
    </row>
    <row r="59" spans="1:7" x14ac:dyDescent="0.3">
      <c r="A59" s="7" t="s">
        <v>120</v>
      </c>
      <c r="B59" s="1">
        <v>7378078151.1599989</v>
      </c>
    </row>
    <row r="60" spans="1:7" x14ac:dyDescent="0.3">
      <c r="A60" s="7" t="s">
        <v>97</v>
      </c>
      <c r="B60" s="1">
        <v>5203870671.1099997</v>
      </c>
    </row>
    <row r="61" spans="1:7" x14ac:dyDescent="0.3">
      <c r="A61" s="7" t="s">
        <v>94</v>
      </c>
      <c r="B61" s="1">
        <v>3156161101.3700004</v>
      </c>
    </row>
    <row r="62" spans="1:7" x14ac:dyDescent="0.3">
      <c r="A62" s="7" t="s">
        <v>95</v>
      </c>
      <c r="B62" s="1">
        <v>3146548918</v>
      </c>
    </row>
    <row r="63" spans="1:7" x14ac:dyDescent="0.3">
      <c r="A63" s="7" t="s">
        <v>96</v>
      </c>
      <c r="B63" s="1">
        <v>2566201834.8499999</v>
      </c>
    </row>
    <row r="64" spans="1:7" x14ac:dyDescent="0.3">
      <c r="A64" s="7" t="s">
        <v>106</v>
      </c>
      <c r="B64" s="1">
        <v>2528480894.9400001</v>
      </c>
    </row>
    <row r="65" spans="1:2" x14ac:dyDescent="0.3">
      <c r="A65" s="7" t="s">
        <v>108</v>
      </c>
      <c r="B65">
        <v>2500615264</v>
      </c>
    </row>
    <row r="66" spans="1:2" x14ac:dyDescent="0.3">
      <c r="A66" s="7" t="s">
        <v>105</v>
      </c>
      <c r="B66" s="1">
        <v>808263557.87</v>
      </c>
    </row>
    <row r="67" spans="1:2" x14ac:dyDescent="0.3">
      <c r="A67" s="7" t="s">
        <v>102</v>
      </c>
      <c r="B67" s="1">
        <v>654411285.91999996</v>
      </c>
    </row>
    <row r="68" spans="1:2" x14ac:dyDescent="0.3">
      <c r="A68" s="7" t="s">
        <v>101</v>
      </c>
      <c r="B68" s="1">
        <v>463539658.61000001</v>
      </c>
    </row>
    <row r="69" spans="1:2" x14ac:dyDescent="0.3">
      <c r="A69" s="7" t="s">
        <v>98</v>
      </c>
      <c r="B69" s="1">
        <v>-132852685.08999999</v>
      </c>
    </row>
    <row r="70" spans="1:2" x14ac:dyDescent="0.3">
      <c r="A70" s="7" t="s">
        <v>110</v>
      </c>
      <c r="B70" s="1">
        <v>-149662300.65999997</v>
      </c>
    </row>
    <row r="71" spans="1:2" x14ac:dyDescent="0.3">
      <c r="A71" s="7" t="s">
        <v>99</v>
      </c>
      <c r="B71" s="1">
        <v>-532181819.84999996</v>
      </c>
    </row>
    <row r="72" spans="1:2" x14ac:dyDescent="0.3">
      <c r="A72" s="7" t="s">
        <v>100</v>
      </c>
      <c r="B72" s="1">
        <v>-1405366026.8800001</v>
      </c>
    </row>
    <row r="73" spans="1:2" x14ac:dyDescent="0.3">
      <c r="A73" s="7" t="s">
        <v>107</v>
      </c>
      <c r="B73">
        <v>-4663583830</v>
      </c>
    </row>
    <row r="74" spans="1:2" x14ac:dyDescent="0.3">
      <c r="A74" s="7" t="s">
        <v>93</v>
      </c>
      <c r="B74" s="1">
        <v>-6386636689.96</v>
      </c>
    </row>
    <row r="75" spans="1:2" x14ac:dyDescent="0.3">
      <c r="A75" s="7" t="s">
        <v>104</v>
      </c>
      <c r="B75" s="1">
        <v>-7314932617.6900015</v>
      </c>
    </row>
    <row r="76" spans="1:2" x14ac:dyDescent="0.3">
      <c r="A76" s="7" t="s">
        <v>103</v>
      </c>
      <c r="B76" s="1">
        <v>-21076909129.889999</v>
      </c>
    </row>
    <row r="82" spans="1:6" x14ac:dyDescent="0.3">
      <c r="B82" s="7" t="s">
        <v>20</v>
      </c>
    </row>
    <row r="83" spans="1:6" x14ac:dyDescent="0.3">
      <c r="A83" s="41" t="s">
        <v>103</v>
      </c>
      <c r="B83" s="1">
        <v>22647861763.709999</v>
      </c>
    </row>
    <row r="84" spans="1:6" x14ac:dyDescent="0.3">
      <c r="A84" s="41" t="s">
        <v>95</v>
      </c>
      <c r="B84" s="1">
        <v>12315732526</v>
      </c>
      <c r="C84" s="7" t="s">
        <v>32</v>
      </c>
      <c r="D84" s="7" t="s">
        <v>33</v>
      </c>
      <c r="E84" s="7" t="s">
        <v>34</v>
      </c>
      <c r="F84" s="25" t="s">
        <v>83</v>
      </c>
    </row>
    <row r="85" spans="1:6" x14ac:dyDescent="0.3">
      <c r="A85" s="41" t="s">
        <v>104</v>
      </c>
      <c r="B85" s="1">
        <v>9028504469.0499992</v>
      </c>
      <c r="C85">
        <v>176029855.68000001</v>
      </c>
      <c r="D85">
        <v>3050140881.7399998</v>
      </c>
      <c r="E85">
        <v>1658946791.1500001</v>
      </c>
      <c r="F85" s="1">
        <f t="shared" ref="F85:F105" si="15">SUM(B85:E85)</f>
        <v>13913621997.619999</v>
      </c>
    </row>
    <row r="86" spans="1:6" x14ac:dyDescent="0.3">
      <c r="A86" s="41" t="s">
        <v>93</v>
      </c>
      <c r="B86" s="1">
        <v>5429387367.0299997</v>
      </c>
      <c r="C86">
        <v>115821074</v>
      </c>
      <c r="D86">
        <v>7734760751</v>
      </c>
      <c r="E86">
        <v>3348648928</v>
      </c>
      <c r="F86" s="1">
        <f t="shared" si="15"/>
        <v>16628618120.029999</v>
      </c>
    </row>
    <row r="87" spans="1:6" x14ac:dyDescent="0.3">
      <c r="A87" s="41" t="s">
        <v>107</v>
      </c>
      <c r="B87" s="1">
        <v>8484133602</v>
      </c>
      <c r="C87">
        <v>48678506.469999999</v>
      </c>
      <c r="D87">
        <v>6395361518.2399998</v>
      </c>
      <c r="E87">
        <v>3304338091.0500002</v>
      </c>
      <c r="F87" s="1">
        <f t="shared" si="15"/>
        <v>18232511717.759998</v>
      </c>
    </row>
    <row r="88" spans="1:6" x14ac:dyDescent="0.3">
      <c r="A88" s="41" t="s">
        <v>105</v>
      </c>
      <c r="B88" s="1">
        <v>4147444609.1100001</v>
      </c>
      <c r="C88">
        <v>40930918.770000003</v>
      </c>
      <c r="D88">
        <v>8035718596.2700005</v>
      </c>
      <c r="E88">
        <v>167418184.58000001</v>
      </c>
      <c r="F88" s="1">
        <f t="shared" si="15"/>
        <v>12391512308.730001</v>
      </c>
    </row>
    <row r="89" spans="1:6" x14ac:dyDescent="0.3">
      <c r="A89" s="41" t="s">
        <v>96</v>
      </c>
      <c r="B89" s="1">
        <v>5879650407.0799999</v>
      </c>
      <c r="C89">
        <v>215730319</v>
      </c>
      <c r="D89">
        <v>1888556459</v>
      </c>
      <c r="E89">
        <v>1788725417</v>
      </c>
      <c r="F89" s="1">
        <f t="shared" si="15"/>
        <v>9772662602.0799999</v>
      </c>
    </row>
    <row r="90" spans="1:6" x14ac:dyDescent="0.3">
      <c r="A90" s="41" t="s">
        <v>100</v>
      </c>
      <c r="B90" s="1">
        <v>4580433710.3199997</v>
      </c>
      <c r="C90">
        <v>188194640.94999999</v>
      </c>
      <c r="D90">
        <v>4692393444.9200001</v>
      </c>
      <c r="E90">
        <v>170003147.91</v>
      </c>
      <c r="F90" s="1">
        <f t="shared" si="15"/>
        <v>9631024944.0999985</v>
      </c>
    </row>
    <row r="91" spans="1:6" x14ac:dyDescent="0.3">
      <c r="A91" s="41" t="s">
        <v>99</v>
      </c>
      <c r="B91" s="1">
        <v>4393367167.25</v>
      </c>
      <c r="C91">
        <v>267772535.69</v>
      </c>
      <c r="D91">
        <v>1593221696.5899999</v>
      </c>
      <c r="E91">
        <v>469937800.18000001</v>
      </c>
      <c r="F91" s="1">
        <f t="shared" si="15"/>
        <v>6724299199.71</v>
      </c>
    </row>
    <row r="92" spans="1:6" x14ac:dyDescent="0.3">
      <c r="A92" s="41" t="s">
        <v>106</v>
      </c>
      <c r="B92" s="1">
        <v>1810571883.79</v>
      </c>
      <c r="C92">
        <v>592849.69999999995</v>
      </c>
      <c r="D92">
        <v>1125004187.72</v>
      </c>
      <c r="E92">
        <v>1849033983.77</v>
      </c>
      <c r="F92" s="1">
        <f t="shared" si="15"/>
        <v>4785202904.9799995</v>
      </c>
    </row>
    <row r="93" spans="1:6" x14ac:dyDescent="0.3">
      <c r="A93" s="41" t="s">
        <v>108</v>
      </c>
      <c r="B93" s="1">
        <v>1436721118</v>
      </c>
      <c r="C93">
        <v>91228320.25</v>
      </c>
      <c r="D93">
        <v>1400171408.77</v>
      </c>
      <c r="E93">
        <v>121478593.40000001</v>
      </c>
      <c r="F93" s="1">
        <f t="shared" si="15"/>
        <v>3049599440.4200001</v>
      </c>
    </row>
    <row r="94" spans="1:6" x14ac:dyDescent="0.3">
      <c r="A94" s="41" t="s">
        <v>98</v>
      </c>
      <c r="B94" s="1">
        <v>1873885533.1800001</v>
      </c>
      <c r="C94">
        <v>224201280.90000001</v>
      </c>
      <c r="D94">
        <v>2380931049.6999998</v>
      </c>
      <c r="E94">
        <v>287825549.35000002</v>
      </c>
      <c r="F94" s="1">
        <f t="shared" si="15"/>
        <v>4766843413.1300001</v>
      </c>
    </row>
    <row r="95" spans="1:6" x14ac:dyDescent="0.3">
      <c r="A95" s="41" t="s">
        <v>102</v>
      </c>
      <c r="B95" s="1">
        <v>1574731382.1199999</v>
      </c>
      <c r="C95">
        <v>38031440</v>
      </c>
      <c r="D95">
        <v>864549191</v>
      </c>
      <c r="E95">
        <v>869370717</v>
      </c>
      <c r="F95" s="1">
        <f t="shared" si="15"/>
        <v>3346682730.1199999</v>
      </c>
    </row>
    <row r="96" spans="1:6" x14ac:dyDescent="0.3">
      <c r="A96" s="41" t="s">
        <v>120</v>
      </c>
      <c r="B96" s="1">
        <v>119614624.65000001</v>
      </c>
      <c r="C96">
        <v>52941058.829999998</v>
      </c>
      <c r="D96">
        <v>773188401.91999996</v>
      </c>
      <c r="E96">
        <v>280650656.19</v>
      </c>
      <c r="F96" s="1">
        <f t="shared" si="15"/>
        <v>1226394741.5899999</v>
      </c>
    </row>
    <row r="97" spans="1:6" x14ac:dyDescent="0.3">
      <c r="A97" s="41" t="s">
        <v>101</v>
      </c>
      <c r="B97" s="1">
        <v>1229060127.1700001</v>
      </c>
      <c r="C97">
        <v>189343077.86000001</v>
      </c>
      <c r="D97">
        <v>509690457.56</v>
      </c>
      <c r="E97">
        <v>327482712.81</v>
      </c>
      <c r="F97" s="1">
        <f t="shared" si="15"/>
        <v>2255576375.4000001</v>
      </c>
    </row>
    <row r="98" spans="1:6" x14ac:dyDescent="0.3">
      <c r="A98" s="41" t="s">
        <v>119</v>
      </c>
      <c r="B98" s="1">
        <v>151681730.69</v>
      </c>
      <c r="C98">
        <v>156382310.53999999</v>
      </c>
      <c r="D98">
        <v>1760755781.8</v>
      </c>
      <c r="E98">
        <v>51654704.619999997</v>
      </c>
      <c r="F98" s="1">
        <f t="shared" si="15"/>
        <v>2120474527.6499999</v>
      </c>
    </row>
    <row r="99" spans="1:6" x14ac:dyDescent="0.3">
      <c r="A99" s="41" t="s">
        <v>97</v>
      </c>
      <c r="B99" s="1">
        <v>389600407.09000003</v>
      </c>
      <c r="C99">
        <v>30333315.699999999</v>
      </c>
      <c r="D99">
        <v>389142104.93000001</v>
      </c>
      <c r="E99">
        <v>32913352.550000001</v>
      </c>
      <c r="F99" s="1">
        <f t="shared" si="15"/>
        <v>841989180.26999998</v>
      </c>
    </row>
    <row r="100" spans="1:6" x14ac:dyDescent="0.3">
      <c r="A100" s="41" t="s">
        <v>94</v>
      </c>
      <c r="B100" s="1">
        <v>748261836.03999996</v>
      </c>
      <c r="C100">
        <v>188735976.47</v>
      </c>
      <c r="D100">
        <v>943102682.77999997</v>
      </c>
      <c r="E100">
        <v>250086790.91000003</v>
      </c>
      <c r="F100" s="1">
        <f t="shared" si="15"/>
        <v>2130187286.2</v>
      </c>
    </row>
    <row r="101" spans="1:6" x14ac:dyDescent="0.3">
      <c r="A101" s="41" t="s">
        <v>110</v>
      </c>
      <c r="B101" s="1">
        <v>362995815.66000003</v>
      </c>
      <c r="C101">
        <v>116852802.16</v>
      </c>
      <c r="D101">
        <v>784654838.90999997</v>
      </c>
      <c r="E101">
        <v>64369793.32</v>
      </c>
      <c r="F101" s="1">
        <f t="shared" si="15"/>
        <v>1328873250.05</v>
      </c>
    </row>
    <row r="102" spans="1:6" x14ac:dyDescent="0.3">
      <c r="A102" s="41" t="s">
        <v>109</v>
      </c>
      <c r="B102" s="1">
        <v>0</v>
      </c>
      <c r="C102">
        <v>54434113.549999997</v>
      </c>
      <c r="D102">
        <v>79312750.790000007</v>
      </c>
      <c r="E102">
        <v>42500044.079999998</v>
      </c>
      <c r="F102" s="1">
        <f t="shared" si="15"/>
        <v>176246908.42000002</v>
      </c>
    </row>
    <row r="103" spans="1:6" x14ac:dyDescent="0.3">
      <c r="A103" s="41" t="s">
        <v>111</v>
      </c>
      <c r="B103" s="1">
        <v>0</v>
      </c>
      <c r="C103">
        <v>43746232.659999996</v>
      </c>
      <c r="D103">
        <v>349934785.81999999</v>
      </c>
      <c r="E103">
        <v>100562271.62</v>
      </c>
      <c r="F103" s="1">
        <f t="shared" si="15"/>
        <v>494243290.10000002</v>
      </c>
    </row>
    <row r="104" spans="1:6" x14ac:dyDescent="0.3">
      <c r="C104">
        <v>0</v>
      </c>
      <c r="D104">
        <v>0</v>
      </c>
      <c r="E104">
        <v>0</v>
      </c>
      <c r="F104" s="1">
        <f t="shared" si="15"/>
        <v>0</v>
      </c>
    </row>
    <row r="105" spans="1:6" x14ac:dyDescent="0.3">
      <c r="C105">
        <v>0</v>
      </c>
      <c r="D105">
        <v>0</v>
      </c>
      <c r="E105">
        <v>0</v>
      </c>
      <c r="F105" s="1">
        <f t="shared" si="15"/>
        <v>0</v>
      </c>
    </row>
  </sheetData>
  <sortState ref="A58:B76">
    <sortCondition descending="1" ref="B58:B76"/>
  </sortState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3" workbookViewId="0">
      <selection activeCell="E20" sqref="E20"/>
    </sheetView>
  </sheetViews>
  <sheetFormatPr defaultRowHeight="14.4" x14ac:dyDescent="0.3"/>
  <cols>
    <col min="1" max="1" width="51.6640625" style="7" bestFit="1" customWidth="1"/>
    <col min="2" max="2" width="15.33203125" bestFit="1" customWidth="1"/>
    <col min="3" max="5" width="15" bestFit="1" customWidth="1"/>
    <col min="6" max="6" width="14" bestFit="1" customWidth="1"/>
  </cols>
  <sheetData>
    <row r="1" spans="1:6" ht="24.75" customHeight="1" x14ac:dyDescent="0.3">
      <c r="A1" s="32" t="s">
        <v>89</v>
      </c>
      <c r="B1" s="14" t="s">
        <v>121</v>
      </c>
      <c r="C1" s="14">
        <v>2017</v>
      </c>
      <c r="D1" s="14">
        <v>2018</v>
      </c>
      <c r="E1" s="14">
        <v>2019</v>
      </c>
      <c r="F1" s="14" t="s">
        <v>124</v>
      </c>
    </row>
    <row r="2" spans="1:6" x14ac:dyDescent="0.3">
      <c r="A2" s="20" t="s">
        <v>21</v>
      </c>
      <c r="B2" s="15">
        <f>Stato_patrimoniale_2016!W2</f>
        <v>0</v>
      </c>
      <c r="C2" s="15">
        <f>Stato_patrimoniale_2017!W2</f>
        <v>0</v>
      </c>
      <c r="D2" s="15">
        <f>Stato_patrimoniale_2018!W2</f>
        <v>0</v>
      </c>
      <c r="E2" s="15">
        <f>Stato_patrimoniale_2019!W2</f>
        <v>0</v>
      </c>
      <c r="F2" s="15">
        <f t="shared" ref="F2:F28" si="0">E2-D2</f>
        <v>0</v>
      </c>
    </row>
    <row r="3" spans="1:6" x14ac:dyDescent="0.3">
      <c r="A3" s="20" t="s">
        <v>22</v>
      </c>
      <c r="B3" s="15">
        <f>Stato_patrimoniale_2016!W3</f>
        <v>519300654.55000013</v>
      </c>
      <c r="C3" s="15">
        <f>Stato_patrimoniale_2017!W3</f>
        <v>1961515426.4299998</v>
      </c>
      <c r="D3" s="15">
        <f>Stato_patrimoniale_2018!W3</f>
        <v>2024557272.3399997</v>
      </c>
      <c r="E3" s="15">
        <f>Stato_patrimoniale_2019!W3</f>
        <v>2237348940.2299995</v>
      </c>
      <c r="F3" s="15">
        <f t="shared" si="0"/>
        <v>212791667.88999987</v>
      </c>
    </row>
    <row r="4" spans="1:6" x14ac:dyDescent="0.3">
      <c r="A4" s="20" t="s">
        <v>23</v>
      </c>
      <c r="B4" s="15">
        <f>Stato_patrimoniale_2016!W4</f>
        <v>18173616077.280003</v>
      </c>
      <c r="C4" s="15">
        <f>Stato_patrimoniale_2017!W4</f>
        <v>28955330722.749996</v>
      </c>
      <c r="D4" s="15">
        <f>Stato_patrimoniale_2018!W4</f>
        <v>28601485431.159996</v>
      </c>
      <c r="E4" s="15">
        <f>Stato_patrimoniale_2019!W4</f>
        <v>29589813607.810005</v>
      </c>
      <c r="F4" s="15">
        <f t="shared" si="0"/>
        <v>988328176.65000916</v>
      </c>
    </row>
    <row r="5" spans="1:6" x14ac:dyDescent="0.3">
      <c r="A5" s="20" t="s">
        <v>37</v>
      </c>
      <c r="B5" s="15">
        <f>Stato_patrimoniale_2016!W5</f>
        <v>8569671812.6199999</v>
      </c>
      <c r="C5" s="15">
        <f>Stato_patrimoniale_2017!W5</f>
        <v>14348503951.360001</v>
      </c>
      <c r="D5" s="15">
        <f>Stato_patrimoniale_2018!W5</f>
        <v>15310427737.720001</v>
      </c>
      <c r="E5" s="15">
        <f>Stato_patrimoniale_2019!W5</f>
        <v>16776936841.719999</v>
      </c>
      <c r="F5" s="15">
        <f t="shared" si="0"/>
        <v>1466509103.9999981</v>
      </c>
    </row>
    <row r="6" spans="1:6" x14ac:dyDescent="0.3">
      <c r="A6" s="20" t="s">
        <v>38</v>
      </c>
      <c r="B6" s="15">
        <f>Stato_patrimoniale_2016!W6</f>
        <v>6877214180.3200016</v>
      </c>
      <c r="C6" s="15">
        <f>Stato_patrimoniale_2017!W6</f>
        <v>8365462551.7599993</v>
      </c>
      <c r="D6" s="15">
        <f>Stato_patrimoniale_2018!W6</f>
        <v>7959475364.8299999</v>
      </c>
      <c r="E6" s="15">
        <f>Stato_patrimoniale_2019!W6</f>
        <v>7722388194.539999</v>
      </c>
      <c r="F6" s="15">
        <f t="shared" si="0"/>
        <v>-237087170.29000092</v>
      </c>
    </row>
    <row r="7" spans="1:6" x14ac:dyDescent="0.3">
      <c r="A7" s="20" t="s">
        <v>39</v>
      </c>
      <c r="B7" s="15">
        <f>Stato_patrimoniale_2016!W7</f>
        <v>456012613.73999995</v>
      </c>
      <c r="C7" s="15">
        <f>Stato_patrimoniale_2017!W7</f>
        <v>474395604.75000006</v>
      </c>
      <c r="D7" s="15">
        <f>Stato_patrimoniale_2018!W7</f>
        <v>521598305.47999996</v>
      </c>
      <c r="E7" s="15">
        <f>Stato_patrimoniale_2019!W7</f>
        <v>607401846.08000004</v>
      </c>
      <c r="F7" s="15">
        <f t="shared" si="0"/>
        <v>85803540.600000083</v>
      </c>
    </row>
    <row r="8" spans="1:6" x14ac:dyDescent="0.3">
      <c r="A8" s="20" t="s">
        <v>40</v>
      </c>
      <c r="B8" s="15">
        <f>Stato_patrimoniale_2016!W8</f>
        <v>6051717.0099999998</v>
      </c>
      <c r="C8" s="15">
        <f>Stato_patrimoniale_2017!W8</f>
        <v>9800154.7799999975</v>
      </c>
      <c r="D8" s="15">
        <f>Stato_patrimoniale_2018!W8</f>
        <v>12513172.07</v>
      </c>
      <c r="E8" s="15">
        <f>Stato_patrimoniale_2019!W8</f>
        <v>13239999.6</v>
      </c>
      <c r="F8" s="15">
        <f t="shared" si="0"/>
        <v>726827.52999999933</v>
      </c>
    </row>
    <row r="9" spans="1:6" x14ac:dyDescent="0.3">
      <c r="A9" s="20" t="s">
        <v>24</v>
      </c>
      <c r="B9" s="15">
        <f>Stato_patrimoniale_2016!W9</f>
        <v>77201847116.889999</v>
      </c>
      <c r="C9" s="15">
        <f>Stato_patrimoniale_2017!W9</f>
        <v>81069085383.619995</v>
      </c>
      <c r="D9" s="15">
        <f>Stato_patrimoniale_2018!W9</f>
        <v>79095607922.599991</v>
      </c>
      <c r="E9" s="15">
        <f>Stato_patrimoniale_2019!W9</f>
        <v>73191362932.080002</v>
      </c>
      <c r="F9" s="15">
        <f t="shared" si="0"/>
        <v>-5904244990.519989</v>
      </c>
    </row>
    <row r="10" spans="1:6" x14ac:dyDescent="0.3">
      <c r="A10" s="20" t="s">
        <v>113</v>
      </c>
      <c r="B10" s="15">
        <f>Stato_patrimoniale_2016!W10</f>
        <v>31298171795.370003</v>
      </c>
      <c r="C10" s="15">
        <f>Stato_patrimoniale_2017!W10</f>
        <v>28700948534.749992</v>
      </c>
      <c r="D10" s="15">
        <f>Stato_patrimoniale_2018!W10</f>
        <v>28174974499.420002</v>
      </c>
      <c r="E10" s="15">
        <f>Stato_patrimoniale_2019!W10</f>
        <v>23144413885.91</v>
      </c>
      <c r="F10" s="15">
        <f t="shared" si="0"/>
        <v>-5030560613.5100021</v>
      </c>
    </row>
    <row r="11" spans="1:6" x14ac:dyDescent="0.3">
      <c r="A11" s="20" t="s">
        <v>114</v>
      </c>
      <c r="B11" s="15">
        <f>Stato_patrimoniale_2016!W11</f>
        <v>20173084271.580002</v>
      </c>
      <c r="C11" s="15">
        <f>Stato_patrimoniale_2017!W11</f>
        <v>24599003257.259998</v>
      </c>
      <c r="D11" s="15">
        <f>Stato_patrimoniale_2018!W11</f>
        <v>24610424660.360001</v>
      </c>
      <c r="E11" s="15">
        <f>Stato_patrimoniale_2019!W11</f>
        <v>25801684219.659996</v>
      </c>
      <c r="F11" s="15">
        <f t="shared" si="0"/>
        <v>1191259559.2999954</v>
      </c>
    </row>
    <row r="12" spans="1:6" x14ac:dyDescent="0.3">
      <c r="A12" s="20" t="s">
        <v>41</v>
      </c>
      <c r="B12" s="15">
        <f>Stato_patrimoniale_2016!W12</f>
        <v>538269.47000000009</v>
      </c>
      <c r="C12" s="15">
        <f>Stato_patrimoniale_2017!W12</f>
        <v>4282736.63</v>
      </c>
      <c r="D12" s="15">
        <f>Stato_patrimoniale_2018!W12</f>
        <v>24802131.669999998</v>
      </c>
      <c r="E12" s="15">
        <f>Stato_patrimoniale_2019!W12</f>
        <v>22788884.98</v>
      </c>
      <c r="F12" s="15">
        <f t="shared" si="0"/>
        <v>-2013246.6899999976</v>
      </c>
    </row>
    <row r="13" spans="1:6" x14ac:dyDescent="0.3">
      <c r="A13" s="20" t="s">
        <v>25</v>
      </c>
      <c r="B13" s="15">
        <f>Stato_patrimoniale_2016!W13</f>
        <v>15917122708.779999</v>
      </c>
      <c r="C13" s="15">
        <f>Stato_patrimoniale_2017!W13</f>
        <v>19976472553.649998</v>
      </c>
      <c r="D13" s="15">
        <f>Stato_patrimoniale_2018!W13</f>
        <v>22195934268.280003</v>
      </c>
      <c r="E13" s="15">
        <f>Stato_patrimoniale_2019!W13</f>
        <v>28756727258.840004</v>
      </c>
      <c r="F13" s="15">
        <f t="shared" si="0"/>
        <v>6560792990.5600014</v>
      </c>
    </row>
    <row r="14" spans="1:6" x14ac:dyDescent="0.3">
      <c r="A14" s="20" t="s">
        <v>26</v>
      </c>
      <c r="B14" s="15">
        <f>Stato_patrimoniale_2016!W14</f>
        <v>397141272.48999995</v>
      </c>
      <c r="C14" s="15">
        <f>Stato_patrimoniale_2017!W14</f>
        <v>845458376.23000014</v>
      </c>
      <c r="D14" s="15">
        <f>Stato_patrimoniale_2018!W14</f>
        <v>717139610.80000007</v>
      </c>
      <c r="E14" s="15">
        <f>Stato_patrimoniale_2019!W14</f>
        <v>723089373.57000005</v>
      </c>
      <c r="F14" s="15">
        <f t="shared" si="0"/>
        <v>5949762.7699999809</v>
      </c>
    </row>
    <row r="15" spans="1:6" x14ac:dyDescent="0.3">
      <c r="A15" s="33" t="s">
        <v>27</v>
      </c>
      <c r="B15" s="34">
        <f>Stato_patrimoniale_2016!W15</f>
        <v>128118516423.15001</v>
      </c>
      <c r="C15" s="34">
        <f>Stato_patrimoniale_2017!W15</f>
        <v>156010307461.95999</v>
      </c>
      <c r="D15" s="34">
        <f>Stato_patrimoniale_2018!W15</f>
        <v>156463541216.94998</v>
      </c>
      <c r="E15" s="34">
        <f>Stato_patrimoniale_2019!W15</f>
        <v>159641097879.44998</v>
      </c>
      <c r="F15" s="34">
        <f t="shared" si="0"/>
        <v>3177556662.5</v>
      </c>
    </row>
    <row r="16" spans="1:6" x14ac:dyDescent="0.3">
      <c r="A16" s="20" t="s">
        <v>28</v>
      </c>
      <c r="B16" s="15">
        <f>Stato_patrimoniale_2016!W16</f>
        <v>-30006327033.850002</v>
      </c>
      <c r="C16" s="15">
        <f>Stato_patrimoniale_2017!W16</f>
        <v>-45151324752.140007</v>
      </c>
      <c r="D16" s="15">
        <f>Stato_patrimoniale_2018!W16</f>
        <v>-46181520944.139999</v>
      </c>
      <c r="E16" s="15">
        <f>Stato_patrimoniale_2019!W16</f>
        <v>-46260821904.889999</v>
      </c>
      <c r="F16" s="15">
        <f t="shared" si="0"/>
        <v>-79300960.75</v>
      </c>
    </row>
    <row r="17" spans="1:6" x14ac:dyDescent="0.3">
      <c r="A17" s="20" t="s">
        <v>29</v>
      </c>
      <c r="B17" s="15">
        <f>Stato_patrimoniale_2016!W17</f>
        <v>-10332117466.710001</v>
      </c>
      <c r="C17" s="15">
        <f>Stato_patrimoniale_2017!W17</f>
        <v>28000045346.790001</v>
      </c>
      <c r="D17" s="15">
        <f>Stato_patrimoniale_2018!W17</f>
        <v>33280967865.839996</v>
      </c>
      <c r="E17" s="15">
        <f>Stato_patrimoniale_2019!W17</f>
        <v>40096711018.790001</v>
      </c>
      <c r="F17" s="15">
        <f t="shared" si="0"/>
        <v>6815743152.9500046</v>
      </c>
    </row>
    <row r="18" spans="1:6" x14ac:dyDescent="0.3">
      <c r="A18" s="20" t="s">
        <v>30</v>
      </c>
      <c r="B18" s="15">
        <f>Stato_patrimoniale_2016!W18</f>
        <v>3089027540.0599995</v>
      </c>
      <c r="C18" s="15">
        <f>Stato_patrimoniale_2017!W18</f>
        <v>5876512748.5300016</v>
      </c>
      <c r="D18" s="15">
        <f>Stato_patrimoniale_2018!W18</f>
        <v>5533102795.1499996</v>
      </c>
      <c r="E18" s="15">
        <f>Stato_patrimoniale_2019!W18</f>
        <v>6900511940.9300003</v>
      </c>
      <c r="F18" s="15">
        <f t="shared" si="0"/>
        <v>1367409145.7800007</v>
      </c>
    </row>
    <row r="19" spans="1:6" x14ac:dyDescent="0.3">
      <c r="A19" s="20" t="s">
        <v>31</v>
      </c>
      <c r="B19" s="15">
        <f>Stato_patrimoniale_2016!W19</f>
        <v>4369928449.7399998</v>
      </c>
      <c r="C19" s="15">
        <f>Stato_patrimoniale_2017!W19</f>
        <v>5112338720.5500002</v>
      </c>
      <c r="D19" s="15">
        <f>Stato_patrimoniale_2018!W19</f>
        <v>4203774643.8000007</v>
      </c>
      <c r="E19" s="15">
        <f>Stato_patrimoniale_2019!W19</f>
        <v>4890598581.0800009</v>
      </c>
      <c r="F19" s="15">
        <f t="shared" si="0"/>
        <v>686823937.28000021</v>
      </c>
    </row>
    <row r="20" spans="1:6" x14ac:dyDescent="0.3">
      <c r="A20" s="20" t="s">
        <v>20</v>
      </c>
      <c r="B20" s="15">
        <f>Stato_patrimoniale_2016!W20</f>
        <v>88264613721</v>
      </c>
      <c r="C20" s="15">
        <f>Stato_patrimoniale_2017!W20</f>
        <v>85403048767.709991</v>
      </c>
      <c r="D20" s="15">
        <f>Stato_patrimoniale_2018!W20</f>
        <v>86603640079.940002</v>
      </c>
      <c r="E20" s="15">
        <f>Stato_patrimoniale_2019!W20</f>
        <v>81196038695.030014</v>
      </c>
      <c r="F20" s="15">
        <f t="shared" si="0"/>
        <v>-5407601384.9099884</v>
      </c>
    </row>
    <row r="21" spans="1:6" x14ac:dyDescent="0.3">
      <c r="A21" s="20" t="s">
        <v>32</v>
      </c>
      <c r="B21" s="15">
        <f>Stato_patrimoniale_2016!W21</f>
        <v>2092909027.9600003</v>
      </c>
      <c r="C21" s="15">
        <f>Stato_patrimoniale_2017!W21</f>
        <v>2615886812.2800002</v>
      </c>
      <c r="D21" s="15">
        <f>Stato_patrimoniale_2018!W21</f>
        <v>2239980629.1800003</v>
      </c>
      <c r="E21" s="15">
        <f>Stato_patrimoniale_2019!W21</f>
        <v>2380524569.1500001</v>
      </c>
      <c r="F21" s="15">
        <f t="shared" si="0"/>
        <v>140543939.96999979</v>
      </c>
    </row>
    <row r="22" spans="1:6" x14ac:dyDescent="0.3">
      <c r="A22" s="20" t="s">
        <v>33</v>
      </c>
      <c r="B22" s="15">
        <f>Stato_patrimoniale_2016!W22</f>
        <v>43232006603.150002</v>
      </c>
      <c r="C22" s="15">
        <f>Stato_patrimoniale_2017!W22</f>
        <v>48253788222.010002</v>
      </c>
      <c r="D22" s="15">
        <f>Stato_patrimoniale_2018!W22</f>
        <v>44750590989.459999</v>
      </c>
      <c r="E22" s="15">
        <f>Stato_patrimoniale_2019!W22</f>
        <v>47752444336.300003</v>
      </c>
      <c r="F22" s="15">
        <f t="shared" si="0"/>
        <v>3001853346.840004</v>
      </c>
    </row>
    <row r="23" spans="1:6" x14ac:dyDescent="0.3">
      <c r="A23" s="20" t="s">
        <v>115</v>
      </c>
      <c r="B23" s="15">
        <f>Stato_patrimoniale_2016!W23</f>
        <v>9066413299.1000004</v>
      </c>
      <c r="C23" s="15">
        <f>Stato_patrimoniale_2017!W23</f>
        <v>7709733078.3399992</v>
      </c>
      <c r="D23" s="15">
        <f>Stato_patrimoniale_2018!W23</f>
        <v>7449087876.8400002</v>
      </c>
      <c r="E23" s="15">
        <f>Stato_patrimoniale_2019!W23</f>
        <v>7145999621.6100006</v>
      </c>
      <c r="F23" s="15">
        <f t="shared" si="0"/>
        <v>-303088255.22999954</v>
      </c>
    </row>
    <row r="24" spans="1:6" x14ac:dyDescent="0.3">
      <c r="A24" s="20" t="s">
        <v>116</v>
      </c>
      <c r="B24" s="15">
        <f>Stato_patrimoniale_2016!W24</f>
        <v>30180654334.400002</v>
      </c>
      <c r="C24" s="15">
        <f>Stato_patrimoniale_2017!W24</f>
        <v>36271708048.039993</v>
      </c>
      <c r="D24" s="15">
        <f>Stato_patrimoniale_2018!W24</f>
        <v>32182356265.320004</v>
      </c>
      <c r="E24" s="15">
        <f>Stato_patrimoniale_2019!W24</f>
        <v>34790915830.179993</v>
      </c>
      <c r="F24" s="15">
        <f t="shared" si="0"/>
        <v>2608559564.8599892</v>
      </c>
    </row>
    <row r="25" spans="1:6" x14ac:dyDescent="0.3">
      <c r="A25" s="20" t="s">
        <v>34</v>
      </c>
      <c r="B25" s="15">
        <f>Stato_patrimoniale_2016!W25</f>
        <v>16788794968.120001</v>
      </c>
      <c r="C25" s="15">
        <f>Stato_patrimoniale_2017!W25</f>
        <v>15746301520.42</v>
      </c>
      <c r="D25" s="15">
        <f>Stato_patrimoniale_2018!W25</f>
        <v>15185947529.49</v>
      </c>
      <c r="E25" s="15">
        <f>Stato_patrimoniale_2019!W25</f>
        <v>11372578027.43</v>
      </c>
      <c r="F25" s="15">
        <f t="shared" si="0"/>
        <v>-3813369502.0599995</v>
      </c>
    </row>
    <row r="26" spans="1:6" x14ac:dyDescent="0.3">
      <c r="A26" s="20" t="s">
        <v>35</v>
      </c>
      <c r="B26" s="15">
        <f>Stato_patrimoniale_2016!W26</f>
        <v>10619680613.679998</v>
      </c>
      <c r="C26" s="15">
        <f>Stato_patrimoniale_2017!W26</f>
        <v>10153710076.359999</v>
      </c>
      <c r="D26" s="15">
        <f>Stato_patrimoniale_2018!W26</f>
        <v>10847057628.23</v>
      </c>
      <c r="E26" s="15">
        <f>Stato_patrimoniale_2019!W26</f>
        <v>11312512614.950001</v>
      </c>
      <c r="F26" s="15">
        <f t="shared" si="0"/>
        <v>465454986.72000122</v>
      </c>
    </row>
    <row r="27" spans="1:6" x14ac:dyDescent="0.3">
      <c r="A27" s="35" t="s">
        <v>36</v>
      </c>
      <c r="B27" s="36">
        <f>Stato_patrimoniale_2016!W27</f>
        <v>128118516423.15001</v>
      </c>
      <c r="C27" s="36">
        <f>Stato_patrimoniale_2017!W27</f>
        <v>156010307462.51001</v>
      </c>
      <c r="D27" s="36">
        <f>Stato_patrimoniale_2018!W27</f>
        <v>156463541216.94998</v>
      </c>
      <c r="E27" s="36">
        <f>Stato_patrimoniale_2019!W27</f>
        <v>159641097878.77002</v>
      </c>
      <c r="F27" s="36">
        <f t="shared" si="0"/>
        <v>3177556661.8200378</v>
      </c>
    </row>
    <row r="28" spans="1:6" x14ac:dyDescent="0.3">
      <c r="A28" s="33" t="s">
        <v>90</v>
      </c>
      <c r="B28" s="37">
        <f>Stato_patrimoniale_2016!W28</f>
        <v>-37249416960.5</v>
      </c>
      <c r="C28" s="37">
        <f>Stato_patrimoniale_2017!W28</f>
        <v>-11274766656.820007</v>
      </c>
      <c r="D28" s="37">
        <f>Stato_patrimoniale_2018!W28</f>
        <v>-7367450283.1500015</v>
      </c>
      <c r="E28" s="37">
        <f>Stato_patrimoniale_2019!W28</f>
        <v>736401054.82999372</v>
      </c>
      <c r="F28" s="37">
        <f t="shared" si="0"/>
        <v>8103851337.9799957</v>
      </c>
    </row>
    <row r="29" spans="1:6" x14ac:dyDescent="0.3">
      <c r="A29" s="25" t="s">
        <v>82</v>
      </c>
      <c r="B29" s="27">
        <f>B28/B27*100</f>
        <v>-29.074186932880625</v>
      </c>
      <c r="C29" s="27">
        <f t="shared" ref="C29:D29" si="1">C28/C27*100</f>
        <v>-7.226937014741404</v>
      </c>
      <c r="D29" s="27">
        <f t="shared" si="1"/>
        <v>-4.7087329264358182</v>
      </c>
      <c r="E29" s="27">
        <f t="shared" ref="E29" si="2">E28/E27*100</f>
        <v>0.46128538616616754</v>
      </c>
    </row>
    <row r="30" spans="1:6" x14ac:dyDescent="0.3">
      <c r="B30" s="40">
        <f>B20+B21+B22+B25</f>
        <v>150378324320.23001</v>
      </c>
      <c r="C30" s="40">
        <f t="shared" ref="C30:D30" si="3">C20+C21+C22+C25</f>
        <v>152019025322.42001</v>
      </c>
      <c r="D30" s="40">
        <f t="shared" si="3"/>
        <v>148780159228.06998</v>
      </c>
      <c r="E30" s="40">
        <f t="shared" ref="E30" si="4">E20+E21+E22+E25</f>
        <v>142701585627.91</v>
      </c>
      <c r="F30" s="40">
        <f t="shared" ref="F30" si="5">F20+F21+F22+F25</f>
        <v>-6078573600.1599846</v>
      </c>
    </row>
    <row r="31" spans="1:6" x14ac:dyDescent="0.3">
      <c r="A31" s="7" t="s">
        <v>122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9" sqref="F29"/>
    </sheetView>
  </sheetViews>
  <sheetFormatPr defaultRowHeight="14.4" x14ac:dyDescent="0.3"/>
  <cols>
    <col min="1" max="1" width="36.44140625" bestFit="1" customWidth="1"/>
    <col min="2" max="2" width="13.5546875" bestFit="1" customWidth="1"/>
    <col min="3" max="3" width="11.109375" bestFit="1" customWidth="1"/>
    <col min="4" max="4" width="13.88671875" bestFit="1" customWidth="1"/>
    <col min="5" max="6" width="12.6640625" bestFit="1" customWidth="1"/>
    <col min="7" max="7" width="13.5546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3.5546875" bestFit="1" customWidth="1"/>
    <col min="15" max="15" width="10.109375" bestFit="1" customWidth="1"/>
    <col min="16" max="16" width="11.88671875" bestFit="1" customWidth="1"/>
    <col min="17" max="17" width="13.5546875" bestFit="1" customWidth="1"/>
    <col min="18" max="18" width="12.6640625" bestFit="1" customWidth="1"/>
    <col min="19" max="19" width="11.109375" bestFit="1" customWidth="1"/>
    <col min="20" max="20" width="12.6640625" bestFit="1" customWidth="1"/>
    <col min="21" max="22" width="13.5546875" bestFit="1" customWidth="1"/>
    <col min="23" max="23" width="14.5546875" bestFit="1" customWidth="1"/>
  </cols>
  <sheetData>
    <row r="1" spans="1:23" x14ac:dyDescent="0.3">
      <c r="A1" s="13"/>
      <c r="B1" s="3" t="s">
        <v>93</v>
      </c>
      <c r="C1" s="3" t="s">
        <v>94</v>
      </c>
      <c r="D1" s="3" t="s">
        <v>95</v>
      </c>
      <c r="E1" s="38" t="s">
        <v>119</v>
      </c>
      <c r="F1" s="38" t="s">
        <v>120</v>
      </c>
      <c r="G1" s="3" t="s">
        <v>96</v>
      </c>
      <c r="H1" s="3" t="s">
        <v>97</v>
      </c>
      <c r="I1" s="3" t="s">
        <v>98</v>
      </c>
      <c r="J1" s="3" t="s">
        <v>99</v>
      </c>
      <c r="K1" s="3" t="s">
        <v>100</v>
      </c>
      <c r="L1" s="3" t="s">
        <v>101</v>
      </c>
      <c r="M1" s="3" t="s">
        <v>102</v>
      </c>
      <c r="N1" s="3" t="s">
        <v>103</v>
      </c>
      <c r="O1" s="3" t="s">
        <v>109</v>
      </c>
      <c r="P1" s="3" t="s">
        <v>110</v>
      </c>
      <c r="Q1" s="3" t="s">
        <v>104</v>
      </c>
      <c r="R1" s="3" t="s">
        <v>105</v>
      </c>
      <c r="S1" s="3" t="s">
        <v>111</v>
      </c>
      <c r="T1" s="3" t="s">
        <v>106</v>
      </c>
      <c r="U1" s="3" t="s">
        <v>107</v>
      </c>
      <c r="V1" s="3" t="s">
        <v>108</v>
      </c>
      <c r="W1" s="3" t="s">
        <v>83</v>
      </c>
    </row>
    <row r="2" spans="1:23" x14ac:dyDescent="0.3">
      <c r="A2" t="s">
        <v>5</v>
      </c>
      <c r="B2" s="1">
        <v>165910479.88</v>
      </c>
      <c r="C2" s="1">
        <v>263872922.53999999</v>
      </c>
      <c r="D2" s="1">
        <v>5146806089.9799995</v>
      </c>
      <c r="E2" s="1">
        <v>1370151950.8299999</v>
      </c>
      <c r="F2" s="1">
        <v>1497184645.3599999</v>
      </c>
      <c r="G2" s="1">
        <v>894516194.15999997</v>
      </c>
      <c r="H2" s="1">
        <v>2325310549.1700001</v>
      </c>
      <c r="I2" s="1">
        <v>204903473.66</v>
      </c>
      <c r="J2" s="1">
        <v>481990654.73000002</v>
      </c>
      <c r="K2" s="1">
        <v>274824431.88999999</v>
      </c>
      <c r="L2" s="1">
        <v>289090027.11000001</v>
      </c>
      <c r="M2" s="1">
        <v>334514535.83999997</v>
      </c>
      <c r="N2" s="1">
        <v>767354767.54262769</v>
      </c>
      <c r="O2" s="1">
        <v>0</v>
      </c>
      <c r="P2" s="1">
        <v>127101570.33999991</v>
      </c>
      <c r="Q2" s="1">
        <v>794630907</v>
      </c>
      <c r="R2" s="1">
        <v>1614537993.8199999</v>
      </c>
      <c r="S2" s="1">
        <v>0</v>
      </c>
      <c r="T2" s="1">
        <v>382050436.68000001</v>
      </c>
      <c r="U2" s="1">
        <v>1126277817.46</v>
      </c>
      <c r="V2" s="1">
        <v>487861400.19999999</v>
      </c>
      <c r="W2" s="1">
        <f t="shared" ref="W2:W23" si="0">SUM(B2:V2)</f>
        <v>18548890848.192627</v>
      </c>
    </row>
    <row r="3" spans="1:23" x14ac:dyDescent="0.3">
      <c r="A3" t="s">
        <v>6</v>
      </c>
      <c r="B3" s="1">
        <v>5459393844.6499996</v>
      </c>
      <c r="C3" s="1">
        <v>114031598.88</v>
      </c>
      <c r="D3" s="1">
        <v>19510510515.68</v>
      </c>
      <c r="E3" s="1">
        <v>1976501514.9400001</v>
      </c>
      <c r="F3" s="1">
        <v>1904083629.03</v>
      </c>
      <c r="G3" s="1">
        <v>5669422865.1599998</v>
      </c>
      <c r="H3" s="1">
        <v>968709855.82000005</v>
      </c>
      <c r="I3" s="1">
        <v>2404097440.54</v>
      </c>
      <c r="J3" s="1">
        <v>5130656623.6800003</v>
      </c>
      <c r="K3" s="1">
        <v>5620047433.6599998</v>
      </c>
      <c r="L3" s="1">
        <v>1447874440.55</v>
      </c>
      <c r="M3" s="1">
        <v>2251462601.9899998</v>
      </c>
      <c r="N3" s="1">
        <v>4087641951.2700014</v>
      </c>
      <c r="O3" s="1">
        <v>0</v>
      </c>
      <c r="P3" s="1">
        <v>596422404.61000001</v>
      </c>
      <c r="Q3" s="1">
        <v>7309290091.0500002</v>
      </c>
      <c r="R3" s="1">
        <v>8418542872.4300003</v>
      </c>
      <c r="S3" s="1">
        <v>0</v>
      </c>
      <c r="T3" s="1">
        <v>3728162189.5500002</v>
      </c>
      <c r="U3" s="1">
        <v>3473829536.8200002</v>
      </c>
      <c r="V3" s="1">
        <v>2007877156.9300001</v>
      </c>
      <c r="W3" s="1">
        <f t="shared" si="0"/>
        <v>82078558567.240005</v>
      </c>
    </row>
    <row r="4" spans="1:23" x14ac:dyDescent="0.3">
      <c r="A4" t="s">
        <v>7</v>
      </c>
      <c r="B4" s="1">
        <v>7175497725.1499996</v>
      </c>
      <c r="C4" s="1">
        <v>192233494.86000001</v>
      </c>
      <c r="D4" s="1">
        <v>23452545661.950001</v>
      </c>
      <c r="E4" s="1">
        <v>1821505519.73</v>
      </c>
      <c r="F4" s="1">
        <v>1959964153.71</v>
      </c>
      <c r="G4" s="1">
        <v>5711293653.3500004</v>
      </c>
      <c r="H4" s="1">
        <v>785806600.04999995</v>
      </c>
      <c r="I4" s="1">
        <v>2374045980.3499999</v>
      </c>
      <c r="J4" s="1">
        <v>5029208200.9300003</v>
      </c>
      <c r="K4" s="1">
        <v>6319275474.8599997</v>
      </c>
      <c r="L4" s="1">
        <v>1301310945.9000001</v>
      </c>
      <c r="M4" s="1">
        <v>1886814238.1400001</v>
      </c>
      <c r="N4" s="1">
        <v>4577188422.2199984</v>
      </c>
      <c r="O4" s="1">
        <v>0</v>
      </c>
      <c r="P4" s="1">
        <v>526872463.17000002</v>
      </c>
      <c r="Q4" s="1">
        <v>6871797621.6700001</v>
      </c>
      <c r="R4" s="1">
        <v>7176042236.9799995</v>
      </c>
      <c r="S4" s="1">
        <v>0</v>
      </c>
      <c r="T4" s="1">
        <v>2692457100.75</v>
      </c>
      <c r="U4" s="1">
        <v>3250553809.1799998</v>
      </c>
      <c r="V4" s="1">
        <v>1466021544.21</v>
      </c>
      <c r="W4" s="1">
        <f t="shared" si="0"/>
        <v>84570434847.160004</v>
      </c>
    </row>
    <row r="5" spans="1:23" x14ac:dyDescent="0.3">
      <c r="A5" t="s">
        <v>8</v>
      </c>
      <c r="B5" s="1">
        <v>119356538.84999999</v>
      </c>
      <c r="C5" s="1">
        <v>9773560.9000000004</v>
      </c>
      <c r="D5" s="1">
        <v>153089770.59</v>
      </c>
      <c r="E5" s="1">
        <v>169975798.97999999</v>
      </c>
      <c r="F5" s="1">
        <v>17294784.100000001</v>
      </c>
      <c r="G5" s="1">
        <v>110794883.87</v>
      </c>
      <c r="H5" s="1">
        <v>161863609.99000001</v>
      </c>
      <c r="I5" s="1">
        <v>14833233.109999999</v>
      </c>
      <c r="J5" s="1">
        <v>94934254.150000006</v>
      </c>
      <c r="K5" s="1">
        <v>69102835.329999998</v>
      </c>
      <c r="L5" s="1">
        <v>48636548.490000002</v>
      </c>
      <c r="M5" s="1">
        <v>31575563.140000001</v>
      </c>
      <c r="N5" s="1">
        <v>185287118.31999999</v>
      </c>
      <c r="O5" s="1">
        <v>0</v>
      </c>
      <c r="P5" s="1">
        <v>2223664.2200000002</v>
      </c>
      <c r="Q5" s="1">
        <v>198472451.18000001</v>
      </c>
      <c r="R5" s="1">
        <v>62206212.850000001</v>
      </c>
      <c r="S5" s="1">
        <v>0</v>
      </c>
      <c r="T5" s="1">
        <v>62581205.649999999</v>
      </c>
      <c r="U5" s="1">
        <v>444493517.37</v>
      </c>
      <c r="V5" s="1">
        <v>35633106.530000001</v>
      </c>
      <c r="W5" s="1">
        <f t="shared" si="0"/>
        <v>1992128657.6200001</v>
      </c>
    </row>
    <row r="6" spans="1:23" x14ac:dyDescent="0.3">
      <c r="A6" t="s">
        <v>9</v>
      </c>
      <c r="B6" s="1">
        <v>168151250.72</v>
      </c>
      <c r="C6" s="1">
        <v>146574709.50999999</v>
      </c>
      <c r="D6" s="1">
        <v>1060004147.54</v>
      </c>
      <c r="E6" s="1">
        <v>987521227.85000002</v>
      </c>
      <c r="F6" s="1">
        <v>1494535938.1900001</v>
      </c>
      <c r="G6" s="1">
        <v>385934471.25999999</v>
      </c>
      <c r="H6" s="1">
        <v>1706516798</v>
      </c>
      <c r="I6" s="1">
        <v>77719799.950000003</v>
      </c>
      <c r="J6" s="1">
        <v>427896367.11000001</v>
      </c>
      <c r="K6" s="1">
        <v>186473004.66999999</v>
      </c>
      <c r="L6" s="1">
        <v>119716282.95999999</v>
      </c>
      <c r="M6" s="1">
        <f>82578788.9+15069.37</f>
        <v>82593858.270000011</v>
      </c>
      <c r="N6" s="1">
        <v>542540689.41999996</v>
      </c>
      <c r="O6" s="1">
        <v>0</v>
      </c>
      <c r="P6" s="1">
        <v>52254145.590000004</v>
      </c>
      <c r="Q6" s="1">
        <v>496188532.50999999</v>
      </c>
      <c r="R6" s="1">
        <v>484415855.02999997</v>
      </c>
      <c r="S6" s="1">
        <v>0</v>
      </c>
      <c r="T6" s="1">
        <v>366358840.00999999</v>
      </c>
      <c r="U6" s="1">
        <v>713296891.48000002</v>
      </c>
      <c r="V6" s="1">
        <v>913983039.94000006</v>
      </c>
      <c r="W6" s="1">
        <f t="shared" si="0"/>
        <v>10412675850.01</v>
      </c>
    </row>
    <row r="7" spans="1:23" x14ac:dyDescent="0.3">
      <c r="A7" s="3" t="s">
        <v>0</v>
      </c>
      <c r="B7" s="2">
        <f t="shared" ref="B7:C7" si="1">B2+B3-B4-B5-B6</f>
        <v>-1837701190.1899998</v>
      </c>
      <c r="C7" s="2">
        <f t="shared" si="1"/>
        <v>29322756.149999946</v>
      </c>
      <c r="D7" s="2">
        <f t="shared" ref="D7:G7" si="2">D2+D3-D4-D5-D6</f>
        <v>-8322974.4200009108</v>
      </c>
      <c r="E7" s="2">
        <f t="shared" si="2"/>
        <v>367650919.20999992</v>
      </c>
      <c r="F7" s="2">
        <f t="shared" si="2"/>
        <v>-70526601.610000134</v>
      </c>
      <c r="G7" s="2">
        <f t="shared" si="2"/>
        <v>355916050.83999932</v>
      </c>
      <c r="H7" s="2">
        <f t="shared" ref="H7:I7" si="3">H2+H3-H4-H5-H6</f>
        <v>639833396.95000076</v>
      </c>
      <c r="I7" s="2">
        <f t="shared" si="3"/>
        <v>142401900.7899999</v>
      </c>
      <c r="J7" s="2">
        <f t="shared" ref="J7:L7" si="4">J2+J3-J4-J5-J6</f>
        <v>60608456.219999552</v>
      </c>
      <c r="K7" s="2">
        <f t="shared" si="4"/>
        <v>-679979449.30999947</v>
      </c>
      <c r="L7" s="2">
        <f t="shared" si="4"/>
        <v>267300690.30999976</v>
      </c>
      <c r="M7" s="2">
        <f t="shared" ref="M7" si="5">M2+M3-M4-M5-M6</f>
        <v>584993478.27999985</v>
      </c>
      <c r="N7" s="2">
        <f t="shared" ref="N7" si="6">N2+N3-N4-N5-N6</f>
        <v>-450019511.14736956</v>
      </c>
      <c r="O7" s="2">
        <f t="shared" ref="O7:S7" si="7">SUM(O2:O6)</f>
        <v>0</v>
      </c>
      <c r="P7" s="2">
        <f t="shared" ref="P7" si="8">P2+P3-P4-P5-P6</f>
        <v>142173701.96999991</v>
      </c>
      <c r="Q7" s="2">
        <f t="shared" ref="Q7:R7" si="9">Q2+Q3-Q4-Q5-Q6</f>
        <v>537462392.69000006</v>
      </c>
      <c r="R7" s="2">
        <f t="shared" si="9"/>
        <v>2310416561.3900003</v>
      </c>
      <c r="S7" s="2">
        <f t="shared" si="7"/>
        <v>0</v>
      </c>
      <c r="T7" s="2">
        <f t="shared" ref="T7:V7" si="10">T2+T3-T4-T5-T6</f>
        <v>988815479.81999993</v>
      </c>
      <c r="U7" s="2">
        <f t="shared" si="10"/>
        <v>191763136.25000083</v>
      </c>
      <c r="V7" s="2">
        <f t="shared" si="10"/>
        <v>80100866.450000048</v>
      </c>
      <c r="W7" s="2">
        <f t="shared" si="0"/>
        <v>3652210060.6426296</v>
      </c>
    </row>
    <row r="8" spans="1:23" x14ac:dyDescent="0.3">
      <c r="A8" t="s">
        <v>10</v>
      </c>
      <c r="B8" s="1">
        <v>324662324.49000001</v>
      </c>
      <c r="C8" s="1">
        <v>17007902.760000002</v>
      </c>
      <c r="D8" s="1">
        <v>99854311.650000006</v>
      </c>
      <c r="E8" s="1">
        <v>61175575.210000001</v>
      </c>
      <c r="F8" s="1">
        <v>39601397.899999999</v>
      </c>
      <c r="G8" s="1">
        <v>441001607.82999998</v>
      </c>
      <c r="H8" s="1">
        <v>38600000</v>
      </c>
      <c r="I8" s="1">
        <v>22752121.280000001</v>
      </c>
      <c r="J8" s="1">
        <v>171401679.88</v>
      </c>
      <c r="K8" s="1">
        <v>327316785.49000001</v>
      </c>
      <c r="L8" s="1">
        <v>53345318.210000001</v>
      </c>
      <c r="M8" s="1">
        <v>76466950.569999993</v>
      </c>
      <c r="N8" s="1">
        <v>77506799.810000002</v>
      </c>
      <c r="O8" s="1">
        <v>0</v>
      </c>
      <c r="P8" s="1">
        <v>12073179.164525824</v>
      </c>
      <c r="Q8" s="1">
        <v>397147457.06</v>
      </c>
      <c r="R8" s="1">
        <v>578111115.49000001</v>
      </c>
      <c r="S8" s="1">
        <v>0</v>
      </c>
      <c r="T8" s="1">
        <v>294389255.41000003</v>
      </c>
      <c r="U8" s="1">
        <v>79742106</v>
      </c>
      <c r="V8" s="1">
        <v>75712112.769999996</v>
      </c>
      <c r="W8" s="1">
        <f t="shared" si="0"/>
        <v>3187868000.9745259</v>
      </c>
    </row>
    <row r="9" spans="1:23" x14ac:dyDescent="0.3">
      <c r="A9" t="s">
        <v>112</v>
      </c>
      <c r="B9" s="1">
        <v>64182891.689999998</v>
      </c>
      <c r="C9" s="1">
        <v>6668200</v>
      </c>
      <c r="D9" s="1">
        <v>23812178.73</v>
      </c>
      <c r="E9" s="1">
        <v>51497101.939999998</v>
      </c>
      <c r="F9" s="1">
        <v>1998079.71</v>
      </c>
      <c r="G9" s="1">
        <f>40615973.66+41826002.86</f>
        <v>82441976.519999996</v>
      </c>
      <c r="H9" s="1">
        <v>0</v>
      </c>
      <c r="I9" s="1">
        <v>92895482.870000005</v>
      </c>
      <c r="J9" s="1">
        <v>100710691.31999999</v>
      </c>
      <c r="K9" s="1">
        <v>125031569.73999999</v>
      </c>
      <c r="L9" s="1">
        <v>2334556.91</v>
      </c>
      <c r="M9" s="1">
        <v>106722821.04000001</v>
      </c>
      <c r="N9" s="1">
        <v>572594696.32000005</v>
      </c>
      <c r="O9" s="1">
        <v>0</v>
      </c>
      <c r="P9" s="1">
        <v>3945626.139</v>
      </c>
      <c r="Q9" s="1">
        <v>883511819.64999998</v>
      </c>
      <c r="R9" s="1">
        <v>145405334.19999999</v>
      </c>
      <c r="S9" s="1">
        <v>0</v>
      </c>
      <c r="T9" s="1">
        <v>150607282.05000001</v>
      </c>
      <c r="U9" s="1">
        <v>114336000</v>
      </c>
      <c r="V9" s="1">
        <v>577135200</v>
      </c>
      <c r="W9" s="1">
        <f t="shared" si="0"/>
        <v>3105831508.829</v>
      </c>
    </row>
    <row r="10" spans="1:23" x14ac:dyDescent="0.3">
      <c r="A10" t="s">
        <v>11</v>
      </c>
      <c r="B10" s="1">
        <v>4427544721.2700005</v>
      </c>
      <c r="C10" s="1">
        <v>0</v>
      </c>
      <c r="D10" s="1">
        <v>0</v>
      </c>
      <c r="E10" s="1">
        <v>0</v>
      </c>
      <c r="F10" s="1">
        <v>0</v>
      </c>
      <c r="G10" s="1">
        <v>1493566894.6400001</v>
      </c>
      <c r="H10" s="1">
        <v>0</v>
      </c>
      <c r="I10" s="1">
        <v>134209329.39</v>
      </c>
      <c r="J10" s="1">
        <v>895976672.40999997</v>
      </c>
      <c r="K10" s="1">
        <v>627502372.45000005</v>
      </c>
      <c r="L10" s="1">
        <v>27699974.050000001</v>
      </c>
      <c r="M10" s="1">
        <v>0</v>
      </c>
      <c r="N10" s="1">
        <v>7375815084.7399998</v>
      </c>
      <c r="O10" s="1">
        <v>0</v>
      </c>
      <c r="P10" s="1">
        <v>313882454.93000001</v>
      </c>
      <c r="Q10" s="1">
        <v>2492434274.4000001</v>
      </c>
      <c r="R10" s="1">
        <v>475057528.06</v>
      </c>
      <c r="S10" s="1">
        <v>0</v>
      </c>
      <c r="T10" s="1">
        <v>150269006.83000001</v>
      </c>
      <c r="U10" s="1">
        <v>2515569000</v>
      </c>
      <c r="V10" s="1">
        <v>208910463.55000001</v>
      </c>
      <c r="W10" s="1">
        <f t="shared" si="0"/>
        <v>21138437776.720005</v>
      </c>
    </row>
    <row r="11" spans="1:23" x14ac:dyDescent="0.3">
      <c r="A11" t="s">
        <v>12</v>
      </c>
      <c r="B11" s="1">
        <v>13000000</v>
      </c>
      <c r="C11" s="1">
        <v>4697205.63</v>
      </c>
      <c r="D11" s="1">
        <v>3000565</v>
      </c>
      <c r="E11" s="1">
        <v>1208276.27</v>
      </c>
      <c r="F11" s="1">
        <v>0</v>
      </c>
      <c r="G11" s="1">
        <v>0</v>
      </c>
      <c r="H11" s="1">
        <v>43804129.200000003</v>
      </c>
      <c r="I11" s="1">
        <v>222110</v>
      </c>
      <c r="J11" s="1">
        <v>1479692</v>
      </c>
      <c r="K11" s="1">
        <v>4287397.7300000004</v>
      </c>
      <c r="L11" s="1">
        <v>3000000</v>
      </c>
      <c r="M11" s="1">
        <v>23459033.559999999</v>
      </c>
      <c r="N11" s="1">
        <v>0</v>
      </c>
      <c r="O11" s="1">
        <v>0</v>
      </c>
      <c r="P11" s="1">
        <v>3898068.5</v>
      </c>
      <c r="Q11" s="1">
        <v>26779189.859999999</v>
      </c>
      <c r="R11" s="1">
        <v>43502749.200000003</v>
      </c>
      <c r="S11" s="1">
        <v>0</v>
      </c>
      <c r="T11" s="1">
        <v>2596493.98</v>
      </c>
      <c r="U11" s="1">
        <v>3321840.21</v>
      </c>
      <c r="V11" s="1">
        <v>1325101</v>
      </c>
      <c r="W11" s="1">
        <f t="shared" si="0"/>
        <v>179581852.13999999</v>
      </c>
    </row>
    <row r="12" spans="1:23" x14ac:dyDescent="0.3">
      <c r="A12" t="s">
        <v>13</v>
      </c>
      <c r="B12" s="1">
        <v>95489179.689999998</v>
      </c>
      <c r="C12" s="1">
        <v>7223902.6699999999</v>
      </c>
      <c r="D12" s="1">
        <v>43410137.520000003</v>
      </c>
      <c r="E12" s="1">
        <v>131380.51999999999</v>
      </c>
      <c r="F12" s="1">
        <v>6100000</v>
      </c>
      <c r="G12" s="1">
        <v>9414757.3599999994</v>
      </c>
      <c r="H12" s="1">
        <v>18394808.84</v>
      </c>
      <c r="I12" s="1">
        <v>21235554.530000001</v>
      </c>
      <c r="J12" s="1">
        <v>5094145.55</v>
      </c>
      <c r="K12" s="1">
        <v>3200000</v>
      </c>
      <c r="L12" s="1">
        <v>32343110.079999998</v>
      </c>
      <c r="M12" s="1">
        <v>32145417.32</v>
      </c>
      <c r="N12" s="1">
        <v>20000000</v>
      </c>
      <c r="O12" s="1">
        <v>0</v>
      </c>
      <c r="P12" s="1">
        <v>5298843.3498000018</v>
      </c>
      <c r="Q12" s="1">
        <v>410910931.45999998</v>
      </c>
      <c r="R12" s="1">
        <v>18419634.77</v>
      </c>
      <c r="S12" s="1">
        <v>0</v>
      </c>
      <c r="T12" s="1">
        <v>43621428.649999999</v>
      </c>
      <c r="U12" s="1">
        <v>109378278.59999999</v>
      </c>
      <c r="V12" s="1">
        <v>11201000</v>
      </c>
      <c r="W12" s="1">
        <f t="shared" si="0"/>
        <v>893012510.90979993</v>
      </c>
    </row>
    <row r="13" spans="1:23" x14ac:dyDescent="0.3">
      <c r="A13" t="s">
        <v>14</v>
      </c>
      <c r="B13" s="1">
        <v>43713440.740000002</v>
      </c>
      <c r="C13" s="1">
        <v>0</v>
      </c>
      <c r="D13" s="1">
        <v>199539550.44999999</v>
      </c>
      <c r="E13" s="1">
        <v>0</v>
      </c>
      <c r="F13" s="1">
        <v>0</v>
      </c>
      <c r="G13" s="1">
        <v>80705000</v>
      </c>
      <c r="H13" s="1">
        <v>294222639.63999999</v>
      </c>
      <c r="I13" s="1">
        <f>19181978.05+12000000+1140068.39</f>
        <v>32322046.440000001</v>
      </c>
      <c r="J13" s="1">
        <v>18724909.950000048</v>
      </c>
      <c r="K13" s="1">
        <v>34448827.909999996</v>
      </c>
      <c r="L13" s="1">
        <v>22812348.849999994</v>
      </c>
      <c r="M13" s="1">
        <v>68144016.199999988</v>
      </c>
      <c r="N13" s="1">
        <v>27884355.960000001</v>
      </c>
      <c r="O13" s="1">
        <v>0</v>
      </c>
      <c r="P13" s="1">
        <v>1872515.03</v>
      </c>
      <c r="Q13" s="1">
        <v>434006177.38999999</v>
      </c>
      <c r="R13" s="1">
        <v>3422000</v>
      </c>
      <c r="S13" s="1">
        <v>0</v>
      </c>
      <c r="T13" s="1">
        <v>0</v>
      </c>
      <c r="U13" s="1">
        <v>0</v>
      </c>
      <c r="V13" s="1">
        <v>722287855.75</v>
      </c>
      <c r="W13" s="1">
        <f t="shared" si="0"/>
        <v>1984105684.3099999</v>
      </c>
    </row>
    <row r="14" spans="1:23" x14ac:dyDescent="0.3">
      <c r="A14" s="3" t="s">
        <v>1</v>
      </c>
      <c r="B14" s="2">
        <f t="shared" ref="B14" si="11">SUM(B8:B13)</f>
        <v>4968592557.8800001</v>
      </c>
      <c r="C14" s="2">
        <f t="shared" ref="C14" si="12">SUM(C8:C13)</f>
        <v>35597211.060000002</v>
      </c>
      <c r="D14" s="2">
        <f t="shared" ref="D14" si="13">SUM(D8:D13)</f>
        <v>369616743.35000002</v>
      </c>
      <c r="E14" s="2">
        <f t="shared" ref="E14:F14" si="14">SUM(E8:E13)</f>
        <v>114012333.94</v>
      </c>
      <c r="F14" s="2">
        <f t="shared" si="14"/>
        <v>47699477.609999999</v>
      </c>
      <c r="G14" s="2">
        <f t="shared" ref="G14" si="15">SUM(G8:G13)</f>
        <v>2107130236.3499999</v>
      </c>
      <c r="H14" s="2">
        <f t="shared" ref="H14:U14" si="16">SUM(H8:H13)</f>
        <v>395021577.68000001</v>
      </c>
      <c r="I14" s="2">
        <f t="shared" ref="I14" si="17">SUM(I8:I13)</f>
        <v>303636644.51000005</v>
      </c>
      <c r="J14" s="2">
        <f t="shared" si="16"/>
        <v>1193387791.1099999</v>
      </c>
      <c r="K14" s="2">
        <f t="shared" ref="K14:L14" si="18">SUM(K8:K13)</f>
        <v>1121786953.3200002</v>
      </c>
      <c r="L14" s="2">
        <f t="shared" si="18"/>
        <v>141535308.09999999</v>
      </c>
      <c r="M14" s="2">
        <f t="shared" si="16"/>
        <v>306938238.69</v>
      </c>
      <c r="N14" s="2">
        <f t="shared" si="16"/>
        <v>8073800936.8299999</v>
      </c>
      <c r="O14" s="2">
        <f t="shared" si="16"/>
        <v>0</v>
      </c>
      <c r="P14" s="2">
        <f t="shared" ref="P14" si="19">SUM(P8:P13)</f>
        <v>340970687.11332577</v>
      </c>
      <c r="Q14" s="2">
        <f t="shared" ref="Q14" si="20">SUM(Q8:Q13)</f>
        <v>4644789849.8200006</v>
      </c>
      <c r="R14" s="2">
        <f t="shared" ref="R14" si="21">SUM(R8:R13)</f>
        <v>1263918361.72</v>
      </c>
      <c r="S14" s="2">
        <f t="shared" si="16"/>
        <v>0</v>
      </c>
      <c r="T14" s="2">
        <f t="shared" si="16"/>
        <v>641483466.92000008</v>
      </c>
      <c r="U14" s="2">
        <f t="shared" si="16"/>
        <v>2822347224.8099999</v>
      </c>
      <c r="V14" s="2">
        <f t="shared" ref="V14" si="22">SUM(V8:V13)</f>
        <v>1596571733.0699999</v>
      </c>
      <c r="W14" s="2">
        <f t="shared" si="0"/>
        <v>30488837333.883327</v>
      </c>
    </row>
    <row r="15" spans="1:23" x14ac:dyDescent="0.3">
      <c r="A15" t="s">
        <v>16</v>
      </c>
      <c r="B15" s="1">
        <v>61494362.280000001</v>
      </c>
      <c r="C15" s="1">
        <v>45943998.450000003</v>
      </c>
      <c r="D15" s="1">
        <v>230567992.40000001</v>
      </c>
      <c r="E15" s="1">
        <v>0</v>
      </c>
      <c r="F15" s="1">
        <v>0</v>
      </c>
      <c r="G15" s="1">
        <v>75657776.829999998</v>
      </c>
      <c r="H15" s="1">
        <v>7375029.2699999996</v>
      </c>
      <c r="I15" s="1">
        <v>13739085.528000001</v>
      </c>
      <c r="J15" s="1">
        <v>165428101.34</v>
      </c>
      <c r="K15" s="1">
        <v>52511062.5</v>
      </c>
      <c r="L15" s="1">
        <v>2665823.4</v>
      </c>
      <c r="M15" s="1">
        <v>154706419.18000001</v>
      </c>
      <c r="N15" s="1">
        <v>23175750.59</v>
      </c>
      <c r="O15" s="1">
        <v>0</v>
      </c>
      <c r="P15" s="1">
        <v>0</v>
      </c>
      <c r="Q15" s="1">
        <v>133940630.63</v>
      </c>
      <c r="R15" s="1">
        <v>160021111.05000001</v>
      </c>
      <c r="S15" s="1">
        <v>0</v>
      </c>
      <c r="T15" s="1">
        <v>27544229</v>
      </c>
      <c r="U15" s="1">
        <v>20500542.780000001</v>
      </c>
      <c r="V15" s="1">
        <v>62169136.68</v>
      </c>
      <c r="W15" s="1">
        <f t="shared" si="0"/>
        <v>1237441051.908</v>
      </c>
    </row>
    <row r="16" spans="1:23" x14ac:dyDescent="0.3">
      <c r="A16" t="s">
        <v>15</v>
      </c>
      <c r="B16" s="1">
        <v>62752809.329999998</v>
      </c>
      <c r="C16" s="1">
        <v>2132769.0499999998</v>
      </c>
      <c r="D16" s="1">
        <v>360931089.52999997</v>
      </c>
      <c r="E16" s="1">
        <v>0</v>
      </c>
      <c r="F16" s="1">
        <v>834893.15</v>
      </c>
      <c r="G16" s="1">
        <v>624589393.60000002</v>
      </c>
      <c r="H16" s="1">
        <v>195572699.36000001</v>
      </c>
      <c r="I16" s="1">
        <v>73945465.819999993</v>
      </c>
      <c r="J16" s="1">
        <v>452531127.31</v>
      </c>
      <c r="K16" s="1">
        <v>856100351.08000004</v>
      </c>
      <c r="L16" s="1">
        <v>232803328.91999999</v>
      </c>
      <c r="M16" s="1">
        <v>412436178.32999998</v>
      </c>
      <c r="N16" s="1">
        <v>407316521.88</v>
      </c>
      <c r="O16" s="1">
        <v>0</v>
      </c>
      <c r="P16" s="1">
        <v>309757555.42000002</v>
      </c>
      <c r="Q16" s="1">
        <v>1075900177.6500001</v>
      </c>
      <c r="R16" s="1">
        <v>1335390147.5</v>
      </c>
      <c r="S16" s="1">
        <v>0</v>
      </c>
      <c r="T16" s="1">
        <v>146978699.03</v>
      </c>
      <c r="U16" s="1">
        <v>3265068029</v>
      </c>
      <c r="V16" s="1">
        <v>242615597.08000001</v>
      </c>
      <c r="W16" s="1">
        <f t="shared" si="0"/>
        <v>10057656833.039999</v>
      </c>
    </row>
    <row r="17" spans="1:23" x14ac:dyDescent="0.3">
      <c r="A17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868884.86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/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8010.73</v>
      </c>
      <c r="W17" s="1">
        <f t="shared" si="0"/>
        <v>876895.59</v>
      </c>
    </row>
    <row r="18" spans="1:23" x14ac:dyDescent="0.3">
      <c r="A18" t="s">
        <v>18</v>
      </c>
      <c r="B18" s="1">
        <v>0</v>
      </c>
      <c r="C18" s="1">
        <v>5652454.8499999996</v>
      </c>
      <c r="D18" s="1">
        <v>45637925.109999999</v>
      </c>
      <c r="E18" s="1">
        <v>8892304.7300000004</v>
      </c>
      <c r="F18" s="1">
        <v>0</v>
      </c>
      <c r="G18" s="1">
        <v>101328910.33</v>
      </c>
      <c r="H18" s="1">
        <v>0</v>
      </c>
      <c r="I18" s="1">
        <v>3823641.01</v>
      </c>
      <c r="J18" s="1">
        <v>403098853.00999999</v>
      </c>
      <c r="K18" s="1">
        <v>0</v>
      </c>
      <c r="L18" s="1">
        <v>2486607.33</v>
      </c>
      <c r="M18" s="1">
        <v>5188707.74</v>
      </c>
      <c r="N18" s="1">
        <v>0</v>
      </c>
      <c r="O18" s="1">
        <v>0</v>
      </c>
      <c r="P18" s="1"/>
      <c r="Q18" s="1">
        <v>39937458.579999998</v>
      </c>
      <c r="R18" s="1">
        <v>0</v>
      </c>
      <c r="S18" s="1">
        <v>0</v>
      </c>
      <c r="T18" s="1">
        <v>0</v>
      </c>
      <c r="U18" s="1">
        <v>283343149.99000001</v>
      </c>
      <c r="V18" s="1">
        <v>5801624.9800000004</v>
      </c>
      <c r="W18" s="1">
        <f t="shared" si="0"/>
        <v>905191637.66000009</v>
      </c>
    </row>
    <row r="19" spans="1:23" x14ac:dyDescent="0.3">
      <c r="A19" t="s">
        <v>19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52885389.460000001</v>
      </c>
      <c r="L19" s="1">
        <v>0</v>
      </c>
      <c r="M19" s="1">
        <v>0</v>
      </c>
      <c r="N19" s="1">
        <v>0</v>
      </c>
      <c r="O19" s="1">
        <v>0</v>
      </c>
      <c r="P19" s="1"/>
      <c r="Q19" s="1">
        <v>0</v>
      </c>
      <c r="R19" s="1">
        <v>0</v>
      </c>
      <c r="S19" s="1">
        <v>0</v>
      </c>
      <c r="T19" s="1">
        <v>271848875.24000001</v>
      </c>
      <c r="U19" s="1">
        <v>54115202.490000002</v>
      </c>
      <c r="V19" s="1">
        <v>0</v>
      </c>
      <c r="W19" s="1">
        <f t="shared" si="0"/>
        <v>378849467.19</v>
      </c>
    </row>
    <row r="20" spans="1:23" x14ac:dyDescent="0.3">
      <c r="A20" s="3" t="s">
        <v>2</v>
      </c>
      <c r="B20" s="2">
        <f t="shared" ref="B20" si="23">SUM(B15:B19)</f>
        <v>124247171.61</v>
      </c>
      <c r="C20" s="2">
        <f t="shared" ref="C20" si="24">SUM(C15:C19)</f>
        <v>53729222.350000001</v>
      </c>
      <c r="D20" s="2">
        <f t="shared" ref="D20:S20" si="25">SUM(D15:D19)</f>
        <v>637137007.03999996</v>
      </c>
      <c r="E20" s="2">
        <f t="shared" ref="E20:F20" si="26">SUM(E15:E19)</f>
        <v>8892304.7300000004</v>
      </c>
      <c r="F20" s="2">
        <f t="shared" si="26"/>
        <v>834893.15</v>
      </c>
      <c r="G20" s="2">
        <f t="shared" ref="G20" si="27">SUM(G15:G19)</f>
        <v>801576080.76000011</v>
      </c>
      <c r="H20" s="2">
        <f t="shared" ref="H20" si="28">SUM(H15:H19)</f>
        <v>203816613.49000004</v>
      </c>
      <c r="I20" s="2">
        <f t="shared" ref="I20" si="29">SUM(I15:I19)</f>
        <v>91508192.357999995</v>
      </c>
      <c r="J20" s="2">
        <f t="shared" ref="J20" si="30">SUM(J15:J19)</f>
        <v>1021058081.66</v>
      </c>
      <c r="K20" s="2">
        <f t="shared" ref="K20:L20" si="31">SUM(K15:K19)</f>
        <v>961496803.04000008</v>
      </c>
      <c r="L20" s="2">
        <f t="shared" si="31"/>
        <v>237955759.65000001</v>
      </c>
      <c r="M20" s="2">
        <f t="shared" ref="M20" si="32">SUM(M15:M19)</f>
        <v>572331305.25</v>
      </c>
      <c r="N20" s="2">
        <f t="shared" ref="N20" si="33">SUM(N15:N19)</f>
        <v>430492272.46999997</v>
      </c>
      <c r="O20" s="2">
        <f t="shared" si="25"/>
        <v>0</v>
      </c>
      <c r="P20" s="2">
        <f t="shared" si="25"/>
        <v>309757555.42000002</v>
      </c>
      <c r="Q20" s="2">
        <f t="shared" ref="Q20:R20" si="34">SUM(Q15:Q19)</f>
        <v>1249778266.8600001</v>
      </c>
      <c r="R20" s="2">
        <f t="shared" si="34"/>
        <v>1495411258.55</v>
      </c>
      <c r="S20" s="2">
        <f t="shared" si="25"/>
        <v>0</v>
      </c>
      <c r="T20" s="2">
        <f t="shared" ref="T20" si="35">SUM(T15:T19)</f>
        <v>446371803.26999998</v>
      </c>
      <c r="U20" s="2">
        <f>SUM(U15:U19)</f>
        <v>3623026924.2600002</v>
      </c>
      <c r="V20" s="2">
        <f t="shared" ref="V20" si="36">SUM(V15:V19)</f>
        <v>310594369.47000003</v>
      </c>
      <c r="W20" s="2">
        <f t="shared" si="0"/>
        <v>12580015885.388</v>
      </c>
    </row>
    <row r="21" spans="1:23" x14ac:dyDescent="0.3">
      <c r="A21" s="3" t="s">
        <v>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8525418.0099999998</v>
      </c>
      <c r="I21" s="2">
        <v>0</v>
      </c>
      <c r="J21" s="2">
        <v>8071621.9199999999</v>
      </c>
      <c r="K21" s="2">
        <v>0</v>
      </c>
      <c r="L21" s="2">
        <v>0</v>
      </c>
      <c r="M21" s="2">
        <v>206048.55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33168311.699999999</v>
      </c>
      <c r="V21" s="2">
        <v>0</v>
      </c>
      <c r="W21" s="2">
        <f t="shared" si="0"/>
        <v>49971400.18</v>
      </c>
    </row>
    <row r="22" spans="1:23" x14ac:dyDescent="0.3">
      <c r="A22" s="19" t="s">
        <v>4</v>
      </c>
      <c r="B22" s="12">
        <f t="shared" ref="B22:U22" si="37">B7-B14-B20-B21</f>
        <v>-6930540919.6799994</v>
      </c>
      <c r="C22" s="12">
        <f>C7-C14-C20-C21</f>
        <v>-60003677.260000058</v>
      </c>
      <c r="D22" s="12">
        <f t="shared" si="37"/>
        <v>-1015076724.8100009</v>
      </c>
      <c r="E22" s="12">
        <f>E7-E14-E20-E21</f>
        <v>244746280.53999993</v>
      </c>
      <c r="F22" s="12">
        <f>F7-F14-F20-F21</f>
        <v>-119060972.37000014</v>
      </c>
      <c r="G22" s="12">
        <f>G7-G14-G20-G21</f>
        <v>-2552790266.2700009</v>
      </c>
      <c r="H22" s="12">
        <f t="shared" si="37"/>
        <v>32469787.770000719</v>
      </c>
      <c r="I22" s="12">
        <f t="shared" si="37"/>
        <v>-252742936.07800013</v>
      </c>
      <c r="J22" s="12">
        <f t="shared" si="37"/>
        <v>-2161909038.4700003</v>
      </c>
      <c r="K22" s="12">
        <f>K7-K14-K20-K21</f>
        <v>-2763263205.6699996</v>
      </c>
      <c r="L22" s="12">
        <f>L7-L14-L20-L21</f>
        <v>-112190377.44000024</v>
      </c>
      <c r="M22" s="12">
        <f t="shared" si="37"/>
        <v>-294482114.21000016</v>
      </c>
      <c r="N22" s="12">
        <f t="shared" si="37"/>
        <v>-8954312720.4473686</v>
      </c>
      <c r="O22" s="12">
        <f t="shared" si="37"/>
        <v>0</v>
      </c>
      <c r="P22" s="12">
        <f t="shared" si="37"/>
        <v>-508554540.56332588</v>
      </c>
      <c r="Q22" s="12">
        <f t="shared" si="37"/>
        <v>-5357105723.9900007</v>
      </c>
      <c r="R22" s="12">
        <f t="shared" si="37"/>
        <v>-448913058.87999964</v>
      </c>
      <c r="S22" s="12">
        <f t="shared" si="37"/>
        <v>0</v>
      </c>
      <c r="T22" s="12">
        <f t="shared" si="37"/>
        <v>-99039790.370000124</v>
      </c>
      <c r="U22" s="12">
        <f t="shared" si="37"/>
        <v>-6286779324.5199995</v>
      </c>
      <c r="V22" s="12">
        <f>V7-V14-V20-V21</f>
        <v>-1827065236.0899999</v>
      </c>
      <c r="W22" s="12">
        <f t="shared" si="0"/>
        <v>-39466614558.808693</v>
      </c>
    </row>
    <row r="23" spans="1:23" x14ac:dyDescent="0.3">
      <c r="A23" t="s">
        <v>84</v>
      </c>
      <c r="B23" s="1">
        <v>-396639299.69999999</v>
      </c>
      <c r="C23" s="1">
        <v>-4178924.61</v>
      </c>
      <c r="D23" s="1">
        <v>-149162384.16999999</v>
      </c>
      <c r="E23" s="1">
        <v>-14653987.08</v>
      </c>
      <c r="F23" s="1">
        <v>-6483018.5999999996</v>
      </c>
      <c r="G23" s="1">
        <v>-30090300</v>
      </c>
      <c r="H23" s="1">
        <v>-47090842.100000001</v>
      </c>
      <c r="I23" s="1">
        <v>-23062620.440000001</v>
      </c>
      <c r="J23" s="1">
        <v>-27308676.260000002</v>
      </c>
      <c r="K23" s="1">
        <v>-177220142.58000001</v>
      </c>
      <c r="L23" s="1">
        <v>-1439623.58</v>
      </c>
      <c r="M23" s="1">
        <v>-21640335.23</v>
      </c>
      <c r="N23" s="1">
        <v>-115708628.76000001</v>
      </c>
      <c r="O23" s="1">
        <v>0</v>
      </c>
      <c r="P23" s="1">
        <v>-87097843.75</v>
      </c>
      <c r="Q23" s="1">
        <v>-453829434.94999999</v>
      </c>
      <c r="R23" s="1">
        <v>-94172029.739999995</v>
      </c>
      <c r="S23" s="1">
        <v>0</v>
      </c>
      <c r="T23" s="1">
        <v>-726094493.07000005</v>
      </c>
      <c r="U23" s="1">
        <v>-243496060.63</v>
      </c>
      <c r="V23" s="1">
        <v>-51032936.140000001</v>
      </c>
      <c r="W23" s="1">
        <f t="shared" si="0"/>
        <v>-2670401581.3900003</v>
      </c>
    </row>
    <row r="24" spans="1:23" x14ac:dyDescent="0.3">
      <c r="A24" t="s">
        <v>117</v>
      </c>
      <c r="B24" s="26">
        <f>B8/B3*100</f>
        <v>5.9468566241682099</v>
      </c>
      <c r="C24" s="26">
        <f t="shared" ref="C24:W24" si="38">C8/C3*100</f>
        <v>14.91507873874337</v>
      </c>
      <c r="D24" s="26">
        <f t="shared" si="38"/>
        <v>0.51179753379467008</v>
      </c>
      <c r="E24" s="26">
        <f t="shared" ref="E24" si="39">E8/E3*100</f>
        <v>3.0951443622777637</v>
      </c>
      <c r="F24" s="26">
        <f t="shared" si="38"/>
        <v>2.0798140006158339</v>
      </c>
      <c r="G24" s="26">
        <f t="shared" si="38"/>
        <v>7.778597898210478</v>
      </c>
      <c r="H24" s="26">
        <f t="shared" si="38"/>
        <v>3.9846812508504534</v>
      </c>
      <c r="I24" s="26">
        <f t="shared" si="38"/>
        <v>0.94638931419058869</v>
      </c>
      <c r="J24" s="26">
        <f t="shared" si="38"/>
        <v>3.3407357469395582</v>
      </c>
      <c r="K24" s="26">
        <f t="shared" si="38"/>
        <v>5.8240929343337982</v>
      </c>
      <c r="L24" s="26">
        <f t="shared" si="38"/>
        <v>3.6843884190493661</v>
      </c>
      <c r="M24" s="26">
        <f t="shared" si="38"/>
        <v>3.3963233723008841</v>
      </c>
      <c r="N24" s="26">
        <f t="shared" si="38"/>
        <v>1.8961249721473081</v>
      </c>
      <c r="O24" s="26" t="e">
        <f t="shared" si="38"/>
        <v>#DIV/0!</v>
      </c>
      <c r="P24" s="26">
        <f t="shared" si="38"/>
        <v>2.0242665384813074</v>
      </c>
      <c r="Q24" s="26">
        <f t="shared" si="38"/>
        <v>5.4334614184528647</v>
      </c>
      <c r="R24" s="26">
        <f t="shared" si="38"/>
        <v>6.8671161298383829</v>
      </c>
      <c r="S24" s="26" t="e">
        <f t="shared" si="38"/>
        <v>#DIV/0!</v>
      </c>
      <c r="T24" s="26">
        <f t="shared" si="38"/>
        <v>7.8963639574257272</v>
      </c>
      <c r="U24" s="26">
        <f t="shared" si="38"/>
        <v>2.2955100460397726</v>
      </c>
      <c r="V24" s="26">
        <f t="shared" si="38"/>
        <v>3.7707542271043191</v>
      </c>
      <c r="W24" s="26">
        <f t="shared" si="38"/>
        <v>3.8839229838118756</v>
      </c>
    </row>
  </sheetData>
  <conditionalFormatting sqref="B22:W22">
    <cfRule type="cellIs" dxfId="339" priority="177" operator="greaterThan">
      <formula>0</formula>
    </cfRule>
  </conditionalFormatting>
  <conditionalFormatting sqref="B22:W22">
    <cfRule type="cellIs" dxfId="338" priority="175" operator="greaterThan">
      <formula>0</formula>
    </cfRule>
    <cfRule type="cellIs" dxfId="337" priority="176" operator="lessThan">
      <formula>0</formula>
    </cfRule>
  </conditionalFormatting>
  <conditionalFormatting sqref="Q22">
    <cfRule type="cellIs" dxfId="336" priority="63" operator="greaterThan">
      <formula>0</formula>
    </cfRule>
  </conditionalFormatting>
  <conditionalFormatting sqref="Q22">
    <cfRule type="cellIs" dxfId="335" priority="61" operator="greaterThan">
      <formula>0</formula>
    </cfRule>
    <cfRule type="cellIs" dxfId="334" priority="62" operator="lessThan">
      <formula>0</formula>
    </cfRule>
  </conditionalFormatting>
  <conditionalFormatting sqref="T22">
    <cfRule type="cellIs" dxfId="333" priority="60" operator="greaterThan">
      <formula>0</formula>
    </cfRule>
  </conditionalFormatting>
  <conditionalFormatting sqref="T22">
    <cfRule type="cellIs" dxfId="332" priority="58" operator="greaterThan">
      <formula>0</formula>
    </cfRule>
    <cfRule type="cellIs" dxfId="331" priority="59" operator="lessThan">
      <formula>0</formula>
    </cfRule>
  </conditionalFormatting>
  <conditionalFormatting sqref="J22">
    <cfRule type="cellIs" dxfId="330" priority="57" operator="greaterThan">
      <formula>0</formula>
    </cfRule>
  </conditionalFormatting>
  <conditionalFormatting sqref="J22">
    <cfRule type="cellIs" dxfId="329" priority="55" operator="greaterThan">
      <formula>0</formula>
    </cfRule>
    <cfRule type="cellIs" dxfId="328" priority="56" operator="lessThan">
      <formula>0</formula>
    </cfRule>
  </conditionalFormatting>
  <conditionalFormatting sqref="H22">
    <cfRule type="cellIs" dxfId="327" priority="54" operator="greaterThan">
      <formula>0</formula>
    </cfRule>
  </conditionalFormatting>
  <conditionalFormatting sqref="H22">
    <cfRule type="cellIs" dxfId="326" priority="52" operator="greaterThan">
      <formula>0</formula>
    </cfRule>
    <cfRule type="cellIs" dxfId="325" priority="53" operator="lessThan">
      <formula>0</formula>
    </cfRule>
  </conditionalFormatting>
  <conditionalFormatting sqref="N22">
    <cfRule type="cellIs" dxfId="324" priority="51" operator="greaterThan">
      <formula>0</formula>
    </cfRule>
  </conditionalFormatting>
  <conditionalFormatting sqref="N22">
    <cfRule type="cellIs" dxfId="323" priority="49" operator="greaterThan">
      <formula>0</formula>
    </cfRule>
    <cfRule type="cellIs" dxfId="322" priority="50" operator="lessThan">
      <formula>0</formula>
    </cfRule>
  </conditionalFormatting>
  <conditionalFormatting sqref="I22">
    <cfRule type="cellIs" dxfId="321" priority="48" operator="greaterThan">
      <formula>0</formula>
    </cfRule>
  </conditionalFormatting>
  <conditionalFormatting sqref="I22">
    <cfRule type="cellIs" dxfId="320" priority="46" operator="greaterThan">
      <formula>0</formula>
    </cfRule>
    <cfRule type="cellIs" dxfId="319" priority="47" operator="lessThan">
      <formula>0</formula>
    </cfRule>
  </conditionalFormatting>
  <conditionalFormatting sqref="D22:E22">
    <cfRule type="cellIs" dxfId="318" priority="45" operator="greaterThan">
      <formula>0</formula>
    </cfRule>
  </conditionalFormatting>
  <conditionalFormatting sqref="D22:E22">
    <cfRule type="cellIs" dxfId="317" priority="43" operator="greaterThan">
      <formula>0</formula>
    </cfRule>
    <cfRule type="cellIs" dxfId="316" priority="44" operator="lessThan">
      <formula>0</formula>
    </cfRule>
  </conditionalFormatting>
  <conditionalFormatting sqref="M22">
    <cfRule type="cellIs" dxfId="315" priority="42" operator="greaterThan">
      <formula>0</formula>
    </cfRule>
  </conditionalFormatting>
  <conditionalFormatting sqref="M22">
    <cfRule type="cellIs" dxfId="314" priority="40" operator="greaterThan">
      <formula>0</formula>
    </cfRule>
    <cfRule type="cellIs" dxfId="313" priority="41" operator="lessThan">
      <formula>0</formula>
    </cfRule>
  </conditionalFormatting>
  <conditionalFormatting sqref="P22">
    <cfRule type="cellIs" dxfId="312" priority="39" operator="greaterThan">
      <formula>0</formula>
    </cfRule>
  </conditionalFormatting>
  <conditionalFormatting sqref="P22">
    <cfRule type="cellIs" dxfId="311" priority="37" operator="greaterThan">
      <formula>0</formula>
    </cfRule>
    <cfRule type="cellIs" dxfId="310" priority="38" operator="lessThan">
      <formula>0</formula>
    </cfRule>
  </conditionalFormatting>
  <conditionalFormatting sqref="B22">
    <cfRule type="cellIs" dxfId="309" priority="36" operator="greaterThan">
      <formula>0</formula>
    </cfRule>
  </conditionalFormatting>
  <conditionalFormatting sqref="B22">
    <cfRule type="cellIs" dxfId="308" priority="34" operator="greaterThan">
      <formula>0</formula>
    </cfRule>
    <cfRule type="cellIs" dxfId="307" priority="35" operator="lessThan">
      <formula>0</formula>
    </cfRule>
  </conditionalFormatting>
  <conditionalFormatting sqref="R22">
    <cfRule type="cellIs" dxfId="306" priority="33" operator="greaterThan">
      <formula>0</formula>
    </cfRule>
  </conditionalFormatting>
  <conditionalFormatting sqref="R22">
    <cfRule type="cellIs" dxfId="305" priority="31" operator="greaterThan">
      <formula>0</formula>
    </cfRule>
    <cfRule type="cellIs" dxfId="304" priority="32" operator="lessThan">
      <formula>0</formula>
    </cfRule>
  </conditionalFormatting>
  <conditionalFormatting sqref="U22">
    <cfRule type="cellIs" dxfId="303" priority="30" operator="greaterThan">
      <formula>0</formula>
    </cfRule>
  </conditionalFormatting>
  <conditionalFormatting sqref="U22">
    <cfRule type="cellIs" dxfId="302" priority="28" operator="greaterThan">
      <formula>0</formula>
    </cfRule>
    <cfRule type="cellIs" dxfId="301" priority="29" operator="lessThan">
      <formula>0</formula>
    </cfRule>
  </conditionalFormatting>
  <conditionalFormatting sqref="K22">
    <cfRule type="cellIs" dxfId="300" priority="27" operator="greaterThan">
      <formula>0</formula>
    </cfRule>
  </conditionalFormatting>
  <conditionalFormatting sqref="K22">
    <cfRule type="cellIs" dxfId="299" priority="25" operator="greaterThan">
      <formula>0</formula>
    </cfRule>
    <cfRule type="cellIs" dxfId="298" priority="26" operator="lessThan">
      <formula>0</formula>
    </cfRule>
  </conditionalFormatting>
  <conditionalFormatting sqref="F22">
    <cfRule type="cellIs" dxfId="297" priority="24" operator="greaterThan">
      <formula>0</formula>
    </cfRule>
  </conditionalFormatting>
  <conditionalFormatting sqref="F22">
    <cfRule type="cellIs" dxfId="296" priority="22" operator="greaterThan">
      <formula>0</formula>
    </cfRule>
    <cfRule type="cellIs" dxfId="295" priority="23" operator="lessThan">
      <formula>0</formula>
    </cfRule>
  </conditionalFormatting>
  <conditionalFormatting sqref="L22">
    <cfRule type="cellIs" dxfId="294" priority="21" operator="greaterThan">
      <formula>0</formula>
    </cfRule>
  </conditionalFormatting>
  <conditionalFormatting sqref="L22">
    <cfRule type="cellIs" dxfId="293" priority="19" operator="greaterThan">
      <formula>0</formula>
    </cfRule>
    <cfRule type="cellIs" dxfId="292" priority="20" operator="lessThan">
      <formula>0</formula>
    </cfRule>
  </conditionalFormatting>
  <conditionalFormatting sqref="C22">
    <cfRule type="cellIs" dxfId="291" priority="18" operator="greaterThan">
      <formula>0</formula>
    </cfRule>
  </conditionalFormatting>
  <conditionalFormatting sqref="C22">
    <cfRule type="cellIs" dxfId="290" priority="16" operator="greaterThan">
      <formula>0</formula>
    </cfRule>
    <cfRule type="cellIs" dxfId="289" priority="17" operator="lessThan">
      <formula>0</formula>
    </cfRule>
  </conditionalFormatting>
  <conditionalFormatting sqref="G22">
    <cfRule type="cellIs" dxfId="288" priority="15" operator="greaterThan">
      <formula>0</formula>
    </cfRule>
  </conditionalFormatting>
  <conditionalFormatting sqref="G22">
    <cfRule type="cellIs" dxfId="287" priority="13" operator="greaterThan">
      <formula>0</formula>
    </cfRule>
    <cfRule type="cellIs" dxfId="286" priority="14" operator="lessThan">
      <formula>0</formula>
    </cfRule>
  </conditionalFormatting>
  <conditionalFormatting sqref="V22">
    <cfRule type="cellIs" dxfId="285" priority="12" operator="greaterThan">
      <formula>0</formula>
    </cfRule>
  </conditionalFormatting>
  <conditionalFormatting sqref="V22">
    <cfRule type="cellIs" dxfId="284" priority="10" operator="greaterThan">
      <formula>0</formula>
    </cfRule>
    <cfRule type="cellIs" dxfId="283" priority="11" operator="lessThan">
      <formula>0</formula>
    </cfRule>
  </conditionalFormatting>
  <conditionalFormatting sqref="E22">
    <cfRule type="cellIs" dxfId="282" priority="9" operator="greaterThan">
      <formula>0</formula>
    </cfRule>
  </conditionalFormatting>
  <conditionalFormatting sqref="E22">
    <cfRule type="cellIs" dxfId="281" priority="7" operator="greaterThan">
      <formula>0</formula>
    </cfRule>
    <cfRule type="cellIs" dxfId="280" priority="8" operator="lessThan">
      <formula>0</formula>
    </cfRule>
  </conditionalFormatting>
  <conditionalFormatting sqref="E22">
    <cfRule type="cellIs" dxfId="279" priority="6" operator="greaterThan">
      <formula>0</formula>
    </cfRule>
  </conditionalFormatting>
  <conditionalFormatting sqref="E22">
    <cfRule type="cellIs" dxfId="278" priority="4" operator="greaterThan">
      <formula>0</formula>
    </cfRule>
    <cfRule type="cellIs" dxfId="277" priority="5" operator="lessThan">
      <formula>0</formula>
    </cfRule>
  </conditionalFormatting>
  <conditionalFormatting sqref="F22">
    <cfRule type="cellIs" dxfId="276" priority="3" operator="greaterThan">
      <formula>0</formula>
    </cfRule>
  </conditionalFormatting>
  <conditionalFormatting sqref="F22">
    <cfRule type="cellIs" dxfId="275" priority="1" operator="greaterThan">
      <formula>0</formula>
    </cfRule>
    <cfRule type="cellIs" dxfId="274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W10" sqref="W10"/>
    </sheetView>
  </sheetViews>
  <sheetFormatPr defaultRowHeight="14.4" x14ac:dyDescent="0.3"/>
  <cols>
    <col min="1" max="1" width="36.44140625" bestFit="1" customWidth="1"/>
    <col min="2" max="7" width="13.5546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3.5546875" bestFit="1" customWidth="1"/>
    <col min="15" max="15" width="10.109375" bestFit="1" customWidth="1"/>
    <col min="16" max="16" width="11.88671875" bestFit="1" customWidth="1"/>
    <col min="17" max="17" width="13.5546875" bestFit="1" customWidth="1"/>
    <col min="18" max="18" width="12.6640625" bestFit="1" customWidth="1"/>
    <col min="19" max="19" width="11.109375" bestFit="1" customWidth="1"/>
    <col min="20" max="20" width="12.6640625" bestFit="1" customWidth="1"/>
    <col min="21" max="22" width="13.5546875" bestFit="1" customWidth="1"/>
    <col min="23" max="23" width="14.5546875" bestFit="1" customWidth="1"/>
  </cols>
  <sheetData>
    <row r="1" spans="1:23" x14ac:dyDescent="0.3">
      <c r="A1" s="13"/>
      <c r="B1" s="38" t="s">
        <v>93</v>
      </c>
      <c r="C1" s="38" t="s">
        <v>94</v>
      </c>
      <c r="D1" s="38" t="s">
        <v>95</v>
      </c>
      <c r="E1" s="38" t="s">
        <v>119</v>
      </c>
      <c r="F1" s="38" t="s">
        <v>120</v>
      </c>
      <c r="G1" s="38" t="s">
        <v>96</v>
      </c>
      <c r="H1" s="38" t="s">
        <v>97</v>
      </c>
      <c r="I1" s="38" t="s">
        <v>98</v>
      </c>
      <c r="J1" s="38" t="s">
        <v>99</v>
      </c>
      <c r="K1" s="38" t="s">
        <v>100</v>
      </c>
      <c r="L1" s="38" t="s">
        <v>101</v>
      </c>
      <c r="M1" s="38" t="s">
        <v>102</v>
      </c>
      <c r="N1" s="38" t="s">
        <v>103</v>
      </c>
      <c r="O1" s="38" t="s">
        <v>109</v>
      </c>
      <c r="P1" s="38" t="s">
        <v>110</v>
      </c>
      <c r="Q1" s="38" t="s">
        <v>104</v>
      </c>
      <c r="R1" s="38" t="s">
        <v>105</v>
      </c>
      <c r="S1" s="38" t="s">
        <v>111</v>
      </c>
      <c r="T1" s="38" t="s">
        <v>106</v>
      </c>
      <c r="U1" s="38" t="s">
        <v>107</v>
      </c>
      <c r="V1" s="38" t="s">
        <v>108</v>
      </c>
      <c r="W1" s="38" t="s">
        <v>83</v>
      </c>
    </row>
    <row r="2" spans="1:23" x14ac:dyDescent="0.3">
      <c r="A2" t="s">
        <v>5</v>
      </c>
      <c r="B2" s="1">
        <v>298680503.5</v>
      </c>
      <c r="C2" s="1">
        <v>263349650.09</v>
      </c>
      <c r="D2" s="1">
        <v>7182169161.4399996</v>
      </c>
      <c r="E2" s="1">
        <v>1401147233.78</v>
      </c>
      <c r="F2" s="1">
        <v>1782217849.4400001</v>
      </c>
      <c r="G2" s="1">
        <v>1178373672.4000001</v>
      </c>
      <c r="H2" s="1">
        <v>2295876944.1999998</v>
      </c>
      <c r="I2" s="1">
        <v>203115916.83000001</v>
      </c>
      <c r="J2" s="1">
        <v>675414246.03999996</v>
      </c>
      <c r="K2" s="1">
        <v>382240477.70999998</v>
      </c>
      <c r="L2" s="1">
        <v>306753725.38</v>
      </c>
      <c r="M2" s="1">
        <v>373397552.13</v>
      </c>
      <c r="N2" s="1">
        <v>827914131.08262825</v>
      </c>
      <c r="O2" s="1">
        <v>0</v>
      </c>
      <c r="P2" s="1">
        <v>57018021.619999997</v>
      </c>
      <c r="Q2" s="1">
        <v>511863225.75</v>
      </c>
      <c r="R2" s="1">
        <v>1498345183.9200001</v>
      </c>
      <c r="S2" s="1">
        <v>0</v>
      </c>
      <c r="T2" s="1">
        <v>455053153.58999997</v>
      </c>
      <c r="U2" s="1">
        <v>314291938.08999997</v>
      </c>
      <c r="V2" s="1">
        <v>379299990.49000001</v>
      </c>
      <c r="W2" s="1">
        <f t="shared" ref="W2:W10" si="0">SUM(B2:V2)</f>
        <v>20386522577.482624</v>
      </c>
    </row>
    <row r="3" spans="1:23" x14ac:dyDescent="0.3">
      <c r="A3" t="s">
        <v>6</v>
      </c>
      <c r="B3" s="1">
        <v>6079862357.8999996</v>
      </c>
      <c r="C3" s="1">
        <v>160902739.24000001</v>
      </c>
      <c r="D3" s="1">
        <v>15598474045.58</v>
      </c>
      <c r="E3" s="1">
        <v>1752385331.3099999</v>
      </c>
      <c r="F3" s="1">
        <v>1678306469.6900001</v>
      </c>
      <c r="G3" s="1">
        <v>5489885012.7600002</v>
      </c>
      <c r="H3" s="1">
        <v>1155640812.02</v>
      </c>
      <c r="I3" s="1">
        <v>1906137927.46</v>
      </c>
      <c r="J3" s="1">
        <v>4728144815.96</v>
      </c>
      <c r="K3" s="1">
        <v>5019248626.8400002</v>
      </c>
      <c r="L3" s="1">
        <v>1232425847.4300001</v>
      </c>
      <c r="M3" s="1">
        <v>2096288932.3</v>
      </c>
      <c r="N3" s="1">
        <v>4155899547.670001</v>
      </c>
      <c r="O3" s="1">
        <v>0</v>
      </c>
      <c r="P3" s="1">
        <v>616599029.96000004</v>
      </c>
      <c r="Q3" s="1">
        <v>8604942146.7099991</v>
      </c>
      <c r="R3" s="1">
        <v>9490667974.8899994</v>
      </c>
      <c r="S3" s="1">
        <v>0</v>
      </c>
      <c r="T3" s="1">
        <v>4220532700.6900001</v>
      </c>
      <c r="U3" s="1">
        <v>4484244951.2700005</v>
      </c>
      <c r="V3" s="1">
        <v>2276403857.6399999</v>
      </c>
      <c r="W3" s="1">
        <f t="shared" si="0"/>
        <v>80746993127.320007</v>
      </c>
    </row>
    <row r="4" spans="1:23" x14ac:dyDescent="0.3">
      <c r="A4" t="s">
        <v>7</v>
      </c>
      <c r="B4" s="1">
        <v>7961236793.9399996</v>
      </c>
      <c r="C4" s="1">
        <v>117860537.93000001</v>
      </c>
      <c r="D4" s="1">
        <v>21045086474.130001</v>
      </c>
      <c r="E4" s="1">
        <v>1324272758.8099999</v>
      </c>
      <c r="F4" s="1">
        <v>1952272973.1800001</v>
      </c>
      <c r="G4" s="1">
        <v>5542102769.0900002</v>
      </c>
      <c r="H4" s="1">
        <v>965919170.12</v>
      </c>
      <c r="I4" s="1">
        <v>1791404478.03</v>
      </c>
      <c r="J4" s="1">
        <v>4557448478.9399996</v>
      </c>
      <c r="K4" s="1">
        <v>5542244046.1800003</v>
      </c>
      <c r="L4" s="1">
        <v>1114067146.3199999</v>
      </c>
      <c r="M4" s="1">
        <v>1749592483.49</v>
      </c>
      <c r="N4" s="1">
        <v>3553336686.829998</v>
      </c>
      <c r="O4" s="1">
        <v>0</v>
      </c>
      <c r="P4" s="1">
        <v>488229614.29000002</v>
      </c>
      <c r="Q4" s="1">
        <v>7926635603.5600004</v>
      </c>
      <c r="R4" s="1">
        <v>7761015312.0299997</v>
      </c>
      <c r="S4" s="1">
        <v>0</v>
      </c>
      <c r="T4" s="1">
        <v>3045288060.5799999</v>
      </c>
      <c r="U4" s="1">
        <v>3524549763.77</v>
      </c>
      <c r="V4" s="1">
        <v>1088982865.9400001</v>
      </c>
      <c r="W4" s="1">
        <f t="shared" si="0"/>
        <v>81051546017.160019</v>
      </c>
    </row>
    <row r="5" spans="1:23" x14ac:dyDescent="0.3">
      <c r="A5" t="s">
        <v>8</v>
      </c>
      <c r="B5" s="1">
        <v>159429784.71000001</v>
      </c>
      <c r="C5" s="1">
        <v>11254345.75</v>
      </c>
      <c r="D5" s="1">
        <v>196463333.94</v>
      </c>
      <c r="E5" s="1">
        <v>187075855.94999999</v>
      </c>
      <c r="F5" s="1">
        <v>2880266.23</v>
      </c>
      <c r="G5" s="1">
        <v>120261230.44</v>
      </c>
      <c r="H5" s="1">
        <v>149502585.91999999</v>
      </c>
      <c r="I5" s="1">
        <v>16788920.48</v>
      </c>
      <c r="J5" s="1">
        <v>184811998.41</v>
      </c>
      <c r="K5" s="1">
        <v>108614577.59999999</v>
      </c>
      <c r="L5" s="1">
        <v>40914606.93</v>
      </c>
      <c r="M5" s="1">
        <v>37032098.950000003</v>
      </c>
      <c r="N5" s="1">
        <v>237023055.36000001</v>
      </c>
      <c r="O5" s="1">
        <v>0</v>
      </c>
      <c r="P5" s="1">
        <v>10716808.609999999</v>
      </c>
      <c r="Q5" s="1">
        <v>188930677.69</v>
      </c>
      <c r="R5" s="1">
        <v>62624436.130000003</v>
      </c>
      <c r="S5" s="1">
        <v>0</v>
      </c>
      <c r="T5" s="1">
        <v>71957497.959999993</v>
      </c>
      <c r="U5" s="1">
        <v>355916442.67000002</v>
      </c>
      <c r="V5" s="1">
        <v>41369525.299999997</v>
      </c>
      <c r="W5" s="1">
        <f t="shared" si="0"/>
        <v>2183568049.0300002</v>
      </c>
    </row>
    <row r="6" spans="1:23" x14ac:dyDescent="0.3">
      <c r="A6" t="s">
        <v>9</v>
      </c>
      <c r="B6" s="1">
        <v>212938374.31</v>
      </c>
      <c r="C6" s="1">
        <v>137879364.71000001</v>
      </c>
      <c r="D6" s="1">
        <v>1012489504.4299999</v>
      </c>
      <c r="E6" s="1">
        <v>1032559005.24</v>
      </c>
      <c r="F6" s="1">
        <v>1333123893.0699999</v>
      </c>
      <c r="G6" s="1">
        <v>397245148.05000001</v>
      </c>
      <c r="H6" s="1">
        <v>1592830810.1700001</v>
      </c>
      <c r="I6" s="1">
        <v>103439606.28</v>
      </c>
      <c r="J6" s="1">
        <v>414822251.02999997</v>
      </c>
      <c r="K6" s="1">
        <v>226786679.03999999</v>
      </c>
      <c r="L6" s="1">
        <v>100449292.09999999</v>
      </c>
      <c r="M6" s="1">
        <f>86339931.32+99254.16</f>
        <v>86439185.479999989</v>
      </c>
      <c r="N6" s="1">
        <v>462972191.33999997</v>
      </c>
      <c r="O6" s="1">
        <v>0</v>
      </c>
      <c r="P6" s="1">
        <v>39621951.659999996</v>
      </c>
      <c r="Q6" s="1">
        <v>138272782.65000001</v>
      </c>
      <c r="R6" s="1">
        <v>412825399.79000002</v>
      </c>
      <c r="S6" s="1">
        <v>0</v>
      </c>
      <c r="T6" s="1">
        <v>401673727.42000002</v>
      </c>
      <c r="U6" s="1">
        <v>560729299.24000001</v>
      </c>
      <c r="V6" s="1">
        <v>965153210.66999996</v>
      </c>
      <c r="W6" s="1">
        <f t="shared" si="0"/>
        <v>9632251676.6799984</v>
      </c>
    </row>
    <row r="7" spans="1:23" x14ac:dyDescent="0.3">
      <c r="A7" s="3" t="s">
        <v>0</v>
      </c>
      <c r="B7" s="2">
        <f>B2+B3-B4-B5-B6</f>
        <v>-1955062091.5599999</v>
      </c>
      <c r="C7" s="2">
        <f t="shared" ref="C7" si="1">C2+C3-C4-C5-C6</f>
        <v>157258140.94000003</v>
      </c>
      <c r="D7" s="2">
        <f t="shared" ref="D7" si="2">D2+D3-D4-D5-D6</f>
        <v>526603894.51999938</v>
      </c>
      <c r="E7" s="2">
        <f>E2+E3-E4-E5-E6</f>
        <v>609624945.09000015</v>
      </c>
      <c r="F7" s="2">
        <f>F2+F3-F4-F5-F6</f>
        <v>172247186.6500001</v>
      </c>
      <c r="G7" s="2">
        <f>G2+G3-G4-G5-G6</f>
        <v>608649537.57999969</v>
      </c>
      <c r="H7" s="2">
        <f>H2+H3-H4-H5-H6</f>
        <v>743265190.00999975</v>
      </c>
      <c r="I7" s="2">
        <v>197620839.49999997</v>
      </c>
      <c r="J7" s="2">
        <f>J2+J3-J4-J5-J6</f>
        <v>246476333.62000048</v>
      </c>
      <c r="K7" s="2">
        <f>K2+K3-K4-K5-K6</f>
        <v>-476156198.2700001</v>
      </c>
      <c r="L7" s="2">
        <f>L2+L3-L4-L5-L6</f>
        <v>283748527.46000004</v>
      </c>
      <c r="M7" s="2">
        <f>M2+M3-M4-M5-M6</f>
        <v>596622716.50999975</v>
      </c>
      <c r="N7" s="2">
        <f>N2+N3-N4-N5-N6</f>
        <v>730481745.22263122</v>
      </c>
      <c r="O7" s="2">
        <f t="shared" ref="O7:S7" si="3">SUM(O2:O6)</f>
        <v>0</v>
      </c>
      <c r="P7" s="2">
        <f>P2+P3-P4-P5-P6</f>
        <v>135048677.02000001</v>
      </c>
      <c r="Q7" s="2">
        <f>Q2+Q3-Q4-Q5-Q6</f>
        <v>862966308.55999863</v>
      </c>
      <c r="R7" s="2">
        <f>R2+R3-R4-R5-R6</f>
        <v>2752548010.8599997</v>
      </c>
      <c r="S7" s="2">
        <f t="shared" si="3"/>
        <v>0</v>
      </c>
      <c r="T7" s="2">
        <f>T2+T3-T4-T5-T6</f>
        <v>1156666568.3199997</v>
      </c>
      <c r="U7" s="2">
        <f>U2+U3-U4-U5-U6</f>
        <v>357341383.68000054</v>
      </c>
      <c r="V7" s="2">
        <f>V2+V3-V4-V5-V6</f>
        <v>560198246.22000015</v>
      </c>
      <c r="W7" s="2">
        <f t="shared" si="0"/>
        <v>8266149961.9326296</v>
      </c>
    </row>
    <row r="8" spans="1:23" x14ac:dyDescent="0.3">
      <c r="A8" t="s">
        <v>10</v>
      </c>
      <c r="B8" s="1">
        <v>201758834.90000001</v>
      </c>
      <c r="C8" s="1">
        <v>19500000</v>
      </c>
      <c r="D8" s="1">
        <v>191508099.65000001</v>
      </c>
      <c r="E8" s="1">
        <v>91391763.480000004</v>
      </c>
      <c r="F8" s="1">
        <v>52504407.57</v>
      </c>
      <c r="G8" s="1">
        <v>522161970.29000002</v>
      </c>
      <c r="H8" s="1">
        <v>40450000</v>
      </c>
      <c r="I8" s="1">
        <v>37494569.700000003</v>
      </c>
      <c r="J8" s="1">
        <v>219253703.21000001</v>
      </c>
      <c r="K8" s="1">
        <v>391000615.48000002</v>
      </c>
      <c r="L8" s="1">
        <v>54516524.789999999</v>
      </c>
      <c r="M8" s="1">
        <v>72316647.489999995</v>
      </c>
      <c r="N8" s="1">
        <v>86740920.530000001</v>
      </c>
      <c r="O8" s="1">
        <v>0</v>
      </c>
      <c r="P8" s="1">
        <v>27266581.120000001</v>
      </c>
      <c r="Q8" s="1">
        <v>620040274.74000001</v>
      </c>
      <c r="R8" s="1">
        <v>638080292.21000004</v>
      </c>
      <c r="S8" s="1">
        <v>0</v>
      </c>
      <c r="T8" s="1">
        <v>359928847.82999998</v>
      </c>
      <c r="U8" s="1">
        <v>121897644.42</v>
      </c>
      <c r="V8" s="1">
        <v>187345002.03999999</v>
      </c>
      <c r="W8" s="1">
        <f t="shared" si="0"/>
        <v>3935156699.4499998</v>
      </c>
    </row>
    <row r="9" spans="1:23" x14ac:dyDescent="0.3">
      <c r="A9" t="s">
        <v>112</v>
      </c>
      <c r="B9" s="1">
        <v>49427853.259999998</v>
      </c>
      <c r="C9" s="1">
        <v>13558410.25</v>
      </c>
      <c r="D9" s="1">
        <v>20423122.440000001</v>
      </c>
      <c r="E9" s="1">
        <v>52096257.049999997</v>
      </c>
      <c r="F9" s="1">
        <v>1968447.99</v>
      </c>
      <c r="G9" s="1">
        <f>26017867.79+20640472.44</f>
        <v>46658340.230000004</v>
      </c>
      <c r="H9" s="1">
        <v>0</v>
      </c>
      <c r="I9" s="1">
        <v>79256598.739999995</v>
      </c>
      <c r="J9" s="1">
        <v>62150512.859999999</v>
      </c>
      <c r="K9" s="1">
        <v>38660700.979999997</v>
      </c>
      <c r="L9" s="1">
        <v>1899841.74</v>
      </c>
      <c r="M9" s="1">
        <v>95270087.269999996</v>
      </c>
      <c r="N9" s="1">
        <v>550007627.03999996</v>
      </c>
      <c r="O9" s="1">
        <v>0</v>
      </c>
      <c r="P9" s="1">
        <v>2981585.74</v>
      </c>
      <c r="Q9" s="1">
        <v>1060214183.58</v>
      </c>
      <c r="R9" s="1">
        <v>105362999.41</v>
      </c>
      <c r="S9" s="1">
        <v>0</v>
      </c>
      <c r="T9" s="1">
        <v>135865800.66</v>
      </c>
      <c r="U9" s="1">
        <v>520966376.29000002</v>
      </c>
      <c r="V9" s="1">
        <v>521011826.97000003</v>
      </c>
      <c r="W9" s="1">
        <f t="shared" si="0"/>
        <v>3357780572.5</v>
      </c>
    </row>
    <row r="10" spans="1:23" x14ac:dyDescent="0.3">
      <c r="A10" t="s">
        <v>11</v>
      </c>
      <c r="B10" s="1">
        <v>4209235336.27</v>
      </c>
      <c r="C10" s="1">
        <v>0</v>
      </c>
      <c r="D10" s="1">
        <v>0</v>
      </c>
      <c r="E10" s="1">
        <v>0</v>
      </c>
      <c r="F10" s="1">
        <v>0</v>
      </c>
      <c r="G10" s="1">
        <v>1453444604.9200001</v>
      </c>
      <c r="H10" s="1">
        <v>0</v>
      </c>
      <c r="I10" s="1">
        <v>130956114.77</v>
      </c>
      <c r="J10" s="1">
        <v>874378328.37</v>
      </c>
      <c r="K10" s="1">
        <v>611003682.78999996</v>
      </c>
      <c r="L10" s="1">
        <v>27699974.050000001</v>
      </c>
      <c r="M10" s="1">
        <v>0</v>
      </c>
      <c r="N10" s="1">
        <v>7375815084.7399998</v>
      </c>
      <c r="O10" s="1">
        <v>0</v>
      </c>
      <c r="P10" s="1">
        <v>302568173.52999997</v>
      </c>
      <c r="Q10" s="1">
        <v>2424650949.1599998</v>
      </c>
      <c r="R10" s="1">
        <v>458897099.92000002</v>
      </c>
      <c r="S10" s="1">
        <v>0</v>
      </c>
      <c r="T10" s="1">
        <v>146463836.03</v>
      </c>
      <c r="U10" s="1">
        <v>2438598061.1999998</v>
      </c>
      <c r="V10" s="1">
        <v>202133917.80000001</v>
      </c>
      <c r="W10" s="1">
        <f t="shared" si="0"/>
        <v>20655845163.549995</v>
      </c>
    </row>
    <row r="11" spans="1:23" x14ac:dyDescent="0.3">
      <c r="A11" t="s">
        <v>12</v>
      </c>
      <c r="B11" s="1">
        <v>1000000</v>
      </c>
      <c r="C11" s="1">
        <v>23010247.489999998</v>
      </c>
      <c r="D11" s="1">
        <v>6459498</v>
      </c>
      <c r="E11" s="1">
        <v>13850650</v>
      </c>
      <c r="F11" s="1">
        <v>0</v>
      </c>
      <c r="G11" s="1">
        <v>26000</v>
      </c>
      <c r="H11" s="1">
        <v>43804129.200000003</v>
      </c>
      <c r="I11" s="1">
        <v>307816</v>
      </c>
      <c r="J11" s="1">
        <v>2040738</v>
      </c>
      <c r="K11" s="1">
        <v>6865783.9000000004</v>
      </c>
      <c r="L11" s="1">
        <v>3000000</v>
      </c>
      <c r="M11" s="1">
        <v>25893841.75</v>
      </c>
      <c r="N11" s="1">
        <v>7208505</v>
      </c>
      <c r="O11" s="1">
        <v>0</v>
      </c>
      <c r="P11" s="1">
        <v>658355.75</v>
      </c>
      <c r="Q11" s="1">
        <v>2552449.5699999998</v>
      </c>
      <c r="R11" s="1">
        <v>43502749.200000003</v>
      </c>
      <c r="S11" s="1">
        <v>0</v>
      </c>
      <c r="T11" s="1">
        <v>6036783</v>
      </c>
      <c r="U11" s="1">
        <v>4778010.26</v>
      </c>
      <c r="V11" s="1">
        <v>4161425</v>
      </c>
      <c r="W11" s="1">
        <f t="shared" ref="W11:W13" si="4">SUM(B11:V11)</f>
        <v>195156982.12</v>
      </c>
    </row>
    <row r="12" spans="1:23" x14ac:dyDescent="0.3">
      <c r="A12" t="s">
        <v>13</v>
      </c>
      <c r="B12" s="1">
        <v>16000693.449999999</v>
      </c>
      <c r="C12" s="1">
        <v>21945625.289999999</v>
      </c>
      <c r="D12" s="1">
        <v>64235850.520000003</v>
      </c>
      <c r="E12" s="1">
        <v>7629853.6600000001</v>
      </c>
      <c r="F12" s="1">
        <v>9950000</v>
      </c>
      <c r="G12" s="1">
        <v>9414757.3599999994</v>
      </c>
      <c r="H12" s="1">
        <v>19173221.09</v>
      </c>
      <c r="I12" s="1">
        <v>32514255.329999998</v>
      </c>
      <c r="J12" s="1">
        <v>8563563.2699999996</v>
      </c>
      <c r="K12" s="1">
        <v>3151000</v>
      </c>
      <c r="L12" s="1">
        <v>31642988.280000001</v>
      </c>
      <c r="M12" s="1">
        <v>27312665.719999999</v>
      </c>
      <c r="N12" s="1">
        <v>0</v>
      </c>
      <c r="O12" s="1">
        <v>0</v>
      </c>
      <c r="P12" s="1">
        <v>6877824.3300000001</v>
      </c>
      <c r="Q12" s="1">
        <v>263286431.63</v>
      </c>
      <c r="R12" s="1">
        <v>27959401.379999999</v>
      </c>
      <c r="S12" s="1">
        <v>0</v>
      </c>
      <c r="T12" s="1">
        <v>43551257.869999997</v>
      </c>
      <c r="U12" s="1">
        <v>201223228.09999999</v>
      </c>
      <c r="V12" s="1">
        <v>21918030.5</v>
      </c>
      <c r="W12" s="1">
        <f t="shared" si="4"/>
        <v>816350647.78000009</v>
      </c>
    </row>
    <row r="13" spans="1:23" x14ac:dyDescent="0.3">
      <c r="A13" t="s">
        <v>14</v>
      </c>
      <c r="B13" s="1">
        <v>35594423</v>
      </c>
      <c r="C13" s="1">
        <v>0</v>
      </c>
      <c r="D13" s="1">
        <v>96787373</v>
      </c>
      <c r="E13" s="1">
        <v>0</v>
      </c>
      <c r="F13" s="1">
        <v>0</v>
      </c>
      <c r="G13" s="1">
        <v>95369423.519999981</v>
      </c>
      <c r="H13" s="1">
        <v>300477170.25999999</v>
      </c>
      <c r="I13" s="1">
        <v>40312046.439999998</v>
      </c>
      <c r="J13" s="1">
        <v>41837997.230000019</v>
      </c>
      <c r="K13" s="1">
        <v>20516658.41</v>
      </c>
      <c r="L13" s="1">
        <v>26788532.899999991</v>
      </c>
      <c r="M13" s="1">
        <v>46750558.980000019</v>
      </c>
      <c r="N13" s="1">
        <v>30399895.16</v>
      </c>
      <c r="O13" s="1">
        <v>0</v>
      </c>
      <c r="P13" s="1">
        <v>15051449.65</v>
      </c>
      <c r="Q13" s="1">
        <v>470997751.51999998</v>
      </c>
      <c r="R13" s="1">
        <v>3016495.21</v>
      </c>
      <c r="S13" s="1">
        <v>0</v>
      </c>
      <c r="T13" s="1">
        <v>0</v>
      </c>
      <c r="U13" s="1">
        <v>159642911.69</v>
      </c>
      <c r="V13" s="1">
        <v>403509813.06</v>
      </c>
      <c r="W13" s="1">
        <f t="shared" si="4"/>
        <v>1787052500.03</v>
      </c>
    </row>
    <row r="14" spans="1:23" x14ac:dyDescent="0.3">
      <c r="A14" s="3" t="s">
        <v>1</v>
      </c>
      <c r="B14" s="2">
        <f t="shared" ref="B14:H14" si="5">SUM(B8:B13)</f>
        <v>4513017140.8800001</v>
      </c>
      <c r="C14" s="2">
        <f t="shared" si="5"/>
        <v>78014283.030000001</v>
      </c>
      <c r="D14" s="2">
        <f t="shared" si="5"/>
        <v>379413943.61000001</v>
      </c>
      <c r="E14" s="2">
        <f>SUM(E8:E13)</f>
        <v>164968524.19</v>
      </c>
      <c r="F14" s="2">
        <f>SUM(F8:F13)</f>
        <v>64422855.560000002</v>
      </c>
      <c r="G14" s="2">
        <f t="shared" si="5"/>
        <v>2127075096.3199999</v>
      </c>
      <c r="H14" s="2">
        <f t="shared" si="5"/>
        <v>403904520.55000001</v>
      </c>
      <c r="I14" s="2">
        <v>320841400.97999996</v>
      </c>
      <c r="J14" s="2">
        <f>SUM(J8:J13)</f>
        <v>1208224842.9400001</v>
      </c>
      <c r="K14" s="2">
        <f>SUM(K8:K13)</f>
        <v>1071198441.5599999</v>
      </c>
      <c r="L14" s="2">
        <f>SUM(L8:L13)</f>
        <v>145547861.75999999</v>
      </c>
      <c r="M14" s="2">
        <f>SUM(M8:M13)</f>
        <v>267543801.21000001</v>
      </c>
      <c r="N14" s="2">
        <f>SUM(N8:N13)</f>
        <v>8050172032.4699993</v>
      </c>
      <c r="O14" s="2">
        <f t="shared" ref="O14:S14" si="6">SUM(O8:O13)</f>
        <v>0</v>
      </c>
      <c r="P14" s="2">
        <f>SUM(P8:P13)</f>
        <v>355403970.11999995</v>
      </c>
      <c r="Q14" s="2">
        <f>SUM(Q8:Q13)</f>
        <v>4841742040.2000008</v>
      </c>
      <c r="R14" s="2">
        <f>SUM(R8:R13)</f>
        <v>1276819037.3300002</v>
      </c>
      <c r="S14" s="2">
        <f t="shared" si="6"/>
        <v>0</v>
      </c>
      <c r="T14" s="2">
        <f>SUM(T8:T13)</f>
        <v>691846525.38999999</v>
      </c>
      <c r="U14" s="2">
        <f>SUM(U8:U13)</f>
        <v>3447106231.96</v>
      </c>
      <c r="V14" s="2">
        <f>SUM(V8:V13)</f>
        <v>1340080015.3699999</v>
      </c>
      <c r="W14" s="2">
        <f>SUM(B14:V14)</f>
        <v>30747342565.429996</v>
      </c>
    </row>
    <row r="15" spans="1:23" x14ac:dyDescent="0.3">
      <c r="A15" t="s">
        <v>16</v>
      </c>
      <c r="B15" s="1">
        <v>12180875.01</v>
      </c>
      <c r="C15" s="1">
        <v>46360059.200000003</v>
      </c>
      <c r="D15" s="1">
        <v>476436758.31</v>
      </c>
      <c r="E15" s="1">
        <v>0</v>
      </c>
      <c r="F15" s="1">
        <v>0</v>
      </c>
      <c r="G15" s="1">
        <v>50798065.340000004</v>
      </c>
      <c r="H15" s="1">
        <v>12881497.75</v>
      </c>
      <c r="I15" s="1">
        <v>6137546.96</v>
      </c>
      <c r="J15" s="1">
        <v>123813684.48</v>
      </c>
      <c r="K15" s="1">
        <v>18638823.399999999</v>
      </c>
      <c r="L15" s="1">
        <v>2720682.12</v>
      </c>
      <c r="M15" s="1">
        <v>121568220.7</v>
      </c>
      <c r="N15" s="1">
        <v>74227779.849999994</v>
      </c>
      <c r="O15" s="1">
        <v>0</v>
      </c>
      <c r="P15" s="1">
        <v>0</v>
      </c>
      <c r="Q15" s="1">
        <v>153342985.53999999</v>
      </c>
      <c r="R15" s="1">
        <v>511906704.94</v>
      </c>
      <c r="S15" s="1">
        <v>0</v>
      </c>
      <c r="T15" s="1">
        <v>27544229</v>
      </c>
      <c r="U15" s="1">
        <v>20500542.780000001</v>
      </c>
      <c r="V15" s="1">
        <v>67332710.299999997</v>
      </c>
      <c r="W15" s="1">
        <f>SUM(B15:V15)</f>
        <v>1726391165.6800001</v>
      </c>
    </row>
    <row r="16" spans="1:23" x14ac:dyDescent="0.3">
      <c r="A16" t="s">
        <v>15</v>
      </c>
      <c r="B16" s="1">
        <v>125008412.31999999</v>
      </c>
      <c r="C16" s="1">
        <v>2112075.39</v>
      </c>
      <c r="D16" s="1">
        <v>68125503.819999993</v>
      </c>
      <c r="E16" s="1">
        <v>11324210.699999999</v>
      </c>
      <c r="F16" s="1">
        <v>1390587.17</v>
      </c>
      <c r="G16" s="1">
        <v>540553782.57000005</v>
      </c>
      <c r="H16" s="1">
        <v>198689000.05000001</v>
      </c>
      <c r="I16" s="1">
        <v>66119568.210000001</v>
      </c>
      <c r="J16" s="1">
        <v>421129768.36000001</v>
      </c>
      <c r="K16" s="1">
        <v>660160028.19000006</v>
      </c>
      <c r="L16" s="1">
        <v>231772185.56999999</v>
      </c>
      <c r="M16" s="1">
        <v>363178606.24000001</v>
      </c>
      <c r="N16" s="1">
        <v>430571799.63999999</v>
      </c>
      <c r="O16" s="1">
        <v>0</v>
      </c>
      <c r="P16" s="1">
        <v>278959591.22000003</v>
      </c>
      <c r="Q16" s="1">
        <v>825546167.38999999</v>
      </c>
      <c r="R16" s="1">
        <v>1230579139.26</v>
      </c>
      <c r="S16" s="1">
        <v>0</v>
      </c>
      <c r="T16" s="1">
        <v>239121862.91</v>
      </c>
      <c r="U16" s="1">
        <v>3623154256.5799999</v>
      </c>
      <c r="V16" s="1">
        <v>246388022.47999999</v>
      </c>
      <c r="W16" s="1">
        <f t="shared" ref="W16:W21" si="7">SUM(B16:V16)</f>
        <v>9563884568.0699997</v>
      </c>
    </row>
    <row r="17" spans="1:23" x14ac:dyDescent="0.3">
      <c r="A17" t="s">
        <v>17</v>
      </c>
      <c r="B17" s="1">
        <v>0</v>
      </c>
      <c r="C17" s="1">
        <v>0</v>
      </c>
      <c r="D17" s="1">
        <v>0</v>
      </c>
      <c r="E17" s="1">
        <v>5170435.7699999996</v>
      </c>
      <c r="F17" s="1">
        <v>0</v>
      </c>
      <c r="G17" s="1">
        <v>0</v>
      </c>
      <c r="H17" s="1">
        <v>8412799.4499999993</v>
      </c>
      <c r="I17" s="1">
        <v>1402.84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9146602.4600000009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180000</v>
      </c>
      <c r="W17" s="1">
        <f t="shared" si="7"/>
        <v>22911240.52</v>
      </c>
    </row>
    <row r="18" spans="1:23" x14ac:dyDescent="0.3">
      <c r="A18" t="s">
        <v>18</v>
      </c>
      <c r="B18" s="1">
        <v>0</v>
      </c>
      <c r="C18" s="1">
        <v>7675694.5099999998</v>
      </c>
      <c r="D18" s="1">
        <v>44167783.240000002</v>
      </c>
      <c r="E18" s="1">
        <v>0</v>
      </c>
      <c r="F18" s="1">
        <v>0</v>
      </c>
      <c r="G18" s="1">
        <v>100639688.04000001</v>
      </c>
      <c r="H18" s="1">
        <v>16034092.92</v>
      </c>
      <c r="I18" s="1">
        <v>11636819.039999999</v>
      </c>
      <c r="J18" s="1">
        <v>348709140.02999997</v>
      </c>
      <c r="K18" s="1">
        <v>0</v>
      </c>
      <c r="L18" s="1">
        <v>3302286.36</v>
      </c>
      <c r="M18" s="1">
        <v>245049.78</v>
      </c>
      <c r="N18" s="1">
        <v>0</v>
      </c>
      <c r="O18" s="1">
        <v>0</v>
      </c>
      <c r="P18" s="1">
        <v>0</v>
      </c>
      <c r="Q18" s="1">
        <v>32281839.030000001</v>
      </c>
      <c r="R18" s="1">
        <v>0</v>
      </c>
      <c r="S18" s="1">
        <v>0</v>
      </c>
      <c r="T18" s="1">
        <v>0</v>
      </c>
      <c r="U18" s="1">
        <v>299473482.85000002</v>
      </c>
      <c r="V18" s="1">
        <v>10096353.75</v>
      </c>
      <c r="W18" s="1">
        <f t="shared" si="7"/>
        <v>874262229.54999995</v>
      </c>
    </row>
    <row r="19" spans="1:23" x14ac:dyDescent="0.3">
      <c r="A19" t="s">
        <v>19</v>
      </c>
      <c r="B19" s="1">
        <v>0</v>
      </c>
      <c r="C19" s="1">
        <v>0</v>
      </c>
      <c r="D19" s="1">
        <v>0</v>
      </c>
      <c r="E19" s="1">
        <v>0</v>
      </c>
      <c r="F19" s="1">
        <v>53612.61</v>
      </c>
      <c r="G19" s="1">
        <v>0</v>
      </c>
      <c r="H19" s="1">
        <v>9794109.4100000001</v>
      </c>
      <c r="I19" s="1">
        <v>0</v>
      </c>
      <c r="J19" s="1">
        <v>0</v>
      </c>
      <c r="K19" s="1">
        <v>42791532.869999997</v>
      </c>
      <c r="L19" s="1">
        <v>0</v>
      </c>
      <c r="M19" s="1">
        <v>0</v>
      </c>
      <c r="N19" s="1">
        <v>0</v>
      </c>
      <c r="O19" s="1">
        <v>0</v>
      </c>
      <c r="P19" s="1">
        <v>3283686.33</v>
      </c>
      <c r="Q19" s="1">
        <v>0</v>
      </c>
      <c r="R19" s="1">
        <v>0</v>
      </c>
      <c r="S19" s="1">
        <v>0</v>
      </c>
      <c r="T19" s="1">
        <v>292551465.42000002</v>
      </c>
      <c r="U19" s="1">
        <v>255856393.83000001</v>
      </c>
      <c r="V19" s="1">
        <v>1128288.46</v>
      </c>
      <c r="W19" s="1">
        <f t="shared" si="7"/>
        <v>605459088.93000007</v>
      </c>
    </row>
    <row r="20" spans="1:23" x14ac:dyDescent="0.3">
      <c r="A20" s="3" t="s">
        <v>2</v>
      </c>
      <c r="B20" s="2">
        <f t="shared" ref="B20:H20" si="8">SUM(B15:B19)</f>
        <v>137189287.32999998</v>
      </c>
      <c r="C20" s="2">
        <f t="shared" si="8"/>
        <v>56147829.100000001</v>
      </c>
      <c r="D20" s="2">
        <f t="shared" si="8"/>
        <v>588730045.37</v>
      </c>
      <c r="E20" s="2">
        <f>SUM(E15:E19)</f>
        <v>16494646.469999999</v>
      </c>
      <c r="F20" s="2">
        <f>SUM(F15:F19)</f>
        <v>1444199.78</v>
      </c>
      <c r="G20" s="2">
        <f t="shared" si="8"/>
        <v>691991535.95000005</v>
      </c>
      <c r="H20" s="2">
        <f t="shared" si="8"/>
        <v>245811499.57999998</v>
      </c>
      <c r="I20" s="2">
        <v>83895337.050000012</v>
      </c>
      <c r="J20" s="2">
        <f>SUM(J15:J19)</f>
        <v>893652592.87</v>
      </c>
      <c r="K20" s="2">
        <f>SUM(K15:K19)</f>
        <v>721590384.46000004</v>
      </c>
      <c r="L20" s="2">
        <f>SUM(L15:L19)</f>
        <v>237795154.05000001</v>
      </c>
      <c r="M20" s="2">
        <f>SUM(M15:M19)</f>
        <v>484991876.71999997</v>
      </c>
      <c r="N20" s="2">
        <f>SUM(N15:N19)</f>
        <v>504799579.49000001</v>
      </c>
      <c r="O20" s="2">
        <f t="shared" ref="O20:S20" si="9">SUM(O15:O19)</f>
        <v>0</v>
      </c>
      <c r="P20" s="2">
        <f>SUM(P15:P19)</f>
        <v>291389880.00999999</v>
      </c>
      <c r="Q20" s="2">
        <f>SUM(Q15:Q19)</f>
        <v>1011170991.9599999</v>
      </c>
      <c r="R20" s="2">
        <f>SUM(R15:R19)</f>
        <v>1742485844.2</v>
      </c>
      <c r="S20" s="2">
        <f t="shared" si="9"/>
        <v>0</v>
      </c>
      <c r="T20" s="2">
        <f>SUM(T15:T19)</f>
        <v>559217557.33000004</v>
      </c>
      <c r="U20" s="2">
        <f>SUM(U15:U19)</f>
        <v>4198984676.04</v>
      </c>
      <c r="V20" s="2">
        <f>SUM(V15:V19)</f>
        <v>325125374.98999995</v>
      </c>
      <c r="W20" s="2">
        <f t="shared" si="7"/>
        <v>12792908292.75</v>
      </c>
    </row>
    <row r="21" spans="1:23" x14ac:dyDescent="0.3">
      <c r="A21" s="3" t="s">
        <v>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421</v>
      </c>
      <c r="I21" s="2">
        <v>0</v>
      </c>
      <c r="J21" s="2">
        <v>7351621.9199999999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24648549.649999999</v>
      </c>
      <c r="V21" s="2">
        <v>0</v>
      </c>
      <c r="W21" s="2">
        <f t="shared" si="7"/>
        <v>32000592.57</v>
      </c>
    </row>
    <row r="22" spans="1:23" x14ac:dyDescent="0.3">
      <c r="A22" s="19" t="s">
        <v>4</v>
      </c>
      <c r="B22" s="12">
        <f t="shared" ref="B22:H22" si="10">B7-B14-B20-B21</f>
        <v>-6605268519.7700005</v>
      </c>
      <c r="C22" s="12">
        <f>C7-C14-C20-C21</f>
        <v>23096028.810000025</v>
      </c>
      <c r="D22" s="12">
        <f t="shared" si="10"/>
        <v>-441540094.46000063</v>
      </c>
      <c r="E22" s="12">
        <f>E7-E14-E20-E21</f>
        <v>428161774.43000019</v>
      </c>
      <c r="F22" s="12">
        <f>F7-F14-F20-F21</f>
        <v>106380131.31000009</v>
      </c>
      <c r="G22" s="12">
        <f>G7-G14-G20-G21</f>
        <v>-2210417094.6900005</v>
      </c>
      <c r="H22" s="12">
        <f t="shared" si="10"/>
        <v>93548748.879999757</v>
      </c>
      <c r="I22" s="12">
        <v>-207115898.53</v>
      </c>
      <c r="J22" s="12">
        <f t="shared" ref="J22:U22" si="11">J7-J14-J20-J21</f>
        <v>-1862752724.1099997</v>
      </c>
      <c r="K22" s="12">
        <f>K7-K14-K20-K21</f>
        <v>-2268945024.29</v>
      </c>
      <c r="L22" s="12">
        <f>L7-L14-L20-L21</f>
        <v>-99594488.349999964</v>
      </c>
      <c r="M22" s="12">
        <f t="shared" si="11"/>
        <v>-155912961.42000026</v>
      </c>
      <c r="N22" s="12">
        <f t="shared" si="11"/>
        <v>-7824489866.7373676</v>
      </c>
      <c r="O22" s="12">
        <f t="shared" si="11"/>
        <v>0</v>
      </c>
      <c r="P22" s="12">
        <f t="shared" si="11"/>
        <v>-511745173.1099999</v>
      </c>
      <c r="Q22" s="12">
        <f t="shared" si="11"/>
        <v>-4989946723.6000023</v>
      </c>
      <c r="R22" s="12">
        <f t="shared" si="11"/>
        <v>-266756870.67000055</v>
      </c>
      <c r="S22" s="12">
        <f t="shared" si="11"/>
        <v>0</v>
      </c>
      <c r="T22" s="12">
        <f t="shared" si="11"/>
        <v>-94397514.400000334</v>
      </c>
      <c r="U22" s="12">
        <f t="shared" si="11"/>
        <v>-7313398073.9699993</v>
      </c>
      <c r="V22" s="12">
        <f>V7-V14-V20-V21</f>
        <v>-1105007144.1399996</v>
      </c>
      <c r="W22" s="12">
        <f>SUM(B22:V22)</f>
        <v>-35306101488.817375</v>
      </c>
    </row>
    <row r="23" spans="1:23" x14ac:dyDescent="0.3">
      <c r="A23" t="s">
        <v>84</v>
      </c>
      <c r="B23" s="1">
        <v>-256666440.08000001</v>
      </c>
      <c r="C23" s="1">
        <v>-4008934.06</v>
      </c>
      <c r="D23" s="1">
        <v>-96790844.150000006</v>
      </c>
      <c r="E23" s="1">
        <v>-70609742.030000001</v>
      </c>
      <c r="F23" s="1">
        <v>-2426056.27</v>
      </c>
      <c r="G23" s="1">
        <v>-170876287.84</v>
      </c>
      <c r="H23" s="1">
        <v>-17472676.379999999</v>
      </c>
      <c r="I23" s="1">
        <v>-237863392.97</v>
      </c>
      <c r="J23" s="1">
        <v>-10524323.960000001</v>
      </c>
      <c r="K23" s="1">
        <v>-169768662.75999999</v>
      </c>
      <c r="L23" s="1">
        <v>-14194895.65</v>
      </c>
      <c r="M23" s="1">
        <v>-65688038.649999999</v>
      </c>
      <c r="N23" s="1">
        <v>-73211175.540000007</v>
      </c>
      <c r="O23" s="1">
        <v>0</v>
      </c>
      <c r="P23" s="1">
        <v>-4140212.3</v>
      </c>
      <c r="Q23" s="1">
        <v>-614274733.72000003</v>
      </c>
      <c r="R23" s="1">
        <v>-212768717.31999999</v>
      </c>
      <c r="S23" s="1">
        <v>0</v>
      </c>
      <c r="T23" s="1">
        <v>-390140442.82999998</v>
      </c>
      <c r="U23" s="1">
        <v>195813902.84999999</v>
      </c>
      <c r="V23" s="1">
        <v>-47029879.530000001</v>
      </c>
      <c r="W23" s="1">
        <f>SUM(B23:V23)</f>
        <v>-2262641553.1900005</v>
      </c>
    </row>
    <row r="24" spans="1:23" x14ac:dyDescent="0.3">
      <c r="A24" t="s">
        <v>117</v>
      </c>
      <c r="B24" s="26">
        <f>B8/B3*100</f>
        <v>3.3184770151554557</v>
      </c>
      <c r="C24" s="26">
        <f t="shared" ref="C24:W24" si="12">C8/C3*100</f>
        <v>12.119122453791235</v>
      </c>
      <c r="D24" s="26">
        <f t="shared" si="12"/>
        <v>1.2277361175868735</v>
      </c>
      <c r="E24" s="26">
        <f t="shared" ref="E24" si="13">E8/E3*100</f>
        <v>5.2152778185879853</v>
      </c>
      <c r="F24" s="26">
        <f t="shared" si="12"/>
        <v>3.1284159668226801</v>
      </c>
      <c r="G24" s="26">
        <f t="shared" si="12"/>
        <v>9.5113462135609801</v>
      </c>
      <c r="H24" s="26">
        <f t="shared" si="12"/>
        <v>3.5002225240986</v>
      </c>
      <c r="I24" s="26">
        <f t="shared" si="12"/>
        <v>1.9670438933012007</v>
      </c>
      <c r="J24" s="26">
        <f t="shared" si="12"/>
        <v>4.6372036336514544</v>
      </c>
      <c r="K24" s="26">
        <f t="shared" si="12"/>
        <v>7.7900228609748057</v>
      </c>
      <c r="L24" s="26">
        <f t="shared" si="12"/>
        <v>4.4235135853150354</v>
      </c>
      <c r="M24" s="26">
        <f t="shared" si="12"/>
        <v>3.4497461860210197</v>
      </c>
      <c r="N24" s="26">
        <f t="shared" si="12"/>
        <v>2.0871755810034238</v>
      </c>
      <c r="O24" s="26" t="e">
        <f t="shared" si="12"/>
        <v>#DIV/0!</v>
      </c>
      <c r="P24" s="26">
        <f t="shared" si="12"/>
        <v>4.4220927693916154</v>
      </c>
      <c r="Q24" s="26">
        <f t="shared" si="12"/>
        <v>7.2056297900511197</v>
      </c>
      <c r="R24" s="26">
        <f t="shared" si="12"/>
        <v>6.7232390164549569</v>
      </c>
      <c r="S24" s="26" t="e">
        <f t="shared" si="12"/>
        <v>#DIV/0!</v>
      </c>
      <c r="T24" s="26">
        <f t="shared" si="12"/>
        <v>8.5280431015534237</v>
      </c>
      <c r="U24" s="26">
        <f t="shared" si="12"/>
        <v>2.7183538309047304</v>
      </c>
      <c r="V24" s="26">
        <f t="shared" si="12"/>
        <v>8.2298666561839724</v>
      </c>
      <c r="W24" s="26">
        <f t="shared" si="12"/>
        <v>4.8734405419222675</v>
      </c>
    </row>
    <row r="25" spans="1:23" x14ac:dyDescent="0.3">
      <c r="A25" t="s">
        <v>92</v>
      </c>
      <c r="B25" s="1">
        <f>B7-B8-B9</f>
        <v>-2206248779.7200003</v>
      </c>
      <c r="C25" s="1">
        <f t="shared" ref="C25:W25" si="14">C7-C8-C9</f>
        <v>124199730.69000003</v>
      </c>
      <c r="D25" s="1">
        <f t="shared" si="14"/>
        <v>314672672.42999941</v>
      </c>
      <c r="E25" s="1">
        <f t="shared" ref="E25" si="15">E7-E8-E9</f>
        <v>466136924.56000012</v>
      </c>
      <c r="F25" s="1">
        <f t="shared" si="14"/>
        <v>117774331.09000011</v>
      </c>
      <c r="G25" s="1">
        <f t="shared" si="14"/>
        <v>39829227.05999966</v>
      </c>
      <c r="H25" s="1">
        <f t="shared" si="14"/>
        <v>702815190.00999975</v>
      </c>
      <c r="I25" s="1">
        <f t="shared" si="14"/>
        <v>80869671.059999958</v>
      </c>
      <c r="J25" s="1">
        <f t="shared" si="14"/>
        <v>-34927882.449999526</v>
      </c>
      <c r="K25" s="1">
        <f t="shared" si="14"/>
        <v>-905817514.73000014</v>
      </c>
      <c r="L25" s="1">
        <f t="shared" si="14"/>
        <v>227332160.93000004</v>
      </c>
      <c r="M25" s="1">
        <f t="shared" si="14"/>
        <v>429035981.74999976</v>
      </c>
      <c r="N25" s="1">
        <f t="shared" si="14"/>
        <v>93733197.652631283</v>
      </c>
      <c r="O25" s="1">
        <f t="shared" si="14"/>
        <v>0</v>
      </c>
      <c r="P25" s="1">
        <f t="shared" si="14"/>
        <v>104800510.16000001</v>
      </c>
      <c r="Q25" s="1">
        <f t="shared" si="14"/>
        <v>-817288149.76000142</v>
      </c>
      <c r="R25" s="1">
        <f t="shared" si="14"/>
        <v>2009104719.2399995</v>
      </c>
      <c r="S25" s="1">
        <f t="shared" si="14"/>
        <v>0</v>
      </c>
      <c r="T25" s="1">
        <f t="shared" si="14"/>
        <v>660871919.8299998</v>
      </c>
      <c r="U25" s="1">
        <f t="shared" si="14"/>
        <v>-285522637.02999949</v>
      </c>
      <c r="V25" s="1">
        <f t="shared" si="14"/>
        <v>-148158582.78999984</v>
      </c>
      <c r="W25" s="1">
        <f t="shared" si="14"/>
        <v>973212689.98262978</v>
      </c>
    </row>
  </sheetData>
  <conditionalFormatting sqref="T22:W22 B21:V22">
    <cfRule type="cellIs" dxfId="273" priority="178" operator="greaterThan">
      <formula>0</formula>
    </cfRule>
  </conditionalFormatting>
  <conditionalFormatting sqref="T22:W22 B21:V22">
    <cfRule type="cellIs" dxfId="272" priority="175" operator="greaterThan">
      <formula>0</formula>
    </cfRule>
    <cfRule type="cellIs" dxfId="271" priority="17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workbookViewId="0">
      <pane xSplit="1" ySplit="1" topLeftCell="M3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RowHeight="14.4" x14ac:dyDescent="0.3"/>
  <cols>
    <col min="1" max="1" width="36.44140625" bestFit="1" customWidth="1"/>
    <col min="2" max="7" width="13.5546875" bestFit="1" customWidth="1"/>
    <col min="8" max="9" width="12.6640625" bestFit="1" customWidth="1"/>
    <col min="10" max="11" width="13.5546875" bestFit="1" customWidth="1"/>
    <col min="12" max="13" width="12.6640625" bestFit="1" customWidth="1"/>
    <col min="14" max="14" width="13.5546875" bestFit="1" customWidth="1"/>
    <col min="15" max="15" width="10.109375" bestFit="1" customWidth="1"/>
    <col min="16" max="16" width="11.88671875" bestFit="1" customWidth="1"/>
    <col min="17" max="17" width="13.5546875" bestFit="1" customWidth="1"/>
    <col min="18" max="18" width="12.6640625" bestFit="1" customWidth="1"/>
    <col min="19" max="19" width="11.109375" bestFit="1" customWidth="1"/>
    <col min="20" max="20" width="12.6640625" bestFit="1" customWidth="1"/>
    <col min="21" max="22" width="13.5546875" bestFit="1" customWidth="1"/>
    <col min="23" max="23" width="14.5546875" bestFit="1" customWidth="1"/>
  </cols>
  <sheetData>
    <row r="1" spans="1:23" x14ac:dyDescent="0.3">
      <c r="A1" s="13"/>
      <c r="B1" s="38" t="s">
        <v>93</v>
      </c>
      <c r="C1" s="38" t="s">
        <v>94</v>
      </c>
      <c r="D1" s="38" t="s">
        <v>95</v>
      </c>
      <c r="E1" s="38" t="s">
        <v>119</v>
      </c>
      <c r="F1" s="38" t="s">
        <v>120</v>
      </c>
      <c r="G1" s="38" t="s">
        <v>96</v>
      </c>
      <c r="H1" s="38" t="s">
        <v>97</v>
      </c>
      <c r="I1" s="38" t="s">
        <v>98</v>
      </c>
      <c r="J1" s="38" t="s">
        <v>99</v>
      </c>
      <c r="K1" s="38" t="s">
        <v>100</v>
      </c>
      <c r="L1" s="38" t="s">
        <v>101</v>
      </c>
      <c r="M1" s="38" t="s">
        <v>102</v>
      </c>
      <c r="N1" s="38" t="s">
        <v>103</v>
      </c>
      <c r="O1" s="38" t="s">
        <v>109</v>
      </c>
      <c r="P1" s="38" t="s">
        <v>110</v>
      </c>
      <c r="Q1" s="38" t="s">
        <v>104</v>
      </c>
      <c r="R1" s="38" t="s">
        <v>105</v>
      </c>
      <c r="S1" s="38" t="s">
        <v>111</v>
      </c>
      <c r="T1" s="38" t="s">
        <v>106</v>
      </c>
      <c r="U1" s="38" t="s">
        <v>107</v>
      </c>
      <c r="V1" s="38" t="s">
        <v>108</v>
      </c>
      <c r="W1" s="38" t="s">
        <v>83</v>
      </c>
    </row>
    <row r="2" spans="1:23" x14ac:dyDescent="0.3">
      <c r="A2" t="s">
        <v>5</v>
      </c>
      <c r="B2" s="1">
        <v>161427898.69999999</v>
      </c>
      <c r="C2" s="1">
        <v>426048316.98000002</v>
      </c>
      <c r="D2" s="1">
        <v>8573295588.3000002</v>
      </c>
      <c r="E2" s="1">
        <v>1635525750.01</v>
      </c>
      <c r="F2" s="1">
        <v>2565157166.7199998</v>
      </c>
      <c r="G2" s="1">
        <v>1349737153.51</v>
      </c>
      <c r="H2" s="1">
        <v>2529366104.9099998</v>
      </c>
      <c r="I2" s="1">
        <v>308917378.10000002</v>
      </c>
      <c r="J2" s="1">
        <v>1023105332.48</v>
      </c>
      <c r="K2" s="1">
        <v>918787644.30999994</v>
      </c>
      <c r="L2" s="1">
        <v>355926852.06999999</v>
      </c>
      <c r="M2" s="1">
        <v>422620802.49000001</v>
      </c>
      <c r="N2" s="1">
        <v>1394932837.0226254</v>
      </c>
      <c r="O2" s="1">
        <v>0</v>
      </c>
      <c r="P2" s="1">
        <v>47913604.829999998</v>
      </c>
      <c r="Q2" s="1">
        <v>444742823.69</v>
      </c>
      <c r="R2" s="1">
        <v>2245970078.4200001</v>
      </c>
      <c r="S2" s="1">
        <v>0</v>
      </c>
      <c r="T2" s="1">
        <v>300234220.47000003</v>
      </c>
      <c r="U2" s="1">
        <v>1426274294.6800001</v>
      </c>
      <c r="V2" s="1">
        <v>611686463.77999997</v>
      </c>
      <c r="W2" s="1">
        <f t="shared" ref="W2:W10" si="0">SUM(B2:V2)</f>
        <v>26741670311.472626</v>
      </c>
    </row>
    <row r="3" spans="1:23" x14ac:dyDescent="0.3">
      <c r="A3" t="s">
        <v>6</v>
      </c>
      <c r="B3" s="1">
        <v>5616454946.0900002</v>
      </c>
      <c r="C3" s="1">
        <v>236976674.16</v>
      </c>
      <c r="D3" s="1">
        <v>12753501580.83</v>
      </c>
      <c r="E3" s="1">
        <v>1610221365.3800001</v>
      </c>
      <c r="F3" s="1">
        <v>1070400250.5700001</v>
      </c>
      <c r="G3" s="1">
        <v>4427240947.6499996</v>
      </c>
      <c r="H3" s="1">
        <v>959450937.11000001</v>
      </c>
      <c r="I3" s="1">
        <v>1740798585.6600001</v>
      </c>
      <c r="J3" s="1">
        <v>4073782761.9499998</v>
      </c>
      <c r="K3" s="1">
        <v>4101169131.8400002</v>
      </c>
      <c r="L3" s="1">
        <v>1362745997.3099999</v>
      </c>
      <c r="M3" s="1">
        <v>1910915173.3199999</v>
      </c>
      <c r="N3" s="1">
        <v>4391647549.920001</v>
      </c>
      <c r="O3" s="1">
        <v>0</v>
      </c>
      <c r="P3" s="1">
        <v>699142014.20000005</v>
      </c>
      <c r="Q3" s="1">
        <v>9646655715.7999992</v>
      </c>
      <c r="R3" s="1">
        <v>9646010213.2700005</v>
      </c>
      <c r="S3" s="1">
        <v>0</v>
      </c>
      <c r="T3" s="1">
        <v>4630873568.6899996</v>
      </c>
      <c r="U3" s="1">
        <v>4104231217.5</v>
      </c>
      <c r="V3" s="1">
        <v>2585299791.25</v>
      </c>
      <c r="W3" s="1">
        <f t="shared" si="0"/>
        <v>75567518422.5</v>
      </c>
    </row>
    <row r="4" spans="1:23" x14ac:dyDescent="0.3">
      <c r="A4" t="s">
        <v>7</v>
      </c>
      <c r="B4" s="1">
        <v>6844848072.5799999</v>
      </c>
      <c r="C4" s="1">
        <v>125135496.05</v>
      </c>
      <c r="D4" s="1">
        <v>19086256146.029999</v>
      </c>
      <c r="E4" s="1">
        <v>1503120998.8299999</v>
      </c>
      <c r="F4" s="1">
        <v>1953266158.1700001</v>
      </c>
      <c r="G4" s="1">
        <v>4429747838.71</v>
      </c>
      <c r="H4" s="1">
        <v>585484877.88</v>
      </c>
      <c r="I4" s="1">
        <v>1661398206.53</v>
      </c>
      <c r="J4" s="1">
        <v>4014975940.6300001</v>
      </c>
      <c r="K4" s="1">
        <v>4804417112.0600004</v>
      </c>
      <c r="L4" s="1">
        <v>1223288975.5</v>
      </c>
      <c r="M4" s="1">
        <v>1558603324.99</v>
      </c>
      <c r="N4" s="1">
        <v>4171182423.2199984</v>
      </c>
      <c r="O4" s="1">
        <v>0</v>
      </c>
      <c r="P4" s="1">
        <v>608505321.70000005</v>
      </c>
      <c r="Q4" s="1">
        <v>8847819181.9500008</v>
      </c>
      <c r="R4" s="1">
        <v>8844610250.2399998</v>
      </c>
      <c r="S4" s="1">
        <v>0</v>
      </c>
      <c r="T4" s="1">
        <v>3144549841.4200001</v>
      </c>
      <c r="U4" s="1">
        <v>3562994740.1500001</v>
      </c>
      <c r="V4" s="1">
        <v>1422156238.4000001</v>
      </c>
      <c r="W4" s="1">
        <f t="shared" si="0"/>
        <v>78392361145.039978</v>
      </c>
    </row>
    <row r="5" spans="1:23" x14ac:dyDescent="0.3">
      <c r="A5" t="s">
        <v>8</v>
      </c>
      <c r="B5" s="1">
        <v>220300058.24000001</v>
      </c>
      <c r="C5" s="1">
        <v>16461732</v>
      </c>
      <c r="D5" s="1">
        <v>202088345.74000001</v>
      </c>
      <c r="E5" s="1">
        <v>192537729.11000001</v>
      </c>
      <c r="F5" s="1">
        <v>4076762.45</v>
      </c>
      <c r="G5" s="1">
        <v>112623279.78</v>
      </c>
      <c r="H5" s="1">
        <v>172203124.16</v>
      </c>
      <c r="I5" s="1">
        <v>26715659.510000002</v>
      </c>
      <c r="J5" s="1">
        <v>219448240.52000001</v>
      </c>
      <c r="K5" s="1">
        <v>113372045.7</v>
      </c>
      <c r="L5" s="1">
        <v>42927948.700000003</v>
      </c>
      <c r="M5" s="1">
        <v>34836007.549999997</v>
      </c>
      <c r="N5" s="1">
        <v>268677669.82999998</v>
      </c>
      <c r="O5" s="1">
        <v>0</v>
      </c>
      <c r="P5" s="1">
        <v>15390739.43</v>
      </c>
      <c r="Q5" s="1">
        <v>230848823.00999999</v>
      </c>
      <c r="R5" s="1">
        <v>8563905.75</v>
      </c>
      <c r="S5" s="1">
        <v>0</v>
      </c>
      <c r="T5" s="1">
        <v>75803399.25</v>
      </c>
      <c r="U5" s="1">
        <v>277771984.22000003</v>
      </c>
      <c r="V5" s="1">
        <v>34640448.399999999</v>
      </c>
      <c r="W5" s="1">
        <f t="shared" si="0"/>
        <v>2269287903.3499999</v>
      </c>
    </row>
    <row r="6" spans="1:23" x14ac:dyDescent="0.3">
      <c r="A6" t="s">
        <v>9</v>
      </c>
      <c r="B6" s="1">
        <v>343165865.98000002</v>
      </c>
      <c r="C6" s="1">
        <v>152030863.99000001</v>
      </c>
      <c r="D6" s="1">
        <f>933126105.14+1272007.56</f>
        <v>934398112.69999993</v>
      </c>
      <c r="E6" s="1">
        <v>934439346.76999998</v>
      </c>
      <c r="F6" s="1">
        <v>1390710918.51</v>
      </c>
      <c r="G6" s="1">
        <v>342281042.81</v>
      </c>
      <c r="H6" s="1">
        <v>1631402414.0999999</v>
      </c>
      <c r="I6" s="1">
        <v>128628015.2</v>
      </c>
      <c r="J6" s="1">
        <v>422800524.44</v>
      </c>
      <c r="K6" s="1">
        <v>280094016.16000003</v>
      </c>
      <c r="L6" s="1">
        <v>90132698.329999998</v>
      </c>
      <c r="M6" s="1">
        <f>84989439.66+236075.96</f>
        <v>85225515.61999999</v>
      </c>
      <c r="N6" s="1">
        <v>448686978.63</v>
      </c>
      <c r="O6" s="1">
        <v>0</v>
      </c>
      <c r="P6" s="1">
        <v>25286129.27</v>
      </c>
      <c r="Q6" s="1">
        <v>154824069.87</v>
      </c>
      <c r="R6" s="1">
        <v>153820832.43000001</v>
      </c>
      <c r="S6" s="1">
        <v>0</v>
      </c>
      <c r="T6" s="1">
        <v>488065212.94</v>
      </c>
      <c r="U6" s="1">
        <v>843332780.36000001</v>
      </c>
      <c r="V6" s="1">
        <v>1014203487.77</v>
      </c>
      <c r="W6" s="1">
        <f t="shared" si="0"/>
        <v>9863528825.8799992</v>
      </c>
    </row>
    <row r="7" spans="1:23" x14ac:dyDescent="0.3">
      <c r="A7" s="3" t="s">
        <v>0</v>
      </c>
      <c r="B7" s="2">
        <f>B2+B3-B4-B5-B6</f>
        <v>-1630431152.01</v>
      </c>
      <c r="C7" s="2">
        <f t="shared" ref="C7:D7" si="1">C2+C3-C4-C5-C6</f>
        <v>369396899.10000002</v>
      </c>
      <c r="D7" s="2">
        <f t="shared" si="1"/>
        <v>1104054564.6600022</v>
      </c>
      <c r="E7" s="2">
        <f t="shared" ref="E7:N7" si="2">E2+E3-E4-E5-E6</f>
        <v>615649040.68000031</v>
      </c>
      <c r="F7" s="2">
        <f t="shared" si="2"/>
        <v>287503578.15999985</v>
      </c>
      <c r="G7" s="2">
        <f t="shared" si="2"/>
        <v>892325939.8599999</v>
      </c>
      <c r="H7" s="2">
        <f t="shared" si="2"/>
        <v>1099726625.8800001</v>
      </c>
      <c r="I7" s="2">
        <f t="shared" si="2"/>
        <v>232974082.52000028</v>
      </c>
      <c r="J7" s="2">
        <f t="shared" si="2"/>
        <v>439663388.84000021</v>
      </c>
      <c r="K7" s="2">
        <f t="shared" si="2"/>
        <v>-177926397.77000082</v>
      </c>
      <c r="L7" s="2">
        <f t="shared" si="2"/>
        <v>362323226.8499999</v>
      </c>
      <c r="M7" s="2">
        <f t="shared" si="2"/>
        <v>654871127.64999998</v>
      </c>
      <c r="N7" s="2">
        <f t="shared" si="2"/>
        <v>898033315.26262867</v>
      </c>
      <c r="O7" s="2">
        <f t="shared" ref="O7:S7" si="3">SUM(O2:O6)</f>
        <v>0</v>
      </c>
      <c r="P7" s="2">
        <f>P2+P3-P4-P5-P6</f>
        <v>97873428.63000004</v>
      </c>
      <c r="Q7" s="2">
        <f>Q2+Q3-Q4-Q5-Q6</f>
        <v>857906464.65999901</v>
      </c>
      <c r="R7" s="2">
        <f>R2+R3-R4-R5-R6</f>
        <v>2884985303.2700009</v>
      </c>
      <c r="S7" s="2">
        <f t="shared" si="3"/>
        <v>0</v>
      </c>
      <c r="T7" s="2">
        <f>T2+T3-T4-T5-T6</f>
        <v>1222689335.5499997</v>
      </c>
      <c r="U7" s="2">
        <f>U2+U3-U4-U5-U6</f>
        <v>846406007.45000017</v>
      </c>
      <c r="V7" s="2">
        <f>V2+V3-V4-V5-V6</f>
        <v>725986080.45999956</v>
      </c>
      <c r="W7" s="2">
        <f t="shared" si="0"/>
        <v>11784010859.702631</v>
      </c>
    </row>
    <row r="8" spans="1:23" x14ac:dyDescent="0.3">
      <c r="A8" t="s">
        <v>10</v>
      </c>
      <c r="B8" s="1">
        <v>232085452.03</v>
      </c>
      <c r="C8" s="1">
        <v>21500000</v>
      </c>
      <c r="D8" s="1">
        <v>196779583.21000001</v>
      </c>
      <c r="E8" s="1">
        <v>61793107.439999998</v>
      </c>
      <c r="F8" s="1">
        <v>47441110.729999997</v>
      </c>
      <c r="G8" s="1">
        <v>594030815.08000004</v>
      </c>
      <c r="H8" s="1">
        <v>42050000</v>
      </c>
      <c r="I8" s="1">
        <v>50751779.210000001</v>
      </c>
      <c r="J8" s="1">
        <v>258084974.06</v>
      </c>
      <c r="K8" s="1">
        <v>488690314.72000003</v>
      </c>
      <c r="L8" s="1">
        <v>71587291.219999999</v>
      </c>
      <c r="M8" s="1">
        <v>81073751.560000002</v>
      </c>
      <c r="N8" s="1">
        <v>95318480.140000001</v>
      </c>
      <c r="O8" s="1">
        <v>0</v>
      </c>
      <c r="P8" s="1">
        <v>25844692.690000001</v>
      </c>
      <c r="Q8" s="1">
        <v>431875679.39999998</v>
      </c>
      <c r="R8" s="1">
        <v>770775744.13999999</v>
      </c>
      <c r="S8" s="1">
        <v>0</v>
      </c>
      <c r="T8" s="1">
        <v>382682155.51999998</v>
      </c>
      <c r="U8" s="1">
        <v>167996686.40000001</v>
      </c>
      <c r="V8" s="1">
        <v>166642686.47</v>
      </c>
      <c r="W8" s="1">
        <f t="shared" si="0"/>
        <v>4187004304.02</v>
      </c>
    </row>
    <row r="9" spans="1:23" x14ac:dyDescent="0.3">
      <c r="A9" t="s">
        <v>112</v>
      </c>
      <c r="B9" s="1">
        <v>45357795.710000001</v>
      </c>
      <c r="C9" s="1">
        <v>21406381.57</v>
      </c>
      <c r="D9" s="1">
        <v>23849308.280000001</v>
      </c>
      <c r="E9" s="1">
        <v>34887472.039999999</v>
      </c>
      <c r="F9" s="1">
        <v>1936527.85</v>
      </c>
      <c r="G9" s="1">
        <v>29786147.170000002</v>
      </c>
      <c r="H9" s="1">
        <v>0</v>
      </c>
      <c r="I9" s="1">
        <v>80091069.549999997</v>
      </c>
      <c r="J9" s="1">
        <v>50503027.07</v>
      </c>
      <c r="K9" s="1">
        <v>80738697.870000005</v>
      </c>
      <c r="L9" s="1">
        <v>1866831.71</v>
      </c>
      <c r="M9" s="1">
        <v>127234148.05</v>
      </c>
      <c r="N9" s="1">
        <v>531239973.13999999</v>
      </c>
      <c r="O9" s="1">
        <v>0</v>
      </c>
      <c r="P9" s="1">
        <v>2833244.48</v>
      </c>
      <c r="Q9" s="1">
        <v>1060214183.58</v>
      </c>
      <c r="R9" s="1">
        <v>96278416.780000001</v>
      </c>
      <c r="S9" s="1">
        <v>0</v>
      </c>
      <c r="T9" s="1">
        <v>109175210.92</v>
      </c>
      <c r="U9" s="1">
        <v>544625815.42999995</v>
      </c>
      <c r="V9" s="1">
        <v>431677177.49000001</v>
      </c>
      <c r="W9" s="1">
        <f t="shared" si="0"/>
        <v>3273701428.6900005</v>
      </c>
    </row>
    <row r="10" spans="1:23" x14ac:dyDescent="0.3">
      <c r="A10" t="s">
        <v>11</v>
      </c>
      <c r="B10" s="1">
        <v>3990925951.27</v>
      </c>
      <c r="C10" s="1">
        <v>0</v>
      </c>
      <c r="D10" s="1">
        <v>0</v>
      </c>
      <c r="E10" s="1">
        <v>0</v>
      </c>
      <c r="F10" s="1">
        <v>0</v>
      </c>
      <c r="G10" s="1">
        <v>1412457346.9100001</v>
      </c>
      <c r="H10" s="1">
        <v>0</v>
      </c>
      <c r="I10" s="1">
        <v>127611079.04000001</v>
      </c>
      <c r="J10" s="1">
        <v>852149988.80999994</v>
      </c>
      <c r="K10" s="1">
        <v>594137421.25999999</v>
      </c>
      <c r="L10" s="1">
        <v>27699974.050000001</v>
      </c>
      <c r="M10" s="1">
        <v>0</v>
      </c>
      <c r="N10" s="1">
        <v>7375815084.7399998</v>
      </c>
      <c r="O10" s="1">
        <v>0</v>
      </c>
      <c r="P10" s="1">
        <v>292804024.42000002</v>
      </c>
      <c r="Q10" s="1">
        <v>2355242790.1700001</v>
      </c>
      <c r="R10" s="1">
        <v>566484356.82000005</v>
      </c>
      <c r="S10" s="1">
        <v>0</v>
      </c>
      <c r="T10" s="1">
        <v>142488256.41999999</v>
      </c>
      <c r="U10" s="1">
        <v>2360763351.5799999</v>
      </c>
      <c r="V10" s="1">
        <v>195328029.61000001</v>
      </c>
      <c r="W10" s="1">
        <f t="shared" si="0"/>
        <v>20293907655.099998</v>
      </c>
    </row>
    <row r="11" spans="1:23" x14ac:dyDescent="0.3">
      <c r="A11" t="s">
        <v>12</v>
      </c>
      <c r="B11" s="1">
        <v>1000000</v>
      </c>
      <c r="C11" s="1">
        <v>57250452.810000002</v>
      </c>
      <c r="D11" s="1">
        <v>3954240.88</v>
      </c>
      <c r="E11" s="1">
        <v>21595847.210000001</v>
      </c>
      <c r="F11" s="1">
        <v>35750.6</v>
      </c>
      <c r="G11" s="1">
        <v>44676.06</v>
      </c>
      <c r="H11" s="1">
        <v>23883849.16</v>
      </c>
      <c r="I11" s="1">
        <v>181167.87</v>
      </c>
      <c r="J11" s="1">
        <v>949651</v>
      </c>
      <c r="K11" s="1">
        <v>0</v>
      </c>
      <c r="L11" s="1">
        <v>2278476.33</v>
      </c>
      <c r="M11" s="1">
        <v>12343084.73</v>
      </c>
      <c r="N11" s="1">
        <v>7750929</v>
      </c>
      <c r="O11" s="1">
        <v>0</v>
      </c>
      <c r="P11" s="1">
        <v>1089214</v>
      </c>
      <c r="Q11" s="1">
        <v>14332291</v>
      </c>
      <c r="R11" s="1">
        <v>64016585.189999998</v>
      </c>
      <c r="S11" s="1">
        <v>0</v>
      </c>
      <c r="T11" s="1">
        <v>3767510</v>
      </c>
      <c r="U11" s="1">
        <v>27268594</v>
      </c>
      <c r="V11" s="1">
        <v>15897064</v>
      </c>
      <c r="W11" s="1">
        <f t="shared" ref="W11:W13" si="4">SUM(B11:V11)</f>
        <v>257639383.84</v>
      </c>
    </row>
    <row r="12" spans="1:23" x14ac:dyDescent="0.3">
      <c r="A12" t="s">
        <v>13</v>
      </c>
      <c r="B12" s="1">
        <v>18531729</v>
      </c>
      <c r="C12" s="1">
        <v>15050398.109999999</v>
      </c>
      <c r="D12" s="1">
        <v>76763664.519999996</v>
      </c>
      <c r="E12" s="1">
        <v>407977.1</v>
      </c>
      <c r="F12" s="1">
        <v>8900000</v>
      </c>
      <c r="G12" s="1">
        <v>8284873.9500000002</v>
      </c>
      <c r="H12" s="1">
        <v>22405504.789999999</v>
      </c>
      <c r="I12" s="1">
        <v>31000000</v>
      </c>
      <c r="J12" s="1">
        <v>12063529.699999999</v>
      </c>
      <c r="K12" s="1">
        <v>4748911</v>
      </c>
      <c r="L12" s="1">
        <v>32156813.079999998</v>
      </c>
      <c r="M12" s="1">
        <v>42359069.850000001</v>
      </c>
      <c r="N12" s="1">
        <v>40000000</v>
      </c>
      <c r="O12" s="1">
        <v>0</v>
      </c>
      <c r="P12" s="1">
        <v>5552490.8399999999</v>
      </c>
      <c r="Q12" s="1">
        <v>313233848.57999998</v>
      </c>
      <c r="R12" s="1">
        <v>43458240.149999999</v>
      </c>
      <c r="S12" s="1">
        <v>0</v>
      </c>
      <c r="T12" s="1">
        <v>66381620.009999998</v>
      </c>
      <c r="U12" s="1">
        <v>243067458.46000001</v>
      </c>
      <c r="V12" s="1">
        <v>39817794</v>
      </c>
      <c r="W12" s="1">
        <f t="shared" si="4"/>
        <v>1024183923.14</v>
      </c>
    </row>
    <row r="13" spans="1:23" x14ac:dyDescent="0.3">
      <c r="A13" t="s">
        <v>14</v>
      </c>
      <c r="B13" s="1">
        <v>30354269</v>
      </c>
      <c r="C13" s="1">
        <v>21283891</v>
      </c>
      <c r="D13" s="1">
        <v>98724882</v>
      </c>
      <c r="E13" s="1">
        <v>0</v>
      </c>
      <c r="F13" s="1">
        <v>0</v>
      </c>
      <c r="G13" s="1">
        <v>94044137.530000001</v>
      </c>
      <c r="H13" s="1">
        <v>483787501.01999998</v>
      </c>
      <c r="I13" s="1">
        <v>29412046.440000001</v>
      </c>
      <c r="J13" s="42">
        <v>34978458.779999971</v>
      </c>
      <c r="K13" s="1">
        <v>22203186.719999999</v>
      </c>
      <c r="L13" s="1">
        <v>66312341.380000025</v>
      </c>
      <c r="M13" s="1">
        <v>68382639.660000026</v>
      </c>
      <c r="N13" s="1">
        <v>43451443.280000001</v>
      </c>
      <c r="O13" s="1">
        <v>0</v>
      </c>
      <c r="P13" s="1">
        <v>13835075.18</v>
      </c>
      <c r="Q13" s="1">
        <v>431875689.25</v>
      </c>
      <c r="R13" s="1">
        <v>4782990.42</v>
      </c>
      <c r="S13" s="1">
        <v>0</v>
      </c>
      <c r="T13" s="1">
        <v>30500000</v>
      </c>
      <c r="U13" s="1">
        <v>454240300.63999999</v>
      </c>
      <c r="V13" s="1">
        <v>53510404.520000003</v>
      </c>
      <c r="W13" s="1">
        <f t="shared" si="4"/>
        <v>1981679256.8199997</v>
      </c>
    </row>
    <row r="14" spans="1:23" x14ac:dyDescent="0.3">
      <c r="A14" s="3" t="s">
        <v>1</v>
      </c>
      <c r="B14" s="2">
        <f t="shared" ref="B14:N14" si="5">SUM(B8:B13)</f>
        <v>4318255197.0100002</v>
      </c>
      <c r="C14" s="2">
        <f t="shared" si="5"/>
        <v>136491123.49000001</v>
      </c>
      <c r="D14" s="2">
        <f t="shared" si="5"/>
        <v>400071678.88999999</v>
      </c>
      <c r="E14" s="2">
        <f t="shared" si="5"/>
        <v>118684403.78999999</v>
      </c>
      <c r="F14" s="2">
        <f t="shared" si="5"/>
        <v>58313389.18</v>
      </c>
      <c r="G14" s="2">
        <f t="shared" si="5"/>
        <v>2138647996.7</v>
      </c>
      <c r="H14" s="2">
        <f t="shared" si="5"/>
        <v>572126854.97000003</v>
      </c>
      <c r="I14" s="2">
        <f t="shared" si="5"/>
        <v>319047142.11000001</v>
      </c>
      <c r="J14" s="2">
        <f t="shared" si="5"/>
        <v>1208729629.4200001</v>
      </c>
      <c r="K14" s="2">
        <f t="shared" si="5"/>
        <v>1190518531.5699999</v>
      </c>
      <c r="L14" s="2">
        <f t="shared" si="5"/>
        <v>201901727.77000001</v>
      </c>
      <c r="M14" s="2">
        <f t="shared" si="5"/>
        <v>331392693.85000002</v>
      </c>
      <c r="N14" s="2">
        <f t="shared" si="5"/>
        <v>8093575910.2999992</v>
      </c>
      <c r="O14" s="2">
        <f t="shared" ref="O14:S14" si="6">SUM(O8:O13)</f>
        <v>0</v>
      </c>
      <c r="P14" s="2">
        <f>SUM(P8:P13)</f>
        <v>341958741.61000001</v>
      </c>
      <c r="Q14" s="2">
        <f>SUM(Q8:Q13)</f>
        <v>4606774481.9799995</v>
      </c>
      <c r="R14" s="2">
        <f>SUM(R8:R13)</f>
        <v>1545796333.5000002</v>
      </c>
      <c r="S14" s="2">
        <f t="shared" si="6"/>
        <v>0</v>
      </c>
      <c r="T14" s="2">
        <f>SUM(T8:T13)</f>
        <v>734994752.87</v>
      </c>
      <c r="U14" s="2">
        <f>SUM(U8:U13)</f>
        <v>3797962206.5099998</v>
      </c>
      <c r="V14" s="2">
        <f>SUM(V8:V13)</f>
        <v>902873156.09000003</v>
      </c>
      <c r="W14" s="2">
        <f>SUM(B14:V14)</f>
        <v>31018115951.610001</v>
      </c>
    </row>
    <row r="15" spans="1:23" x14ac:dyDescent="0.3">
      <c r="A15" t="s">
        <v>16</v>
      </c>
      <c r="B15" s="1">
        <v>21648073.41</v>
      </c>
      <c r="C15" s="1">
        <v>39696228.840000004</v>
      </c>
      <c r="D15" s="1">
        <v>125774164.22</v>
      </c>
      <c r="E15" s="1">
        <v>0</v>
      </c>
      <c r="F15" s="1">
        <v>0</v>
      </c>
      <c r="G15" s="1">
        <v>83059119.129999995</v>
      </c>
      <c r="H15" s="1">
        <v>21490897.550000001</v>
      </c>
      <c r="I15" s="1">
        <v>13592006.359999999</v>
      </c>
      <c r="J15" s="1">
        <v>143191549.13</v>
      </c>
      <c r="K15" s="1">
        <v>86997658.950000003</v>
      </c>
      <c r="L15" s="1">
        <v>3074972.69</v>
      </c>
      <c r="M15" s="1">
        <v>142909836.19999999</v>
      </c>
      <c r="N15" s="1">
        <v>51951793.240000002</v>
      </c>
      <c r="O15" s="1">
        <v>0</v>
      </c>
      <c r="P15" s="1">
        <v>0</v>
      </c>
      <c r="Q15" s="1">
        <v>165283257.90000001</v>
      </c>
      <c r="R15" s="1">
        <v>152418718.43000001</v>
      </c>
      <c r="S15" s="1">
        <v>0</v>
      </c>
      <c r="T15" s="1">
        <v>57446423.659999996</v>
      </c>
      <c r="U15" s="1">
        <v>20500542.780000001</v>
      </c>
      <c r="V15" s="1">
        <v>64489041.799999997</v>
      </c>
      <c r="W15" s="1">
        <f>SUM(B15:V15)</f>
        <v>1193524284.29</v>
      </c>
    </row>
    <row r="16" spans="1:23" x14ac:dyDescent="0.3">
      <c r="A16" t="s">
        <v>15</v>
      </c>
      <c r="B16" s="1">
        <v>154743572.66999999</v>
      </c>
      <c r="C16" s="1">
        <v>7350128.21</v>
      </c>
      <c r="D16" s="1">
        <v>374661408.25999999</v>
      </c>
      <c r="E16" s="1">
        <v>23498447.93</v>
      </c>
      <c r="F16" s="1">
        <v>30266445.84</v>
      </c>
      <c r="G16" s="1">
        <v>540040020.82000005</v>
      </c>
      <c r="H16" s="1">
        <v>255818107.25</v>
      </c>
      <c r="I16" s="1">
        <v>79206664.549999997</v>
      </c>
      <c r="J16" s="1">
        <v>380037830.63</v>
      </c>
      <c r="K16" s="1">
        <v>448631692.81999999</v>
      </c>
      <c r="L16" s="1">
        <v>243996047.41999999</v>
      </c>
      <c r="M16" s="1">
        <v>331919506.77999997</v>
      </c>
      <c r="N16" s="1">
        <v>497595300.62</v>
      </c>
      <c r="O16" s="1">
        <v>0</v>
      </c>
      <c r="P16" s="1">
        <v>262441732.87</v>
      </c>
      <c r="Q16" s="1">
        <v>833179504.12</v>
      </c>
      <c r="R16" s="1">
        <v>1162022529.79</v>
      </c>
      <c r="S16" s="1">
        <v>0</v>
      </c>
      <c r="T16" s="1">
        <v>271670017.83999997</v>
      </c>
      <c r="U16" s="1">
        <v>3502794431.02</v>
      </c>
      <c r="V16" s="1">
        <v>278344166.06</v>
      </c>
      <c r="W16" s="1">
        <f t="shared" ref="W16:W21" si="7">SUM(B16:V16)</f>
        <v>9678217555.5</v>
      </c>
    </row>
    <row r="17" spans="1:23" x14ac:dyDescent="0.3">
      <c r="A17" t="s">
        <v>17</v>
      </c>
      <c r="B17" s="1">
        <v>1702484.61</v>
      </c>
      <c r="C17" s="1">
        <v>55238.61</v>
      </c>
      <c r="D17" s="1">
        <v>0</v>
      </c>
      <c r="E17" s="1">
        <v>3270199.59</v>
      </c>
      <c r="F17" s="1">
        <v>0</v>
      </c>
      <c r="G17" s="1">
        <v>0</v>
      </c>
      <c r="H17" s="1">
        <v>7497459.8799999999</v>
      </c>
      <c r="I17" s="1">
        <v>2066.1999999999998</v>
      </c>
      <c r="J17" s="1">
        <v>0</v>
      </c>
      <c r="K17" s="1">
        <v>0</v>
      </c>
      <c r="L17" s="1">
        <v>585107.30000000005</v>
      </c>
      <c r="M17" s="1">
        <v>0</v>
      </c>
      <c r="N17" s="1">
        <v>0</v>
      </c>
      <c r="O17" s="1">
        <v>0</v>
      </c>
      <c r="P17" s="1">
        <v>6972380.9400000004</v>
      </c>
      <c r="Q17" s="1">
        <v>0</v>
      </c>
      <c r="R17" s="1">
        <v>0</v>
      </c>
      <c r="S17" s="1">
        <v>0</v>
      </c>
      <c r="T17" s="1">
        <v>8254665.7800000003</v>
      </c>
      <c r="U17" s="1">
        <v>0</v>
      </c>
      <c r="V17" s="1">
        <v>180000</v>
      </c>
      <c r="W17" s="1">
        <f t="shared" si="7"/>
        <v>28519602.910000004</v>
      </c>
    </row>
    <row r="18" spans="1:23" x14ac:dyDescent="0.3">
      <c r="A18" t="s">
        <v>18</v>
      </c>
      <c r="B18" s="1">
        <v>101860224.11</v>
      </c>
      <c r="C18" s="1">
        <v>9180178.4299999997</v>
      </c>
      <c r="D18" s="1">
        <v>87614242.040000007</v>
      </c>
      <c r="E18" s="1">
        <v>0</v>
      </c>
      <c r="F18" s="1">
        <v>621162.73</v>
      </c>
      <c r="G18" s="1">
        <v>75090687.269999996</v>
      </c>
      <c r="H18" s="1">
        <v>28332906.620000001</v>
      </c>
      <c r="I18" s="1">
        <v>6053927.04</v>
      </c>
      <c r="J18" s="1">
        <v>263171037.62</v>
      </c>
      <c r="K18" s="1">
        <v>12067000</v>
      </c>
      <c r="L18" s="1">
        <v>3460635.39</v>
      </c>
      <c r="M18" s="1">
        <v>203804.72</v>
      </c>
      <c r="N18" s="1">
        <v>0</v>
      </c>
      <c r="O18" s="1">
        <v>0</v>
      </c>
      <c r="P18" s="1">
        <v>947357.51</v>
      </c>
      <c r="Q18" s="1">
        <v>16716128.34</v>
      </c>
      <c r="R18" s="1">
        <v>311214781.24000001</v>
      </c>
      <c r="S18" s="1">
        <v>0</v>
      </c>
      <c r="T18" s="1">
        <v>14618653.039999999</v>
      </c>
      <c r="U18" s="1">
        <v>386642196.08999997</v>
      </c>
      <c r="V18" s="1">
        <v>12585264.859999999</v>
      </c>
      <c r="W18" s="1">
        <f t="shared" si="7"/>
        <v>1330380187.05</v>
      </c>
    </row>
    <row r="19" spans="1:23" x14ac:dyDescent="0.3">
      <c r="A19" t="s">
        <v>19</v>
      </c>
      <c r="B19" s="1">
        <v>0</v>
      </c>
      <c r="C19" s="1">
        <v>0</v>
      </c>
      <c r="D19" s="1">
        <v>0</v>
      </c>
      <c r="E19" s="1">
        <v>0</v>
      </c>
      <c r="F19" s="1">
        <v>149550.53</v>
      </c>
      <c r="G19" s="1">
        <v>0</v>
      </c>
      <c r="H19" s="1">
        <v>0</v>
      </c>
      <c r="I19" s="1">
        <v>0</v>
      </c>
      <c r="J19" s="1">
        <v>0</v>
      </c>
      <c r="K19" s="1">
        <v>51303166.060000002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223482122.69999999</v>
      </c>
      <c r="U19" s="1">
        <v>0</v>
      </c>
      <c r="V19" s="1">
        <v>2174978.2200000002</v>
      </c>
      <c r="W19" s="1">
        <f t="shared" si="7"/>
        <v>277109817.50999999</v>
      </c>
    </row>
    <row r="20" spans="1:23" x14ac:dyDescent="0.3">
      <c r="A20" s="3" t="s">
        <v>2</v>
      </c>
      <c r="B20" s="2">
        <f t="shared" ref="B20:N20" si="8">SUM(B15:B19)</f>
        <v>279954354.80000001</v>
      </c>
      <c r="C20" s="2">
        <f t="shared" si="8"/>
        <v>56281774.090000004</v>
      </c>
      <c r="D20" s="2">
        <f t="shared" si="8"/>
        <v>588049814.51999998</v>
      </c>
      <c r="E20" s="2">
        <f t="shared" si="8"/>
        <v>26768647.52</v>
      </c>
      <c r="F20" s="2">
        <f t="shared" si="8"/>
        <v>31037159.100000001</v>
      </c>
      <c r="G20" s="2">
        <f t="shared" si="8"/>
        <v>698189827.22000003</v>
      </c>
      <c r="H20" s="2">
        <f t="shared" si="8"/>
        <v>313139371.30000001</v>
      </c>
      <c r="I20" s="2">
        <f t="shared" si="8"/>
        <v>98854664.150000006</v>
      </c>
      <c r="J20" s="2">
        <f t="shared" si="8"/>
        <v>786400417.38</v>
      </c>
      <c r="K20" s="2">
        <f t="shared" si="8"/>
        <v>598999517.82999992</v>
      </c>
      <c r="L20" s="2">
        <f t="shared" si="8"/>
        <v>251116762.79999998</v>
      </c>
      <c r="M20" s="2">
        <f t="shared" si="8"/>
        <v>475033147.69999999</v>
      </c>
      <c r="N20" s="2">
        <f t="shared" si="8"/>
        <v>549547093.86000001</v>
      </c>
      <c r="O20" s="2">
        <f t="shared" ref="O20:S20" si="9">SUM(O15:O19)</f>
        <v>0</v>
      </c>
      <c r="P20" s="2">
        <f>SUM(P15:P19)</f>
        <v>270361471.31999999</v>
      </c>
      <c r="Q20" s="2">
        <f>SUM(Q15:Q19)</f>
        <v>1015178890.36</v>
      </c>
      <c r="R20" s="2">
        <f>SUM(R15:R19)</f>
        <v>1625656029.46</v>
      </c>
      <c r="S20" s="2">
        <f t="shared" si="9"/>
        <v>0</v>
      </c>
      <c r="T20" s="2">
        <f>SUM(T15:T19)</f>
        <v>575471883.01999998</v>
      </c>
      <c r="U20" s="2">
        <f>SUM(U15:U19)</f>
        <v>3909937169.8900003</v>
      </c>
      <c r="V20" s="2">
        <f>SUM(V15:V19)</f>
        <v>357773450.94000006</v>
      </c>
      <c r="W20" s="2">
        <f t="shared" si="7"/>
        <v>12507751447.26</v>
      </c>
    </row>
    <row r="21" spans="1:23" x14ac:dyDescent="0.3">
      <c r="A21" s="3" t="s">
        <v>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4535633.3600000003</v>
      </c>
      <c r="I21" s="2">
        <v>0</v>
      </c>
      <c r="J21" s="2">
        <v>7351621.9199999999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25910670.440000001</v>
      </c>
      <c r="V21" s="2">
        <v>0</v>
      </c>
      <c r="W21" s="2">
        <f t="shared" si="7"/>
        <v>37797925.719999999</v>
      </c>
    </row>
    <row r="22" spans="1:23" x14ac:dyDescent="0.3">
      <c r="A22" s="19" t="s">
        <v>4</v>
      </c>
      <c r="B22" s="12">
        <f t="shared" ref="B22:N22" si="10">B7-B14-B20-B21</f>
        <v>-6228640703.8200006</v>
      </c>
      <c r="C22" s="12">
        <f t="shared" si="10"/>
        <v>176624001.52000001</v>
      </c>
      <c r="D22" s="12">
        <f t="shared" si="10"/>
        <v>115933071.25000226</v>
      </c>
      <c r="E22" s="12">
        <f t="shared" si="10"/>
        <v>470195989.37000036</v>
      </c>
      <c r="F22" s="12">
        <f t="shared" si="10"/>
        <v>198153029.87999985</v>
      </c>
      <c r="G22" s="12">
        <f t="shared" si="10"/>
        <v>-1944511884.0600002</v>
      </c>
      <c r="H22" s="12">
        <f t="shared" si="10"/>
        <v>209924766.25000006</v>
      </c>
      <c r="I22" s="12">
        <f t="shared" si="10"/>
        <v>-184927723.73999974</v>
      </c>
      <c r="J22" s="12">
        <f t="shared" si="10"/>
        <v>-1562818279.8800001</v>
      </c>
      <c r="K22" s="12">
        <f t="shared" si="10"/>
        <v>-1967444447.1700006</v>
      </c>
      <c r="L22" s="12">
        <f t="shared" si="10"/>
        <v>-90695263.720000088</v>
      </c>
      <c r="M22" s="12">
        <f t="shared" si="10"/>
        <v>-151554713.90000004</v>
      </c>
      <c r="N22" s="12">
        <f t="shared" si="10"/>
        <v>-7745089688.8973703</v>
      </c>
      <c r="O22" s="12">
        <f t="shared" ref="O22:S22" si="11">O7-O14-O20-O21</f>
        <v>0</v>
      </c>
      <c r="P22" s="12">
        <f>P7-P14-P20-P21</f>
        <v>-514446784.29999995</v>
      </c>
      <c r="Q22" s="12">
        <f>Q7-Q14-Q20-Q21</f>
        <v>-4764046907.6800003</v>
      </c>
      <c r="R22" s="12">
        <f>R7-R14-R20-R21</f>
        <v>-286467059.68999934</v>
      </c>
      <c r="S22" s="12">
        <f t="shared" si="11"/>
        <v>0</v>
      </c>
      <c r="T22" s="12">
        <f>T7-T14-T20-T21</f>
        <v>-87777300.340000272</v>
      </c>
      <c r="U22" s="12">
        <f>U7-U14-U20-U21</f>
        <v>-6887404039.3899994</v>
      </c>
      <c r="V22" s="12">
        <f>V7-V14-V20-V21</f>
        <v>-534660526.57000053</v>
      </c>
      <c r="W22" s="12">
        <f>SUM(B22:V22)</f>
        <v>-31779654464.887367</v>
      </c>
    </row>
    <row r="23" spans="1:23" x14ac:dyDescent="0.3">
      <c r="A23" t="s">
        <v>84</v>
      </c>
      <c r="B23" s="1">
        <v>-19109500.350000001</v>
      </c>
      <c r="C23" s="1">
        <v>-2475411.23</v>
      </c>
      <c r="D23" s="1">
        <v>-126891956.64</v>
      </c>
      <c r="E23" s="1">
        <v>-18919499.41</v>
      </c>
      <c r="F23" s="1">
        <v>-7951874.6100000003</v>
      </c>
      <c r="G23" s="1">
        <v>-129098807.13</v>
      </c>
      <c r="H23" s="1">
        <v>-24406968.73</v>
      </c>
      <c r="I23" s="1">
        <v>-11704920.42</v>
      </c>
      <c r="J23" s="1">
        <v>-10524323.960000001</v>
      </c>
      <c r="K23" s="1">
        <v>-134877768.21000001</v>
      </c>
      <c r="L23" s="1">
        <v>5337678.01</v>
      </c>
      <c r="M23" s="1">
        <v>-65688038.649999999</v>
      </c>
      <c r="N23" s="1">
        <v>-35994106.329999998</v>
      </c>
      <c r="O23" s="1">
        <v>0</v>
      </c>
      <c r="P23" s="1">
        <v>-4140212.3</v>
      </c>
      <c r="Q23" s="1">
        <v>-945293258.91999996</v>
      </c>
      <c r="R23" s="1">
        <v>-212768717.31999999</v>
      </c>
      <c r="S23" s="1">
        <v>0</v>
      </c>
      <c r="T23" s="1">
        <v>-449431669.12</v>
      </c>
      <c r="U23" s="1">
        <v>-10545566.1</v>
      </c>
      <c r="V23" s="1">
        <v>-61335766.68</v>
      </c>
      <c r="W23" s="1">
        <f>SUM(B23:V23)</f>
        <v>-2265820688.0999999</v>
      </c>
    </row>
    <row r="24" spans="1:23" x14ac:dyDescent="0.3">
      <c r="A24" t="s">
        <v>117</v>
      </c>
      <c r="B24" s="26">
        <f>B8/B3*100</f>
        <v>4.1322409644106672</v>
      </c>
      <c r="C24" s="26">
        <f t="shared" ref="C24:W24" si="12">C8/C3*100</f>
        <v>9.0726228968357461</v>
      </c>
      <c r="D24" s="26">
        <f t="shared" si="12"/>
        <v>1.5429455350974564</v>
      </c>
      <c r="E24" s="26">
        <f t="shared" si="12"/>
        <v>3.8375535667679634</v>
      </c>
      <c r="F24" s="26">
        <f t="shared" si="12"/>
        <v>4.4320907720954921</v>
      </c>
      <c r="G24" s="26">
        <f t="shared" si="12"/>
        <v>13.417630124588417</v>
      </c>
      <c r="H24" s="26">
        <f t="shared" si="12"/>
        <v>4.382714985579196</v>
      </c>
      <c r="I24" s="26">
        <f t="shared" si="12"/>
        <v>2.9154308619085967</v>
      </c>
      <c r="J24" s="26">
        <f t="shared" si="12"/>
        <v>6.3352659957857531</v>
      </c>
      <c r="K24" s="26">
        <f t="shared" si="12"/>
        <v>11.915878107195931</v>
      </c>
      <c r="L24" s="26">
        <f t="shared" si="12"/>
        <v>5.253164666145425</v>
      </c>
      <c r="M24" s="26">
        <f t="shared" si="12"/>
        <v>4.2426661681242237</v>
      </c>
      <c r="N24" s="26">
        <f t="shared" si="12"/>
        <v>2.1704492233612038</v>
      </c>
      <c r="O24" s="26" t="e">
        <f t="shared" si="12"/>
        <v>#DIV/0!</v>
      </c>
      <c r="P24" s="26">
        <f t="shared" si="12"/>
        <v>3.6966298927941037</v>
      </c>
      <c r="Q24" s="26">
        <f t="shared" si="12"/>
        <v>4.4769471630737518</v>
      </c>
      <c r="R24" s="26">
        <f t="shared" si="12"/>
        <v>7.9906171266504051</v>
      </c>
      <c r="S24" s="26" t="e">
        <f t="shared" si="12"/>
        <v>#DIV/0!</v>
      </c>
      <c r="T24" s="26">
        <f t="shared" si="12"/>
        <v>8.2637141749532717</v>
      </c>
      <c r="U24" s="26">
        <f t="shared" si="12"/>
        <v>4.0932558985390548</v>
      </c>
      <c r="V24" s="26">
        <f t="shared" si="12"/>
        <v>6.4457780499579034</v>
      </c>
      <c r="W24" s="26">
        <f t="shared" si="12"/>
        <v>5.5407460658034955</v>
      </c>
    </row>
    <row r="25" spans="1:23" x14ac:dyDescent="0.3">
      <c r="A25" t="s">
        <v>92</v>
      </c>
      <c r="B25" s="1">
        <f>B7-B8-B9</f>
        <v>-1907874399.75</v>
      </c>
      <c r="C25" s="1">
        <f t="shared" ref="C25:W25" si="13">C7-C8-C9</f>
        <v>326490517.53000003</v>
      </c>
      <c r="D25" s="1">
        <f t="shared" si="13"/>
        <v>883425673.17000222</v>
      </c>
      <c r="E25" s="1">
        <f t="shared" si="13"/>
        <v>518968461.20000023</v>
      </c>
      <c r="F25" s="1">
        <f t="shared" si="13"/>
        <v>238125939.57999986</v>
      </c>
      <c r="G25" s="1">
        <f t="shared" si="13"/>
        <v>268508977.60999984</v>
      </c>
      <c r="H25" s="1">
        <f t="shared" si="13"/>
        <v>1057676625.8800001</v>
      </c>
      <c r="I25" s="1">
        <f t="shared" si="13"/>
        <v>102131233.76000027</v>
      </c>
      <c r="J25" s="1">
        <f t="shared" si="13"/>
        <v>131075387.71000022</v>
      </c>
      <c r="K25" s="1">
        <f t="shared" si="13"/>
        <v>-747355410.36000085</v>
      </c>
      <c r="L25" s="1">
        <f t="shared" si="13"/>
        <v>288869103.9199999</v>
      </c>
      <c r="M25" s="1">
        <f t="shared" si="13"/>
        <v>446563228.0399999</v>
      </c>
      <c r="N25" s="1">
        <f t="shared" si="13"/>
        <v>271474861.9826287</v>
      </c>
      <c r="O25" s="1">
        <f t="shared" si="13"/>
        <v>0</v>
      </c>
      <c r="P25" s="1">
        <f t="shared" si="13"/>
        <v>69195491.460000038</v>
      </c>
      <c r="Q25" s="1">
        <f t="shared" si="13"/>
        <v>-634183398.32000101</v>
      </c>
      <c r="R25" s="1">
        <f t="shared" si="13"/>
        <v>2017931142.3500011</v>
      </c>
      <c r="S25" s="1">
        <f t="shared" si="13"/>
        <v>0</v>
      </c>
      <c r="T25" s="1">
        <f t="shared" si="13"/>
        <v>730831969.10999978</v>
      </c>
      <c r="U25" s="1">
        <f t="shared" si="13"/>
        <v>133783505.62000024</v>
      </c>
      <c r="V25" s="1">
        <f t="shared" si="13"/>
        <v>127666216.49999952</v>
      </c>
      <c r="W25" s="1">
        <f t="shared" si="13"/>
        <v>4323305126.99263</v>
      </c>
    </row>
    <row r="26" spans="1:23" x14ac:dyDescent="0.3">
      <c r="A26" t="s">
        <v>126</v>
      </c>
      <c r="B26" s="1">
        <f>B3-Risultato_amministrazione_2018!B3</f>
        <v>-463407411.80999947</v>
      </c>
      <c r="C26" s="1">
        <f>C3-Risultato_amministrazione_2018!C3</f>
        <v>76073934.919999987</v>
      </c>
      <c r="D26" s="1">
        <f>D3-Risultato_amministrazione_2018!D3</f>
        <v>-2844972464.75</v>
      </c>
      <c r="E26" s="1">
        <f>E3-Risultato_amministrazione_2018!E3</f>
        <v>-142163965.92999983</v>
      </c>
      <c r="F26" s="1">
        <f>F3-Risultato_amministrazione_2018!F3</f>
        <v>-607906219.12</v>
      </c>
      <c r="G26" s="1">
        <f>G3-Risultato_amministrazione_2018!G3</f>
        <v>-1062644065.1100006</v>
      </c>
      <c r="H26" s="1">
        <f>H3-Risultato_amministrazione_2018!H3</f>
        <v>-196189874.90999997</v>
      </c>
      <c r="I26" s="1">
        <f>I3-Risultato_amministrazione_2018!I3</f>
        <v>-165339341.79999995</v>
      </c>
      <c r="J26" s="1">
        <f>J3-Risultato_amministrazione_2018!J3</f>
        <v>-654362054.01000023</v>
      </c>
      <c r="K26" s="1">
        <f>K3-Risultato_amministrazione_2018!K3</f>
        <v>-918079495</v>
      </c>
      <c r="L26" s="1">
        <f>L3-Risultato_amministrazione_2018!L3</f>
        <v>130320149.87999988</v>
      </c>
      <c r="M26" s="1">
        <f>M3-Risultato_amministrazione_2018!M3</f>
        <v>-185373758.98000002</v>
      </c>
      <c r="N26" s="1">
        <f>N3-Risultato_amministrazione_2018!N3</f>
        <v>235748002.25</v>
      </c>
      <c r="O26" s="1">
        <f>O3-Risultato_amministrazione_2018!O3</f>
        <v>0</v>
      </c>
      <c r="P26" s="1">
        <f>P3-Risultato_amministrazione_2018!P3</f>
        <v>82542984.24000001</v>
      </c>
      <c r="Q26" s="1">
        <f>Q3-Risultato_amministrazione_2018!Q3</f>
        <v>1041713569.0900002</v>
      </c>
      <c r="R26" s="1">
        <f>R3-Risultato_amministrazione_2018!R3</f>
        <v>155342238.38000107</v>
      </c>
      <c r="S26" s="1">
        <f>S3-Risultato_amministrazione_2018!S3</f>
        <v>0</v>
      </c>
      <c r="T26" s="1">
        <f>T3-Risultato_amministrazione_2018!T3</f>
        <v>410340867.99999952</v>
      </c>
      <c r="U26" s="1">
        <f>U3-Risultato_amministrazione_2018!U3</f>
        <v>-380013733.77000046</v>
      </c>
      <c r="V26" s="1">
        <f>V3-Risultato_amministrazione_2018!V3</f>
        <v>308895933.61000013</v>
      </c>
      <c r="W26" s="1">
        <f>W3-Risultato_amministrazione_2018!W3</f>
        <v>-5179474704.8200073</v>
      </c>
    </row>
    <row r="27" spans="1:23" x14ac:dyDescent="0.3">
      <c r="A27" t="s">
        <v>127</v>
      </c>
      <c r="B27" s="1">
        <f>B4-Risultato_amministrazione_2018!B4</f>
        <v>-1116388721.3599997</v>
      </c>
      <c r="C27" s="1">
        <f>C4-Risultato_amministrazione_2018!C4</f>
        <v>7274958.1199999899</v>
      </c>
      <c r="D27" s="1">
        <f>D4-Risultato_amministrazione_2018!D4</f>
        <v>-1958830328.1000023</v>
      </c>
      <c r="E27" s="1">
        <f>E4-Risultato_amministrazione_2018!E4</f>
        <v>178848240.01999998</v>
      </c>
      <c r="F27" s="1">
        <f>F4-Risultato_amministrazione_2018!F4</f>
        <v>993184.99000000954</v>
      </c>
      <c r="G27" s="1">
        <f>G4-Risultato_amministrazione_2018!G4</f>
        <v>-1112354930.3800001</v>
      </c>
      <c r="H27" s="1">
        <f>H4-Risultato_amministrazione_2018!H4</f>
        <v>-380434292.24000001</v>
      </c>
      <c r="I27" s="1">
        <f>I4-Risultato_amministrazione_2018!I4</f>
        <v>-130006271.5</v>
      </c>
      <c r="J27" s="1">
        <f>J4-Risultato_amministrazione_2018!J4</f>
        <v>-542472538.30999947</v>
      </c>
      <c r="K27" s="1">
        <f>K4-Risultato_amministrazione_2018!K4</f>
        <v>-737826934.11999989</v>
      </c>
      <c r="L27" s="1">
        <f>L4-Risultato_amministrazione_2018!L4</f>
        <v>109221829.18000007</v>
      </c>
      <c r="M27" s="1">
        <f>M4-Risultato_amministrazione_2018!M4</f>
        <v>-190989158.5</v>
      </c>
      <c r="N27" s="1">
        <f>N4-Risultato_amministrazione_2018!N4</f>
        <v>617845736.39000034</v>
      </c>
      <c r="O27" s="1">
        <f>O4-Risultato_amministrazione_2018!O4</f>
        <v>0</v>
      </c>
      <c r="P27" s="1">
        <f>P4-Risultato_amministrazione_2018!P4</f>
        <v>120275707.41000003</v>
      </c>
      <c r="Q27" s="1">
        <f>Q4-Risultato_amministrazione_2018!Q4</f>
        <v>921183578.39000034</v>
      </c>
      <c r="R27" s="1">
        <f>R4-Risultato_amministrazione_2018!R4</f>
        <v>1083594938.21</v>
      </c>
      <c r="S27" s="1">
        <f>S4-Risultato_amministrazione_2018!S4</f>
        <v>0</v>
      </c>
      <c r="T27" s="1">
        <f>T4-Risultato_amministrazione_2018!T4</f>
        <v>99261780.840000153</v>
      </c>
      <c r="U27" s="1">
        <f>U4-Risultato_amministrazione_2018!U4</f>
        <v>38444976.380000114</v>
      </c>
      <c r="V27" s="1">
        <f>V4-Risultato_amministrazione_2018!V4</f>
        <v>333173372.46000004</v>
      </c>
      <c r="W27" s="1">
        <f>W4-Risultato_amministrazione_2018!W4</f>
        <v>-2659184872.1200409</v>
      </c>
    </row>
    <row r="28" spans="1:23" x14ac:dyDescent="0.3">
      <c r="A28" t="s">
        <v>128</v>
      </c>
      <c r="B28" s="1">
        <f>B9-Risultato_amministrazione_2018!B9</f>
        <v>-4070057.549999997</v>
      </c>
      <c r="C28" s="1">
        <f>C9-Risultato_amministrazione_2018!C9</f>
        <v>7847971.3200000003</v>
      </c>
      <c r="D28" s="1">
        <f>D9-Risultato_amministrazione_2018!D9</f>
        <v>3426185.84</v>
      </c>
      <c r="E28" s="1">
        <f>E9-Risultato_amministrazione_2018!E9</f>
        <v>-17208785.009999998</v>
      </c>
      <c r="F28" s="1">
        <f>F9-Risultato_amministrazione_2018!F9</f>
        <v>-31920.139999999898</v>
      </c>
      <c r="G28" s="1">
        <f>G9-Risultato_amministrazione_2018!G9</f>
        <v>-16872193.060000002</v>
      </c>
      <c r="H28" s="1">
        <f>H9-Risultato_amministrazione_2018!H9</f>
        <v>0</v>
      </c>
      <c r="I28" s="1">
        <f>I9-Risultato_amministrazione_2018!I9</f>
        <v>834470.81000000238</v>
      </c>
      <c r="J28" s="1">
        <f>J9-Risultato_amministrazione_2018!J9</f>
        <v>-11647485.789999999</v>
      </c>
      <c r="K28" s="1">
        <f>K9-Risultato_amministrazione_2018!K9</f>
        <v>42077996.890000008</v>
      </c>
      <c r="L28" s="1">
        <f>L9-Risultato_amministrazione_2018!L9</f>
        <v>-33010.030000000028</v>
      </c>
      <c r="M28" s="1">
        <f>M9-Risultato_amministrazione_2018!M9</f>
        <v>31964060.780000001</v>
      </c>
      <c r="N28" s="1">
        <f>N9-Risultato_amministrazione_2018!N9</f>
        <v>-18767653.899999976</v>
      </c>
      <c r="O28" s="1">
        <f>O9-Risultato_amministrazione_2018!O9</f>
        <v>0</v>
      </c>
      <c r="P28" s="1">
        <f>P9-Risultato_amministrazione_2018!P9</f>
        <v>-148341.26000000024</v>
      </c>
      <c r="Q28" s="1">
        <f>Q9-Risultato_amministrazione_2018!Q9</f>
        <v>0</v>
      </c>
      <c r="R28" s="1">
        <f>R9-Risultato_amministrazione_2018!R9</f>
        <v>-9084582.6299999952</v>
      </c>
      <c r="S28" s="1">
        <f>S9-Risultato_amministrazione_2018!S9</f>
        <v>0</v>
      </c>
      <c r="T28" s="1">
        <f>T9-Risultato_amministrazione_2018!T9</f>
        <v>-26690589.739999995</v>
      </c>
      <c r="U28" s="1">
        <f>U9-Risultato_amministrazione_2018!U9</f>
        <v>23659439.139999926</v>
      </c>
      <c r="V28" s="1">
        <f>V9-Risultato_amministrazione_2018!V9</f>
        <v>-89334649.480000019</v>
      </c>
      <c r="W28" s="1">
        <f>W9-Risultato_amministrazione_2018!W9</f>
        <v>-84079143.809999466</v>
      </c>
    </row>
  </sheetData>
  <conditionalFormatting sqref="W22 O21:O22 S21:S22">
    <cfRule type="cellIs" dxfId="270" priority="63" operator="greaterThan">
      <formula>0</formula>
    </cfRule>
  </conditionalFormatting>
  <conditionalFormatting sqref="W22 O21:O22 S21:S22">
    <cfRule type="cellIs" dxfId="269" priority="61" operator="greaterThan">
      <formula>0</formula>
    </cfRule>
    <cfRule type="cellIs" dxfId="268" priority="62" operator="lessThan">
      <formula>0</formula>
    </cfRule>
  </conditionalFormatting>
  <conditionalFormatting sqref="B22">
    <cfRule type="cellIs" dxfId="267" priority="60" operator="greaterThan">
      <formula>0</formula>
    </cfRule>
  </conditionalFormatting>
  <conditionalFormatting sqref="B22">
    <cfRule type="cellIs" dxfId="266" priority="58" operator="greaterThan">
      <formula>0</formula>
    </cfRule>
    <cfRule type="cellIs" dxfId="265" priority="59" operator="lessThan">
      <formula>0</formula>
    </cfRule>
  </conditionalFormatting>
  <conditionalFormatting sqref="C22">
    <cfRule type="cellIs" dxfId="264" priority="57" operator="greaterThan">
      <formula>0</formula>
    </cfRule>
  </conditionalFormatting>
  <conditionalFormatting sqref="C22">
    <cfRule type="cellIs" dxfId="263" priority="55" operator="greaterThan">
      <formula>0</formula>
    </cfRule>
    <cfRule type="cellIs" dxfId="262" priority="56" operator="lessThan">
      <formula>0</formula>
    </cfRule>
  </conditionalFormatting>
  <conditionalFormatting sqref="D22">
    <cfRule type="cellIs" dxfId="261" priority="54" operator="greaterThan">
      <formula>0</formula>
    </cfRule>
  </conditionalFormatting>
  <conditionalFormatting sqref="D22">
    <cfRule type="cellIs" dxfId="260" priority="52" operator="greaterThan">
      <formula>0</formula>
    </cfRule>
    <cfRule type="cellIs" dxfId="259" priority="53" operator="lessThan">
      <formula>0</formula>
    </cfRule>
  </conditionalFormatting>
  <conditionalFormatting sqref="D22">
    <cfRule type="cellIs" dxfId="258" priority="51" operator="greaterThan">
      <formula>0</formula>
    </cfRule>
  </conditionalFormatting>
  <conditionalFormatting sqref="D22">
    <cfRule type="cellIs" dxfId="257" priority="49" operator="greaterThan">
      <formula>0</formula>
    </cfRule>
    <cfRule type="cellIs" dxfId="256" priority="50" operator="lessThan">
      <formula>0</formula>
    </cfRule>
  </conditionalFormatting>
  <conditionalFormatting sqref="E22">
    <cfRule type="cellIs" dxfId="255" priority="48" operator="greaterThan">
      <formula>0</formula>
    </cfRule>
  </conditionalFormatting>
  <conditionalFormatting sqref="E22">
    <cfRule type="cellIs" dxfId="254" priority="46" operator="greaterThan">
      <formula>0</formula>
    </cfRule>
    <cfRule type="cellIs" dxfId="253" priority="47" operator="lessThan">
      <formula>0</formula>
    </cfRule>
  </conditionalFormatting>
  <conditionalFormatting sqref="F22">
    <cfRule type="cellIs" dxfId="252" priority="45" operator="greaterThan">
      <formula>0</formula>
    </cfRule>
  </conditionalFormatting>
  <conditionalFormatting sqref="F22">
    <cfRule type="cellIs" dxfId="251" priority="43" operator="greaterThan">
      <formula>0</formula>
    </cfRule>
    <cfRule type="cellIs" dxfId="250" priority="44" operator="lessThan">
      <formula>0</formula>
    </cfRule>
  </conditionalFormatting>
  <conditionalFormatting sqref="G22">
    <cfRule type="cellIs" dxfId="249" priority="42" operator="greaterThan">
      <formula>0</formula>
    </cfRule>
  </conditionalFormatting>
  <conditionalFormatting sqref="G22">
    <cfRule type="cellIs" dxfId="248" priority="40" operator="greaterThan">
      <formula>0</formula>
    </cfRule>
    <cfRule type="cellIs" dxfId="247" priority="41" operator="lessThan">
      <formula>0</formula>
    </cfRule>
  </conditionalFormatting>
  <conditionalFormatting sqref="H22">
    <cfRule type="cellIs" dxfId="246" priority="39" operator="greaterThan">
      <formula>0</formula>
    </cfRule>
  </conditionalFormatting>
  <conditionalFormatting sqref="H22">
    <cfRule type="cellIs" dxfId="245" priority="37" operator="greaterThan">
      <formula>0</formula>
    </cfRule>
    <cfRule type="cellIs" dxfId="244" priority="38" operator="lessThan">
      <formula>0</formula>
    </cfRule>
  </conditionalFormatting>
  <conditionalFormatting sqref="I22">
    <cfRule type="cellIs" dxfId="243" priority="36" operator="greaterThan">
      <formula>0</formula>
    </cfRule>
  </conditionalFormatting>
  <conditionalFormatting sqref="I22">
    <cfRule type="cellIs" dxfId="242" priority="34" operator="greaterThan">
      <formula>0</formula>
    </cfRule>
    <cfRule type="cellIs" dxfId="241" priority="35" operator="lessThan">
      <formula>0</formula>
    </cfRule>
  </conditionalFormatting>
  <conditionalFormatting sqref="J22">
    <cfRule type="cellIs" dxfId="240" priority="33" operator="greaterThan">
      <formula>0</formula>
    </cfRule>
  </conditionalFormatting>
  <conditionalFormatting sqref="J22">
    <cfRule type="cellIs" dxfId="239" priority="31" operator="greaterThan">
      <formula>0</formula>
    </cfRule>
    <cfRule type="cellIs" dxfId="238" priority="32" operator="lessThan">
      <formula>0</formula>
    </cfRule>
  </conditionalFormatting>
  <conditionalFormatting sqref="K22">
    <cfRule type="cellIs" dxfId="237" priority="30" operator="greaterThan">
      <formula>0</formula>
    </cfRule>
  </conditionalFormatting>
  <conditionalFormatting sqref="K22">
    <cfRule type="cellIs" dxfId="236" priority="28" operator="greaterThan">
      <formula>0</formula>
    </cfRule>
    <cfRule type="cellIs" dxfId="235" priority="29" operator="lessThan">
      <formula>0</formula>
    </cfRule>
  </conditionalFormatting>
  <conditionalFormatting sqref="L22">
    <cfRule type="cellIs" dxfId="234" priority="27" operator="greaterThan">
      <formula>0</formula>
    </cfRule>
  </conditionalFormatting>
  <conditionalFormatting sqref="L22">
    <cfRule type="cellIs" dxfId="233" priority="25" operator="greaterThan">
      <formula>0</formula>
    </cfRule>
    <cfRule type="cellIs" dxfId="232" priority="26" operator="lessThan">
      <formula>0</formula>
    </cfRule>
  </conditionalFormatting>
  <conditionalFormatting sqref="M22">
    <cfRule type="cellIs" dxfId="231" priority="24" operator="greaterThan">
      <formula>0</formula>
    </cfRule>
  </conditionalFormatting>
  <conditionalFormatting sqref="M22">
    <cfRule type="cellIs" dxfId="230" priority="22" operator="greaterThan">
      <formula>0</formula>
    </cfRule>
    <cfRule type="cellIs" dxfId="229" priority="23" operator="lessThan">
      <formula>0</formula>
    </cfRule>
  </conditionalFormatting>
  <conditionalFormatting sqref="N22">
    <cfRule type="cellIs" dxfId="228" priority="21" operator="greaterThan">
      <formula>0</formula>
    </cfRule>
  </conditionalFormatting>
  <conditionalFormatting sqref="N22">
    <cfRule type="cellIs" dxfId="227" priority="19" operator="greaterThan">
      <formula>0</formula>
    </cfRule>
    <cfRule type="cellIs" dxfId="226" priority="20" operator="lessThan">
      <formula>0</formula>
    </cfRule>
  </conditionalFormatting>
  <conditionalFormatting sqref="Q22">
    <cfRule type="cellIs" dxfId="225" priority="18" operator="greaterThan">
      <formula>0</formula>
    </cfRule>
  </conditionalFormatting>
  <conditionalFormatting sqref="Q22">
    <cfRule type="cellIs" dxfId="224" priority="16" operator="greaterThan">
      <formula>0</formula>
    </cfRule>
    <cfRule type="cellIs" dxfId="223" priority="17" operator="lessThan">
      <formula>0</formula>
    </cfRule>
  </conditionalFormatting>
  <conditionalFormatting sqref="R22">
    <cfRule type="cellIs" dxfId="222" priority="15" operator="greaterThan">
      <formula>0</formula>
    </cfRule>
  </conditionalFormatting>
  <conditionalFormatting sqref="R22">
    <cfRule type="cellIs" dxfId="221" priority="13" operator="greaterThan">
      <formula>0</formula>
    </cfRule>
    <cfRule type="cellIs" dxfId="220" priority="14" operator="lessThan">
      <formula>0</formula>
    </cfRule>
  </conditionalFormatting>
  <conditionalFormatting sqref="T22">
    <cfRule type="cellIs" dxfId="219" priority="12" operator="greaterThan">
      <formula>0</formula>
    </cfRule>
  </conditionalFormatting>
  <conditionalFormatting sqref="T22">
    <cfRule type="cellIs" dxfId="218" priority="10" operator="greaterThan">
      <formula>0</formula>
    </cfRule>
    <cfRule type="cellIs" dxfId="217" priority="11" operator="lessThan">
      <formula>0</formula>
    </cfRule>
  </conditionalFormatting>
  <conditionalFormatting sqref="U22">
    <cfRule type="cellIs" dxfId="216" priority="9" operator="greaterThan">
      <formula>0</formula>
    </cfRule>
  </conditionalFormatting>
  <conditionalFormatting sqref="U22">
    <cfRule type="cellIs" dxfId="215" priority="7" operator="greaterThan">
      <formula>0</formula>
    </cfRule>
    <cfRule type="cellIs" dxfId="214" priority="8" operator="lessThan">
      <formula>0</formula>
    </cfRule>
  </conditionalFormatting>
  <conditionalFormatting sqref="V22">
    <cfRule type="cellIs" dxfId="213" priority="6" operator="greaterThan">
      <formula>0</formula>
    </cfRule>
  </conditionalFormatting>
  <conditionalFormatting sqref="V22">
    <cfRule type="cellIs" dxfId="212" priority="4" operator="greaterThan">
      <formula>0</formula>
    </cfRule>
    <cfRule type="cellIs" dxfId="211" priority="5" operator="lessThan">
      <formula>0</formula>
    </cfRule>
  </conditionalFormatting>
  <conditionalFormatting sqref="P22">
    <cfRule type="cellIs" dxfId="210" priority="3" operator="greaterThan">
      <formula>0</formula>
    </cfRule>
  </conditionalFormatting>
  <conditionalFormatting sqref="P22">
    <cfRule type="cellIs" dxfId="209" priority="1" operator="greaterThan">
      <formula>0</formula>
    </cfRule>
    <cfRule type="cellIs" dxfId="20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E16" sqref="E16"/>
    </sheetView>
  </sheetViews>
  <sheetFormatPr defaultRowHeight="14.4" x14ac:dyDescent="0.3"/>
  <cols>
    <col min="1" max="1" width="36.44140625" bestFit="1" customWidth="1"/>
    <col min="2" max="6" width="14.5546875" bestFit="1" customWidth="1"/>
    <col min="7" max="7" width="8.109375" customWidth="1"/>
  </cols>
  <sheetData>
    <row r="1" spans="1:7" ht="28.8" x14ac:dyDescent="0.3">
      <c r="A1" s="13"/>
      <c r="B1" s="29">
        <v>2016</v>
      </c>
      <c r="C1" s="29">
        <v>2017</v>
      </c>
      <c r="D1" s="29">
        <v>2018</v>
      </c>
      <c r="E1" s="29">
        <v>2019</v>
      </c>
      <c r="F1" s="30" t="s">
        <v>124</v>
      </c>
      <c r="G1" s="30" t="s">
        <v>125</v>
      </c>
    </row>
    <row r="2" spans="1:7" x14ac:dyDescent="0.3">
      <c r="A2" t="s">
        <v>5</v>
      </c>
      <c r="B2" s="1">
        <f>Risultato_amministrazione_2016!W2</f>
        <v>14553752061.092625</v>
      </c>
      <c r="C2" s="1">
        <f>Risultato_amministrazione_2017!W2</f>
        <v>18548890848.192627</v>
      </c>
      <c r="D2" s="1">
        <f>Risultato_amministrazione_2018!W2</f>
        <v>20386522577.482624</v>
      </c>
      <c r="E2" s="1">
        <f>Risultato_amministrazione_2019!W2</f>
        <v>26741670311.472626</v>
      </c>
      <c r="F2" s="1">
        <f t="shared" ref="F2:F23" si="0">E2-D2</f>
        <v>6355147733.9900017</v>
      </c>
      <c r="G2" s="27">
        <f t="shared" ref="G2:G23" si="1">E2/D2*100-100</f>
        <v>31.17327984621275</v>
      </c>
    </row>
    <row r="3" spans="1:7" x14ac:dyDescent="0.3">
      <c r="A3" t="s">
        <v>6</v>
      </c>
      <c r="B3" s="1">
        <f>Risultato_amministrazione_2016!W3</f>
        <v>78398552767.440002</v>
      </c>
      <c r="C3" s="1">
        <f>Risultato_amministrazione_2017!W3</f>
        <v>82078558567.240005</v>
      </c>
      <c r="D3" s="1">
        <f>Risultato_amministrazione_2018!W3</f>
        <v>80746993127.320007</v>
      </c>
      <c r="E3" s="1">
        <f>Risultato_amministrazione_2019!W3</f>
        <v>75567518422.5</v>
      </c>
      <c r="F3" s="1">
        <f t="shared" si="0"/>
        <v>-5179474704.8200073</v>
      </c>
      <c r="G3" s="27">
        <f t="shared" si="1"/>
        <v>-6.4144490144086603</v>
      </c>
    </row>
    <row r="4" spans="1:7" x14ac:dyDescent="0.3">
      <c r="A4" t="s">
        <v>7</v>
      </c>
      <c r="B4" s="1">
        <f>Risultato_amministrazione_2016!W4</f>
        <v>78916495414.320007</v>
      </c>
      <c r="C4" s="1">
        <f>Risultato_amministrazione_2017!W4</f>
        <v>84570434847.160004</v>
      </c>
      <c r="D4" s="1">
        <f>Risultato_amministrazione_2018!W4</f>
        <v>81051546017.160019</v>
      </c>
      <c r="E4" s="1">
        <f>Risultato_amministrazione_2019!W4</f>
        <v>78392361145.039978</v>
      </c>
      <c r="F4" s="1">
        <f t="shared" si="0"/>
        <v>-2659184872.1200409</v>
      </c>
      <c r="G4" s="27">
        <f t="shared" si="1"/>
        <v>-3.2808564460411844</v>
      </c>
    </row>
    <row r="5" spans="1:7" x14ac:dyDescent="0.3">
      <c r="A5" t="s">
        <v>8</v>
      </c>
      <c r="B5" s="1">
        <f>Risultato_amministrazione_2016!W5</f>
        <v>2264241510.0200005</v>
      </c>
      <c r="C5" s="1">
        <f>Risultato_amministrazione_2017!W5</f>
        <v>1992128657.6200001</v>
      </c>
      <c r="D5" s="1">
        <f>Risultato_amministrazione_2018!W5</f>
        <v>2183568049.0300002</v>
      </c>
      <c r="E5" s="1">
        <f>Risultato_amministrazione_2019!W5</f>
        <v>2269287903.3499999</v>
      </c>
      <c r="F5" s="1">
        <f t="shared" si="0"/>
        <v>85719854.319999695</v>
      </c>
      <c r="G5" s="27">
        <f t="shared" si="1"/>
        <v>3.9256781742194278</v>
      </c>
    </row>
    <row r="6" spans="1:7" x14ac:dyDescent="0.3">
      <c r="A6" t="s">
        <v>9</v>
      </c>
      <c r="B6" s="1">
        <f>Risultato_amministrazione_2016!W6</f>
        <v>9522963054.8700008</v>
      </c>
      <c r="C6" s="1">
        <f>Risultato_amministrazione_2017!W6</f>
        <v>10412675850.01</v>
      </c>
      <c r="D6" s="1">
        <f>Risultato_amministrazione_2018!W6</f>
        <v>9632251676.6799984</v>
      </c>
      <c r="E6" s="1">
        <f>Risultato_amministrazione_2019!W6</f>
        <v>9863528825.8799992</v>
      </c>
      <c r="F6" s="1">
        <f t="shared" si="0"/>
        <v>231277149.20000076</v>
      </c>
      <c r="G6" s="27">
        <f t="shared" si="1"/>
        <v>2.4010704554152227</v>
      </c>
    </row>
    <row r="7" spans="1:7" x14ac:dyDescent="0.3">
      <c r="A7" s="3" t="s">
        <v>0</v>
      </c>
      <c r="B7" s="2">
        <f>Risultato_amministrazione_2016!W7</f>
        <v>2248604849.3226261</v>
      </c>
      <c r="C7" s="2">
        <f>Risultato_amministrazione_2017!W7</f>
        <v>3652210060.6426296</v>
      </c>
      <c r="D7" s="2">
        <f>Risultato_amministrazione_2018!W7</f>
        <v>8266149961.9326296</v>
      </c>
      <c r="E7" s="2">
        <f>Risultato_amministrazione_2019!W7</f>
        <v>11784010859.702631</v>
      </c>
      <c r="F7" s="2">
        <f t="shared" si="0"/>
        <v>3517860897.7700014</v>
      </c>
      <c r="G7" s="27">
        <f t="shared" si="1"/>
        <v>42.557428959920827</v>
      </c>
    </row>
    <row r="8" spans="1:7" x14ac:dyDescent="0.3">
      <c r="A8" t="s">
        <v>10</v>
      </c>
      <c r="B8" s="1">
        <f>Risultato_amministrazione_2016!W8</f>
        <v>2508452557.9299998</v>
      </c>
      <c r="C8" s="1">
        <f>Risultato_amministrazione_2017!W8</f>
        <v>3187868000.9745259</v>
      </c>
      <c r="D8" s="1">
        <f>Risultato_amministrazione_2018!W8</f>
        <v>3935156699.4499998</v>
      </c>
      <c r="E8" s="1">
        <f>Risultato_amministrazione_2019!W8</f>
        <v>4187004304.02</v>
      </c>
      <c r="F8" s="1">
        <f t="shared" si="0"/>
        <v>251847604.57000017</v>
      </c>
      <c r="G8" s="27">
        <f t="shared" si="1"/>
        <v>6.3999383964862062</v>
      </c>
    </row>
    <row r="9" spans="1:7" x14ac:dyDescent="0.3">
      <c r="A9" t="s">
        <v>112</v>
      </c>
      <c r="B9" s="1">
        <f>Risultato_amministrazione_2016!W9</f>
        <v>2952197024.5800004</v>
      </c>
      <c r="C9" s="1">
        <f>Risultato_amministrazione_2017!W9</f>
        <v>3105831508.829</v>
      </c>
      <c r="D9" s="1">
        <f>Risultato_amministrazione_2018!W9</f>
        <v>3357780572.5</v>
      </c>
      <c r="E9" s="1">
        <f>Risultato_amministrazione_2019!W9</f>
        <v>3273701428.6900005</v>
      </c>
      <c r="F9" s="1">
        <f t="shared" si="0"/>
        <v>-84079143.809999466</v>
      </c>
      <c r="G9" s="27">
        <f t="shared" si="1"/>
        <v>-2.5040094787194249</v>
      </c>
    </row>
    <row r="10" spans="1:7" x14ac:dyDescent="0.3">
      <c r="A10" t="s">
        <v>11</v>
      </c>
      <c r="B10" s="1">
        <f>Risultato_amministrazione_2016!W10</f>
        <v>19199380754.440002</v>
      </c>
      <c r="C10" s="1">
        <f>Risultato_amministrazione_2017!W10</f>
        <v>21138437776.720005</v>
      </c>
      <c r="D10" s="1">
        <f>Risultato_amministrazione_2018!W10</f>
        <v>20655845163.549995</v>
      </c>
      <c r="E10" s="1">
        <f>Risultato_amministrazione_2019!W10</f>
        <v>20293907655.099998</v>
      </c>
      <c r="F10" s="1">
        <f t="shared" si="0"/>
        <v>-361937508.44999695</v>
      </c>
      <c r="G10" s="27">
        <f t="shared" si="1"/>
        <v>-1.7522280283582177</v>
      </c>
    </row>
    <row r="11" spans="1:7" x14ac:dyDescent="0.3">
      <c r="A11" t="s">
        <v>12</v>
      </c>
      <c r="B11" s="1">
        <f>Risultato_amministrazione_2016!W11</f>
        <v>159146449.35999998</v>
      </c>
      <c r="C11" s="1">
        <f>Risultato_amministrazione_2017!W11</f>
        <v>179581852.13999999</v>
      </c>
      <c r="D11" s="1">
        <f>Risultato_amministrazione_2018!W11</f>
        <v>195156982.12</v>
      </c>
      <c r="E11" s="1">
        <f>Risultato_amministrazione_2019!W11</f>
        <v>257639383.84</v>
      </c>
      <c r="F11" s="1">
        <f t="shared" si="0"/>
        <v>62482401.719999999</v>
      </c>
      <c r="G11" s="27">
        <f t="shared" si="1"/>
        <v>32.016482854597626</v>
      </c>
    </row>
    <row r="12" spans="1:7" x14ac:dyDescent="0.3">
      <c r="A12" t="s">
        <v>13</v>
      </c>
      <c r="B12" s="1">
        <f>Risultato_amministrazione_2016!W12</f>
        <v>920756384.49000001</v>
      </c>
      <c r="C12" s="1">
        <f>Risultato_amministrazione_2017!W12</f>
        <v>893012510.90979993</v>
      </c>
      <c r="D12" s="1">
        <f>Risultato_amministrazione_2018!W12</f>
        <v>816350647.78000009</v>
      </c>
      <c r="E12" s="1">
        <f>Risultato_amministrazione_2019!W12</f>
        <v>1024183923.14</v>
      </c>
      <c r="F12" s="1">
        <f t="shared" si="0"/>
        <v>207833275.3599999</v>
      </c>
      <c r="G12" s="27">
        <f t="shared" si="1"/>
        <v>25.458824088054044</v>
      </c>
    </row>
    <row r="13" spans="1:7" x14ac:dyDescent="0.3">
      <c r="A13" t="s">
        <v>14</v>
      </c>
      <c r="B13" s="1">
        <f>Risultato_amministrazione_2016!W13</f>
        <v>1686740657.6300001</v>
      </c>
      <c r="C13" s="1">
        <f>Risultato_amministrazione_2017!W13</f>
        <v>1984105684.3099999</v>
      </c>
      <c r="D13" s="1">
        <f>Risultato_amministrazione_2018!W13</f>
        <v>1787052500.03</v>
      </c>
      <c r="E13" s="1">
        <f>Risultato_amministrazione_2019!W13</f>
        <v>1981679256.8199997</v>
      </c>
      <c r="F13" s="1">
        <f t="shared" si="0"/>
        <v>194626756.78999972</v>
      </c>
      <c r="G13" s="27">
        <f t="shared" si="1"/>
        <v>10.890936712084994</v>
      </c>
    </row>
    <row r="14" spans="1:7" x14ac:dyDescent="0.3">
      <c r="A14" s="3" t="s">
        <v>1</v>
      </c>
      <c r="B14" s="2">
        <f>Risultato_amministrazione_2016!W14</f>
        <v>27426673828.43</v>
      </c>
      <c r="C14" s="2">
        <f>Risultato_amministrazione_2017!W14</f>
        <v>30488837333.883327</v>
      </c>
      <c r="D14" s="2">
        <f>Risultato_amministrazione_2018!W14</f>
        <v>30747342565.429996</v>
      </c>
      <c r="E14" s="2">
        <f>Risultato_amministrazione_2019!W14</f>
        <v>31018115951.610001</v>
      </c>
      <c r="F14" s="2">
        <f t="shared" si="0"/>
        <v>270773386.18000412</v>
      </c>
      <c r="G14" s="27">
        <f t="shared" si="1"/>
        <v>0.88063996296202163</v>
      </c>
    </row>
    <row r="15" spans="1:7" x14ac:dyDescent="0.3">
      <c r="A15" t="s">
        <v>16</v>
      </c>
      <c r="B15" s="1">
        <f>Risultato_amministrazione_2016!W15</f>
        <v>1526552648.3500001</v>
      </c>
      <c r="C15" s="1">
        <f>Risultato_amministrazione_2017!W15</f>
        <v>1237441051.908</v>
      </c>
      <c r="D15" s="1">
        <f>Risultato_amministrazione_2018!W15</f>
        <v>1726391165.6800001</v>
      </c>
      <c r="E15" s="1">
        <f>Risultato_amministrazione_2019!W15</f>
        <v>1193524284.29</v>
      </c>
      <c r="F15" s="1">
        <f t="shared" si="0"/>
        <v>-532866881.3900001</v>
      </c>
      <c r="G15" s="27">
        <f t="shared" si="1"/>
        <v>-30.86594115998686</v>
      </c>
    </row>
    <row r="16" spans="1:7" x14ac:dyDescent="0.3">
      <c r="A16" t="s">
        <v>15</v>
      </c>
      <c r="B16" s="1">
        <f>Risultato_amministrazione_2016!W16</f>
        <v>10217899905.52</v>
      </c>
      <c r="C16" s="1">
        <f>Risultato_amministrazione_2017!W16</f>
        <v>10057656833.039999</v>
      </c>
      <c r="D16" s="1">
        <f>Risultato_amministrazione_2018!W16</f>
        <v>9563884568.0699997</v>
      </c>
      <c r="E16" s="1">
        <f>Risultato_amministrazione_2019!W16</f>
        <v>9678217555.5</v>
      </c>
      <c r="F16" s="1">
        <f t="shared" si="0"/>
        <v>114332987.43000031</v>
      </c>
      <c r="G16" s="27">
        <f t="shared" si="1"/>
        <v>1.1954659910023793</v>
      </c>
    </row>
    <row r="17" spans="1:7" x14ac:dyDescent="0.3">
      <c r="A17" t="s">
        <v>17</v>
      </c>
      <c r="B17" s="1">
        <f>Risultato_amministrazione_2016!W17</f>
        <v>8010.73</v>
      </c>
      <c r="C17" s="1">
        <f>Risultato_amministrazione_2017!W17</f>
        <v>876895.59</v>
      </c>
      <c r="D17" s="1">
        <f>Risultato_amministrazione_2018!W17</f>
        <v>22911240.52</v>
      </c>
      <c r="E17" s="1">
        <f>Risultato_amministrazione_2019!W17</f>
        <v>28519602.910000004</v>
      </c>
      <c r="F17" s="1">
        <f t="shared" si="0"/>
        <v>5608362.3900000043</v>
      </c>
      <c r="G17" s="27">
        <f t="shared" si="1"/>
        <v>24.478650054344627</v>
      </c>
    </row>
    <row r="18" spans="1:7" x14ac:dyDescent="0.3">
      <c r="A18" t="s">
        <v>18</v>
      </c>
      <c r="B18" s="1">
        <f>Risultato_amministrazione_2016!W18</f>
        <v>3688429398.96</v>
      </c>
      <c r="C18" s="1">
        <f>Risultato_amministrazione_2017!W18</f>
        <v>905191637.66000009</v>
      </c>
      <c r="D18" s="1">
        <f>Risultato_amministrazione_2018!W18</f>
        <v>874262229.54999995</v>
      </c>
      <c r="E18" s="1">
        <f>Risultato_amministrazione_2019!W18</f>
        <v>1330380187.05</v>
      </c>
      <c r="F18" s="1">
        <f t="shared" si="0"/>
        <v>456117957.5</v>
      </c>
      <c r="G18" s="27">
        <f t="shared" si="1"/>
        <v>52.171756034201877</v>
      </c>
    </row>
    <row r="19" spans="1:7" x14ac:dyDescent="0.3">
      <c r="A19" t="s">
        <v>19</v>
      </c>
      <c r="B19" s="1">
        <f>Risultato_amministrazione_2016!W19</f>
        <v>1460232699.1100001</v>
      </c>
      <c r="C19" s="1">
        <f>Risultato_amministrazione_2017!W19</f>
        <v>378849467.19</v>
      </c>
      <c r="D19" s="1">
        <f>Risultato_amministrazione_2018!W19</f>
        <v>605459088.93000007</v>
      </c>
      <c r="E19" s="1">
        <f>Risultato_amministrazione_2019!W19</f>
        <v>277109817.50999999</v>
      </c>
      <c r="F19" s="1">
        <f t="shared" si="0"/>
        <v>-328349271.42000008</v>
      </c>
      <c r="G19" s="27">
        <f t="shared" si="1"/>
        <v>-54.231454680162884</v>
      </c>
    </row>
    <row r="20" spans="1:7" x14ac:dyDescent="0.3">
      <c r="A20" s="3" t="s">
        <v>2</v>
      </c>
      <c r="B20" s="2">
        <f>Risultato_amministrazione_2016!W20</f>
        <v>16893122662.669998</v>
      </c>
      <c r="C20" s="2">
        <f>Risultato_amministrazione_2017!W20</f>
        <v>12580015885.388</v>
      </c>
      <c r="D20" s="2">
        <f>Risultato_amministrazione_2018!W20</f>
        <v>12792908292.75</v>
      </c>
      <c r="E20" s="2">
        <f>Risultato_amministrazione_2019!W20</f>
        <v>12507751447.26</v>
      </c>
      <c r="F20" s="2">
        <f t="shared" si="0"/>
        <v>-285156845.48999977</v>
      </c>
      <c r="G20" s="27">
        <f t="shared" si="1"/>
        <v>-2.229022822367952</v>
      </c>
    </row>
    <row r="21" spans="1:7" x14ac:dyDescent="0.3">
      <c r="A21" s="3" t="s">
        <v>3</v>
      </c>
      <c r="B21" s="2">
        <f>Risultato_amministrazione_2016!W21</f>
        <v>45070019.770000003</v>
      </c>
      <c r="C21" s="2">
        <f>Risultato_amministrazione_2017!W21</f>
        <v>49971400.18</v>
      </c>
      <c r="D21" s="2">
        <f>Risultato_amministrazione_2018!W21</f>
        <v>32000592.57</v>
      </c>
      <c r="E21" s="2">
        <f>Risultato_amministrazione_2019!W21</f>
        <v>37797925.719999999</v>
      </c>
      <c r="F21" s="2">
        <f t="shared" si="0"/>
        <v>5797333.1499999985</v>
      </c>
      <c r="G21" s="27">
        <f t="shared" si="1"/>
        <v>18.116330618936402</v>
      </c>
    </row>
    <row r="22" spans="1:7" x14ac:dyDescent="0.3">
      <c r="A22" s="19" t="s">
        <v>4</v>
      </c>
      <c r="B22" s="12">
        <f>Risultato_amministrazione_2016!W22</f>
        <v>-42116261661.547379</v>
      </c>
      <c r="C22" s="12">
        <f>Risultato_amministrazione_2017!W22</f>
        <v>-39466614558.808693</v>
      </c>
      <c r="D22" s="12">
        <f>Risultato_amministrazione_2018!W22</f>
        <v>-35306101488.817375</v>
      </c>
      <c r="E22" s="12">
        <f>Risultato_amministrazione_2019!W22</f>
        <v>-31779654464.887367</v>
      </c>
      <c r="F22" s="12">
        <f t="shared" si="0"/>
        <v>3526447023.9300079</v>
      </c>
      <c r="G22" s="28">
        <f t="shared" si="1"/>
        <v>-9.9882084830208555</v>
      </c>
    </row>
    <row r="23" spans="1:7" x14ac:dyDescent="0.3">
      <c r="A23" t="s">
        <v>84</v>
      </c>
      <c r="B23" s="1">
        <f>Risultato_amministrazione_2016!W23</f>
        <v>-3405671979.2999997</v>
      </c>
      <c r="C23" s="1">
        <f>Risultato_amministrazione_2017!W23</f>
        <v>-2670401581.3900003</v>
      </c>
      <c r="D23" s="1">
        <f>Risultato_amministrazione_2018!W23</f>
        <v>-2262641553.1900005</v>
      </c>
      <c r="E23" s="1">
        <f>Risultato_amministrazione_2019!W23</f>
        <v>-2265820688.0999999</v>
      </c>
      <c r="F23" s="1">
        <f t="shared" si="0"/>
        <v>-3179134.9099993706</v>
      </c>
      <c r="G23" s="27">
        <f t="shared" si="1"/>
        <v>0.1405054594492583</v>
      </c>
    </row>
    <row r="24" spans="1:7" x14ac:dyDescent="0.3">
      <c r="A24" t="s">
        <v>123</v>
      </c>
      <c r="B24" s="26">
        <f t="shared" ref="B24" si="2">B8/B3*100</f>
        <v>3.1996158977207481</v>
      </c>
      <c r="C24" s="26">
        <f t="shared" ref="C24:D24" si="3">C8/C3*100</f>
        <v>3.8839229838118756</v>
      </c>
      <c r="D24" s="26">
        <f t="shared" si="3"/>
        <v>4.8734405419222675</v>
      </c>
      <c r="E24" s="26">
        <f t="shared" ref="E24" si="4">E8/E3*100</f>
        <v>5.5407460658034955</v>
      </c>
    </row>
    <row r="52" spans="1:7" x14ac:dyDescent="0.3">
      <c r="A52" t="s">
        <v>14</v>
      </c>
      <c r="B52" s="1">
        <f>SUM(B11:B13)</f>
        <v>2766643491.48</v>
      </c>
      <c r="C52" s="1">
        <f t="shared" ref="C52:D52" si="5">SUM(C11:C13)</f>
        <v>3056700047.3597999</v>
      </c>
      <c r="D52" s="1">
        <f t="shared" si="5"/>
        <v>2798560129.9300003</v>
      </c>
      <c r="E52" s="1">
        <f t="shared" ref="E52" si="6">SUM(E11:E13)</f>
        <v>3263502563.7999997</v>
      </c>
      <c r="F52" s="1">
        <f>E52-D52</f>
        <v>464942433.86999941</v>
      </c>
      <c r="G52" s="27">
        <f>E52/D52*100-100</f>
        <v>16.613630305725422</v>
      </c>
    </row>
  </sheetData>
  <conditionalFormatting sqref="D22">
    <cfRule type="cellIs" dxfId="207" priority="60" operator="greaterThan">
      <formula>0</formula>
    </cfRule>
  </conditionalFormatting>
  <conditionalFormatting sqref="D22">
    <cfRule type="cellIs" dxfId="206" priority="58" operator="greaterThan">
      <formula>0</formula>
    </cfRule>
    <cfRule type="cellIs" dxfId="205" priority="59" operator="lessThan">
      <formula>0</formula>
    </cfRule>
  </conditionalFormatting>
  <conditionalFormatting sqref="C22">
    <cfRule type="cellIs" dxfId="204" priority="9" operator="greaterThan">
      <formula>0</formula>
    </cfRule>
  </conditionalFormatting>
  <conditionalFormatting sqref="C22">
    <cfRule type="cellIs" dxfId="203" priority="7" operator="greaterThan">
      <formula>0</formula>
    </cfRule>
    <cfRule type="cellIs" dxfId="202" priority="8" operator="lessThan">
      <formula>0</formula>
    </cfRule>
  </conditionalFormatting>
  <conditionalFormatting sqref="B22">
    <cfRule type="cellIs" dxfId="201" priority="6" operator="greaterThan">
      <formula>0</formula>
    </cfRule>
  </conditionalFormatting>
  <conditionalFormatting sqref="B22">
    <cfRule type="cellIs" dxfId="200" priority="4" operator="greaterThan">
      <formula>0</formula>
    </cfRule>
    <cfRule type="cellIs" dxfId="199" priority="5" operator="lessThan">
      <formula>0</formula>
    </cfRule>
  </conditionalFormatting>
  <conditionalFormatting sqref="E22">
    <cfRule type="cellIs" dxfId="198" priority="3" operator="greaterThan">
      <formula>0</formula>
    </cfRule>
  </conditionalFormatting>
  <conditionalFormatting sqref="E22">
    <cfRule type="cellIs" dxfId="197" priority="1" operator="greaterThan">
      <formula>0</formula>
    </cfRule>
    <cfRule type="cellIs" dxfId="19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F1" sqref="F1:G1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3.88671875" bestFit="1" customWidth="1"/>
    <col min="4" max="4" width="11.109375" bestFit="1" customWidth="1"/>
    <col min="5" max="5" width="13.88671875" bestFit="1" customWidth="1"/>
    <col min="6" max="7" width="11.109375" bestFit="1" customWidth="1"/>
    <col min="8" max="8" width="13.88671875" bestFit="1" customWidth="1"/>
    <col min="9" max="9" width="11.109375" bestFit="1" customWidth="1"/>
    <col min="10" max="10" width="12.6640625" bestFit="1" customWidth="1"/>
    <col min="11" max="11" width="13.88671875" bestFit="1" customWidth="1"/>
    <col min="12" max="14" width="12.6640625" bestFit="1" customWidth="1"/>
    <col min="15" max="15" width="13.88671875" bestFit="1" customWidth="1"/>
    <col min="16" max="16" width="11.109375" bestFit="1" customWidth="1"/>
    <col min="17" max="17" width="12.6640625" bestFit="1" customWidth="1"/>
    <col min="18" max="19" width="13.88671875" bestFit="1" customWidth="1"/>
    <col min="20" max="20" width="11.109375" bestFit="1" customWidth="1"/>
    <col min="21" max="21" width="12.6640625" bestFit="1" customWidth="1"/>
    <col min="22" max="22" width="13.88671875" bestFit="1" customWidth="1"/>
    <col min="23" max="23" width="12.6640625" bestFit="1" customWidth="1"/>
    <col min="24" max="24" width="14.88671875" bestFit="1" customWidth="1"/>
  </cols>
  <sheetData>
    <row r="1" spans="1:24" x14ac:dyDescent="0.3">
      <c r="C1" s="38" t="s">
        <v>93</v>
      </c>
      <c r="D1" s="38" t="s">
        <v>94</v>
      </c>
      <c r="E1" s="38" t="s">
        <v>95</v>
      </c>
      <c r="F1" s="38" t="s">
        <v>119</v>
      </c>
      <c r="G1" s="38" t="s">
        <v>120</v>
      </c>
      <c r="H1" s="38" t="s">
        <v>96</v>
      </c>
      <c r="I1" s="38" t="s">
        <v>97</v>
      </c>
      <c r="J1" s="38" t="s">
        <v>98</v>
      </c>
      <c r="K1" s="38" t="s">
        <v>99</v>
      </c>
      <c r="L1" s="38" t="s">
        <v>100</v>
      </c>
      <c r="M1" s="38" t="s">
        <v>101</v>
      </c>
      <c r="N1" s="38" t="s">
        <v>102</v>
      </c>
      <c r="O1" s="38" t="s">
        <v>103</v>
      </c>
      <c r="P1" s="38" t="s">
        <v>109</v>
      </c>
      <c r="Q1" s="38" t="s">
        <v>110</v>
      </c>
      <c r="R1" s="38" t="s">
        <v>104</v>
      </c>
      <c r="S1" s="38" t="s">
        <v>105</v>
      </c>
      <c r="T1" s="38" t="s">
        <v>111</v>
      </c>
      <c r="U1" s="38" t="s">
        <v>106</v>
      </c>
      <c r="V1" s="38" t="s">
        <v>107</v>
      </c>
      <c r="W1" s="38" t="s">
        <v>108</v>
      </c>
      <c r="X1" s="38" t="s">
        <v>83</v>
      </c>
    </row>
    <row r="2" spans="1:24" x14ac:dyDescent="0.3">
      <c r="A2" t="s">
        <v>42</v>
      </c>
      <c r="B2" s="6" t="s">
        <v>66</v>
      </c>
      <c r="C2" s="1">
        <v>9516287783.0699997</v>
      </c>
      <c r="D2" s="1">
        <v>0</v>
      </c>
      <c r="E2" s="1">
        <v>20354807099</v>
      </c>
      <c r="F2" s="1">
        <v>0</v>
      </c>
      <c r="G2" s="1">
        <v>0</v>
      </c>
      <c r="H2" s="1">
        <v>9291631937.0799999</v>
      </c>
      <c r="I2" s="1">
        <v>0</v>
      </c>
      <c r="J2" s="1">
        <v>3370842026.4000001</v>
      </c>
      <c r="K2" s="1">
        <v>9766841308.1700001</v>
      </c>
      <c r="L2" s="1">
        <v>8091923182.7600002</v>
      </c>
      <c r="M2" s="1">
        <v>1758474061.76</v>
      </c>
      <c r="N2" s="1">
        <v>3256934204.9899998</v>
      </c>
      <c r="O2" s="1">
        <v>13660943882.700001</v>
      </c>
      <c r="P2" s="1">
        <v>0</v>
      </c>
      <c r="Q2" s="1">
        <v>703641667.25999999</v>
      </c>
      <c r="R2" s="1">
        <v>7357030355.3000002</v>
      </c>
      <c r="S2" s="1">
        <v>5948025773.0500002</v>
      </c>
      <c r="T2" s="1">
        <v>0</v>
      </c>
      <c r="U2" s="1">
        <v>4554198543.6499996</v>
      </c>
      <c r="V2" s="1">
        <v>11290718973</v>
      </c>
      <c r="W2" s="1">
        <v>6973199419</v>
      </c>
      <c r="X2" s="1">
        <f t="shared" ref="X2:X28" si="0">SUM(C2:W2)</f>
        <v>115895500217.19</v>
      </c>
    </row>
    <row r="3" spans="1:24" x14ac:dyDescent="0.3">
      <c r="A3" t="s">
        <v>43</v>
      </c>
      <c r="B3" s="6" t="s">
        <v>66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432868526.31</v>
      </c>
      <c r="M3" s="1">
        <v>199717452</v>
      </c>
      <c r="N3" s="1">
        <v>0</v>
      </c>
      <c r="O3" s="1">
        <v>0</v>
      </c>
      <c r="P3" s="1">
        <v>0</v>
      </c>
      <c r="Q3" s="1"/>
      <c r="R3" s="1">
        <v>4547006360.0500002</v>
      </c>
      <c r="S3" s="1">
        <v>383727476.01999998</v>
      </c>
      <c r="T3" s="1">
        <v>0</v>
      </c>
      <c r="U3" s="1">
        <v>0</v>
      </c>
      <c r="V3" s="1">
        <v>0</v>
      </c>
      <c r="W3" s="1">
        <v>0</v>
      </c>
      <c r="X3" s="1">
        <f t="shared" si="0"/>
        <v>5563319814.3800011</v>
      </c>
    </row>
    <row r="4" spans="1:24" x14ac:dyDescent="0.3">
      <c r="A4" t="s">
        <v>44</v>
      </c>
      <c r="B4" s="6" t="s">
        <v>66</v>
      </c>
      <c r="C4" s="1">
        <v>867690402.26999998</v>
      </c>
      <c r="D4" s="1">
        <v>0</v>
      </c>
      <c r="E4" s="1">
        <v>1360208546</v>
      </c>
      <c r="F4" s="1">
        <v>0</v>
      </c>
      <c r="G4" s="1">
        <v>0</v>
      </c>
      <c r="H4" s="1">
        <v>1818895416.1600001</v>
      </c>
      <c r="I4" s="1">
        <v>0</v>
      </c>
      <c r="J4" s="1">
        <v>779895015.99000001</v>
      </c>
      <c r="K4" s="1">
        <v>650161763.92999995</v>
      </c>
      <c r="L4" s="1">
        <v>852307740.77999997</v>
      </c>
      <c r="M4" s="1">
        <v>251286055.19999999</v>
      </c>
      <c r="N4" s="1">
        <v>236444409.94</v>
      </c>
      <c r="O4" s="1">
        <v>1162536387.96</v>
      </c>
      <c r="P4" s="1">
        <v>0</v>
      </c>
      <c r="Q4" s="1">
        <v>378210448.45999998</v>
      </c>
      <c r="R4" s="1">
        <v>4058748671.1199999</v>
      </c>
      <c r="S4" s="1">
        <v>3346625052.4299998</v>
      </c>
      <c r="T4" s="1">
        <v>0</v>
      </c>
      <c r="U4" s="1">
        <v>1167953077.75</v>
      </c>
      <c r="V4" s="1">
        <v>5610067146</v>
      </c>
      <c r="W4" s="1">
        <v>1128272469</v>
      </c>
      <c r="X4" s="1">
        <f t="shared" si="0"/>
        <v>23669302602.989998</v>
      </c>
    </row>
    <row r="5" spans="1:24" x14ac:dyDescent="0.3">
      <c r="A5" t="s">
        <v>45</v>
      </c>
      <c r="B5" s="6" t="s">
        <v>66</v>
      </c>
      <c r="C5" s="1">
        <f>224985765.25+80697346.58</f>
        <v>305683111.82999998</v>
      </c>
      <c r="D5" s="1">
        <v>0</v>
      </c>
      <c r="E5" s="1">
        <v>960653318</v>
      </c>
      <c r="F5" s="1">
        <v>0</v>
      </c>
      <c r="G5" s="1">
        <v>0</v>
      </c>
      <c r="H5" s="1">
        <v>342725478.44</v>
      </c>
      <c r="I5" s="1">
        <v>0</v>
      </c>
      <c r="J5" s="1">
        <v>14006085.33</v>
      </c>
      <c r="K5" s="1">
        <v>268598510.76999998</v>
      </c>
      <c r="L5" s="1">
        <v>51225653.149999999</v>
      </c>
      <c r="M5" s="1">
        <v>115305917.26000001</v>
      </c>
      <c r="N5" s="1">
        <v>116787494.89</v>
      </c>
      <c r="O5" s="1">
        <v>34661294.289999999</v>
      </c>
      <c r="P5" s="1">
        <v>0</v>
      </c>
      <c r="Q5" s="1">
        <v>1424835.92</v>
      </c>
      <c r="R5" s="1">
        <v>276847206.62</v>
      </c>
      <c r="S5" s="1">
        <v>6890775.25</v>
      </c>
      <c r="T5" s="1">
        <v>0</v>
      </c>
      <c r="U5" s="1">
        <v>31028111.43</v>
      </c>
      <c r="V5" s="1">
        <v>81451115</v>
      </c>
      <c r="W5" s="1">
        <v>5512249</v>
      </c>
      <c r="X5" s="1">
        <f t="shared" si="0"/>
        <v>2612801157.1799998</v>
      </c>
    </row>
    <row r="6" spans="1:24" x14ac:dyDescent="0.3">
      <c r="A6" t="s">
        <v>46</v>
      </c>
      <c r="B6" s="6" t="s">
        <v>66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>
        <f t="shared" si="0"/>
        <v>0</v>
      </c>
    </row>
    <row r="7" spans="1:24" x14ac:dyDescent="0.3">
      <c r="A7" t="s">
        <v>47</v>
      </c>
      <c r="B7" s="6" t="s">
        <v>66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>
        <f t="shared" si="0"/>
        <v>0</v>
      </c>
    </row>
    <row r="8" spans="1:24" x14ac:dyDescent="0.3">
      <c r="A8" t="s">
        <v>48</v>
      </c>
      <c r="B8" s="6" t="s">
        <v>66</v>
      </c>
      <c r="C8" s="1"/>
      <c r="D8" s="1">
        <v>0</v>
      </c>
      <c r="E8" s="1"/>
      <c r="F8" s="1">
        <v>0</v>
      </c>
      <c r="G8" s="1">
        <v>0</v>
      </c>
      <c r="H8" s="1"/>
      <c r="I8" s="1">
        <v>0</v>
      </c>
      <c r="J8" s="1"/>
      <c r="K8" s="1"/>
      <c r="L8" s="1"/>
      <c r="M8" s="1"/>
      <c r="N8" s="1"/>
      <c r="O8" s="1"/>
      <c r="P8" s="1">
        <v>0</v>
      </c>
      <c r="Q8" s="1"/>
      <c r="R8" s="1"/>
      <c r="S8" s="1"/>
      <c r="T8" s="1">
        <v>0</v>
      </c>
      <c r="U8" s="1"/>
      <c r="V8" s="1"/>
      <c r="W8" s="1"/>
      <c r="X8" s="1">
        <f t="shared" si="0"/>
        <v>0</v>
      </c>
    </row>
    <row r="9" spans="1:24" x14ac:dyDescent="0.3">
      <c r="A9" s="7" t="s">
        <v>49</v>
      </c>
      <c r="B9" s="8" t="s">
        <v>66</v>
      </c>
      <c r="C9" s="9">
        <v>682565530.51999998</v>
      </c>
      <c r="D9" s="1">
        <v>0</v>
      </c>
      <c r="E9" s="9">
        <v>346283910</v>
      </c>
      <c r="F9" s="1">
        <v>0</v>
      </c>
      <c r="G9" s="1">
        <v>0</v>
      </c>
      <c r="H9" s="9">
        <v>216522866.50999999</v>
      </c>
      <c r="I9" s="1">
        <v>0</v>
      </c>
      <c r="J9" s="9">
        <v>32760145.09</v>
      </c>
      <c r="K9" s="9">
        <v>22001485.440000001</v>
      </c>
      <c r="L9" s="9">
        <v>23539872.68</v>
      </c>
      <c r="M9" s="9">
        <v>51701398.539999999</v>
      </c>
      <c r="N9" s="9">
        <v>26191509.219999999</v>
      </c>
      <c r="O9" s="9">
        <v>364458706.11000001</v>
      </c>
      <c r="P9" s="1">
        <v>0</v>
      </c>
      <c r="Q9" s="9">
        <v>10112006.210000001</v>
      </c>
      <c r="R9" s="9">
        <v>425923701.80000001</v>
      </c>
      <c r="S9" s="9">
        <v>134297198.49000001</v>
      </c>
      <c r="T9" s="1">
        <v>0</v>
      </c>
      <c r="U9" s="9">
        <v>60696096.869999997</v>
      </c>
      <c r="V9" s="9">
        <v>311208427</v>
      </c>
      <c r="W9" s="9">
        <v>101141401</v>
      </c>
      <c r="X9" s="9">
        <f t="shared" si="0"/>
        <v>2809404255.4800005</v>
      </c>
    </row>
    <row r="10" spans="1:24" x14ac:dyDescent="0.3">
      <c r="A10" s="10" t="s">
        <v>69</v>
      </c>
      <c r="B10" s="11" t="s">
        <v>66</v>
      </c>
      <c r="C10" s="23">
        <f t="shared" ref="C10" si="1">SUM(C2:C9)</f>
        <v>11372226827.690001</v>
      </c>
      <c r="D10" s="23">
        <f>SUM(D2:D9)</f>
        <v>0</v>
      </c>
      <c r="E10" s="23">
        <f t="shared" ref="E10:F10" si="2">SUM(E2:E9)</f>
        <v>23021952873</v>
      </c>
      <c r="F10" s="23">
        <f t="shared" si="2"/>
        <v>0</v>
      </c>
      <c r="G10" s="23">
        <f t="shared" ref="G10:T10" si="3">SUM(G2:G9)</f>
        <v>0</v>
      </c>
      <c r="H10" s="23">
        <f t="shared" ref="H10" si="4">SUM(H2:H9)</f>
        <v>11669775698.190001</v>
      </c>
      <c r="I10" s="23">
        <f t="shared" si="3"/>
        <v>0</v>
      </c>
      <c r="J10" s="23">
        <f t="shared" ref="J10" si="5">SUM(J2:J9)</f>
        <v>4197503272.8100004</v>
      </c>
      <c r="K10" s="23">
        <f t="shared" ref="K10" si="6">SUM(K2:K9)</f>
        <v>10707603068.310001</v>
      </c>
      <c r="L10" s="23">
        <f t="shared" ref="L10:M10" si="7">SUM(L2:L9)</f>
        <v>9451864975.6800003</v>
      </c>
      <c r="M10" s="23">
        <f t="shared" si="7"/>
        <v>2376484884.7600002</v>
      </c>
      <c r="N10" s="23">
        <f t="shared" ref="N10" si="8">SUM(N2:N9)</f>
        <v>3636357619.0399995</v>
      </c>
      <c r="O10" s="23">
        <f t="shared" ref="O10" si="9">SUM(O2:O9)</f>
        <v>15222600271.060001</v>
      </c>
      <c r="P10" s="23">
        <f t="shared" si="3"/>
        <v>0</v>
      </c>
      <c r="Q10" s="23">
        <f t="shared" ref="Q10" si="10">SUM(Q2:Q9)</f>
        <v>1093388957.8500001</v>
      </c>
      <c r="R10" s="23">
        <f t="shared" ref="R10" si="11">SUM(R2:R9)</f>
        <v>16665556294.890001</v>
      </c>
      <c r="S10" s="23">
        <f t="shared" ref="S10" si="12">SUM(S2:S9)</f>
        <v>9819566275.2399998</v>
      </c>
      <c r="T10" s="23">
        <f t="shared" si="3"/>
        <v>0</v>
      </c>
      <c r="U10" s="23">
        <f t="shared" ref="U10" si="13">SUM(U2:U9)</f>
        <v>5813875829.6999998</v>
      </c>
      <c r="V10" s="23">
        <f t="shared" ref="V10" si="14">SUM(V2:V9)</f>
        <v>17293445661</v>
      </c>
      <c r="W10" s="23">
        <f t="shared" ref="W10" si="15">SUM(W2:W9)</f>
        <v>8208125538</v>
      </c>
      <c r="X10" s="23">
        <f t="shared" si="0"/>
        <v>150550328047.21997</v>
      </c>
    </row>
    <row r="11" spans="1:24" x14ac:dyDescent="0.3">
      <c r="A11" t="s">
        <v>50</v>
      </c>
      <c r="B11" s="6" t="s">
        <v>67</v>
      </c>
      <c r="C11" s="1">
        <v>1844108.26</v>
      </c>
      <c r="D11" s="1">
        <v>0</v>
      </c>
      <c r="E11" s="1">
        <v>5732654</v>
      </c>
      <c r="F11" s="1">
        <v>0</v>
      </c>
      <c r="G11" s="1">
        <v>0</v>
      </c>
      <c r="H11" s="1">
        <v>1081149.68</v>
      </c>
      <c r="I11" s="1">
        <v>0</v>
      </c>
      <c r="J11" s="1">
        <v>1859978.98</v>
      </c>
      <c r="K11" s="1">
        <v>1829549.97</v>
      </c>
      <c r="L11" s="1">
        <v>10989591.449999999</v>
      </c>
      <c r="M11" s="1">
        <v>538494.03</v>
      </c>
      <c r="N11" s="1">
        <v>824343.15</v>
      </c>
      <c r="O11" s="1">
        <v>5675155.0199999996</v>
      </c>
      <c r="P11" s="1">
        <v>0</v>
      </c>
      <c r="Q11" s="1">
        <v>1891160.61</v>
      </c>
      <c r="R11" s="1">
        <v>3395315.52</v>
      </c>
      <c r="S11" s="1">
        <v>1724732</v>
      </c>
      <c r="T11" s="1">
        <v>0</v>
      </c>
      <c r="U11" s="1">
        <v>6088342.3099999996</v>
      </c>
      <c r="V11" s="1">
        <v>13002924</v>
      </c>
      <c r="W11" s="1">
        <v>2167598</v>
      </c>
      <c r="X11" s="1">
        <f t="shared" si="0"/>
        <v>58645096.980000004</v>
      </c>
    </row>
    <row r="12" spans="1:24" x14ac:dyDescent="0.3">
      <c r="A12" t="s">
        <v>51</v>
      </c>
      <c r="B12" s="6" t="s">
        <v>67</v>
      </c>
      <c r="C12" s="1">
        <v>429466302.25999999</v>
      </c>
      <c r="D12" s="1">
        <v>0</v>
      </c>
      <c r="E12" s="1">
        <v>1312573661</v>
      </c>
      <c r="F12" s="1">
        <v>0</v>
      </c>
      <c r="G12" s="1">
        <v>0</v>
      </c>
      <c r="H12" s="1">
        <v>509029124.25</v>
      </c>
      <c r="I12" s="1">
        <v>0</v>
      </c>
      <c r="J12" s="1">
        <v>38921913.32</v>
      </c>
      <c r="K12" s="1">
        <v>379346517.06</v>
      </c>
      <c r="L12" s="1">
        <v>384496362.60000002</v>
      </c>
      <c r="M12" s="1">
        <v>88269376.230000004</v>
      </c>
      <c r="N12" s="1">
        <v>257494850.09999999</v>
      </c>
      <c r="O12" s="1">
        <v>879352583.25</v>
      </c>
      <c r="P12" s="1">
        <v>0</v>
      </c>
      <c r="Q12" s="1">
        <v>291162263.95999998</v>
      </c>
      <c r="R12" s="1">
        <v>1733458284.6600001</v>
      </c>
      <c r="S12" s="1">
        <v>468245787.00999999</v>
      </c>
      <c r="T12" s="1">
        <v>0</v>
      </c>
      <c r="U12" s="1">
        <v>445420559.85000002</v>
      </c>
      <c r="V12" s="1">
        <v>840263035</v>
      </c>
      <c r="W12" s="1">
        <v>478301643</v>
      </c>
      <c r="X12" s="1">
        <f t="shared" si="0"/>
        <v>8535802263.5500002</v>
      </c>
    </row>
    <row r="13" spans="1:24" x14ac:dyDescent="0.3">
      <c r="A13" t="s">
        <v>52</v>
      </c>
      <c r="B13" s="6" t="s">
        <v>67</v>
      </c>
      <c r="C13" s="1">
        <v>13430969.26</v>
      </c>
      <c r="D13" s="1">
        <v>0</v>
      </c>
      <c r="E13" s="1">
        <v>2543958</v>
      </c>
      <c r="F13" s="1">
        <v>0</v>
      </c>
      <c r="G13" s="1">
        <v>0</v>
      </c>
      <c r="H13" s="1">
        <v>5086548.8600000003</v>
      </c>
      <c r="I13" s="1">
        <v>0</v>
      </c>
      <c r="J13" s="1">
        <v>3339962.72</v>
      </c>
      <c r="K13" s="1">
        <v>17463684.710000001</v>
      </c>
      <c r="L13" s="1">
        <v>2021484.08</v>
      </c>
      <c r="M13" s="1">
        <v>1086528.6200000001</v>
      </c>
      <c r="N13" s="1">
        <v>2621499.98</v>
      </c>
      <c r="O13" s="1">
        <v>19027988.579999998</v>
      </c>
      <c r="P13" s="1">
        <v>0</v>
      </c>
      <c r="Q13" s="1">
        <v>2035678.46</v>
      </c>
      <c r="R13" s="1">
        <v>11189187.949999999</v>
      </c>
      <c r="S13" s="1">
        <v>1867212.78</v>
      </c>
      <c r="T13" s="1">
        <v>0</v>
      </c>
      <c r="U13" s="1">
        <v>3947882.46</v>
      </c>
      <c r="V13" s="1">
        <v>74335514</v>
      </c>
      <c r="W13" s="1">
        <v>4661717</v>
      </c>
      <c r="X13" s="1">
        <f t="shared" si="0"/>
        <v>164659817.45999998</v>
      </c>
    </row>
    <row r="14" spans="1:24" x14ac:dyDescent="0.3">
      <c r="A14" t="s">
        <v>53</v>
      </c>
      <c r="B14" s="6" t="s">
        <v>67</v>
      </c>
      <c r="C14" s="1">
        <v>10190759235.860001</v>
      </c>
      <c r="D14" s="1">
        <v>0</v>
      </c>
      <c r="E14" s="1">
        <v>20985938215</v>
      </c>
      <c r="F14" s="1">
        <v>0</v>
      </c>
      <c r="G14" s="1">
        <v>0</v>
      </c>
      <c r="H14" s="1">
        <v>10097211101.1</v>
      </c>
      <c r="I14" s="1">
        <v>0</v>
      </c>
      <c r="J14" s="1">
        <v>3897645211.4000001</v>
      </c>
      <c r="K14" s="1">
        <v>9688750899.4099998</v>
      </c>
      <c r="L14" s="1">
        <v>8422070623.5100002</v>
      </c>
      <c r="M14" s="1">
        <v>2093191870.1400001</v>
      </c>
      <c r="N14" s="1">
        <v>3292709213.8400002</v>
      </c>
      <c r="O14" s="1">
        <v>12996705854.049999</v>
      </c>
      <c r="P14" s="1">
        <v>0</v>
      </c>
      <c r="Q14" s="1">
        <v>986053639.87</v>
      </c>
      <c r="R14" s="1">
        <v>13338591194.280001</v>
      </c>
      <c r="S14" s="1">
        <v>9325791285.6399994</v>
      </c>
      <c r="T14" s="1">
        <v>0</v>
      </c>
      <c r="U14" s="1">
        <v>4708931053.3599997</v>
      </c>
      <c r="V14" s="1">
        <v>11322823331</v>
      </c>
      <c r="W14" s="1">
        <v>6238831191</v>
      </c>
      <c r="X14" s="1">
        <f t="shared" si="0"/>
        <v>127586003919.46001</v>
      </c>
    </row>
    <row r="15" spans="1:24" x14ac:dyDescent="0.3">
      <c r="A15" t="s">
        <v>54</v>
      </c>
      <c r="B15" s="6" t="s">
        <v>67</v>
      </c>
      <c r="C15" s="1">
        <v>185137715.55000001</v>
      </c>
      <c r="D15" s="1">
        <v>0</v>
      </c>
      <c r="E15" s="1">
        <v>160986929</v>
      </c>
      <c r="F15" s="1">
        <v>0</v>
      </c>
      <c r="G15" s="1">
        <v>0</v>
      </c>
      <c r="H15" s="1">
        <v>122626340.09</v>
      </c>
      <c r="I15" s="1">
        <v>0</v>
      </c>
      <c r="J15" s="1">
        <v>59438031.409999996</v>
      </c>
      <c r="K15" s="1">
        <v>172690824.97999999</v>
      </c>
      <c r="L15" s="1">
        <v>165333421.75999999</v>
      </c>
      <c r="M15" s="1">
        <v>57370765.390000001</v>
      </c>
      <c r="N15" s="1">
        <v>74851541.540000007</v>
      </c>
      <c r="O15" s="1">
        <v>240907471.59999999</v>
      </c>
      <c r="P15" s="1">
        <v>0</v>
      </c>
      <c r="Q15" s="1">
        <v>37921099.149999999</v>
      </c>
      <c r="R15" s="1">
        <v>241726886.19999999</v>
      </c>
      <c r="S15" s="1">
        <v>151155606.72999999</v>
      </c>
      <c r="T15" s="1">
        <v>0</v>
      </c>
      <c r="U15" s="1">
        <v>120163171.47</v>
      </c>
      <c r="V15" s="1">
        <v>1347791461</v>
      </c>
      <c r="W15" s="1">
        <v>233635326</v>
      </c>
      <c r="X15" s="1">
        <f t="shared" si="0"/>
        <v>3371736591.8699999</v>
      </c>
    </row>
    <row r="16" spans="1:24" x14ac:dyDescent="0.3">
      <c r="A16" t="s">
        <v>55</v>
      </c>
      <c r="B16" s="6" t="s">
        <v>67</v>
      </c>
      <c r="C16" s="1">
        <v>27571740.93</v>
      </c>
      <c r="D16" s="1">
        <v>0</v>
      </c>
      <c r="E16" s="1">
        <v>56005232</v>
      </c>
      <c r="F16" s="1">
        <v>0</v>
      </c>
      <c r="G16" s="1">
        <v>0</v>
      </c>
      <c r="H16" s="1">
        <v>11596065.310000001</v>
      </c>
      <c r="I16" s="1">
        <v>0</v>
      </c>
      <c r="J16" s="1">
        <v>3650368.77</v>
      </c>
      <c r="K16" s="1">
        <v>66700501.149999999</v>
      </c>
      <c r="L16" s="1">
        <v>21359564.120000001</v>
      </c>
      <c r="M16" s="1">
        <v>5514394.2400000002</v>
      </c>
      <c r="N16" s="1">
        <v>5667914.8200000003</v>
      </c>
      <c r="O16" s="1">
        <v>55144173.479999997</v>
      </c>
      <c r="P16" s="1">
        <v>0</v>
      </c>
      <c r="Q16" s="1">
        <v>5697816.7699999996</v>
      </c>
      <c r="R16" s="1">
        <v>17766216.23</v>
      </c>
      <c r="S16" s="1">
        <v>16931376.239999998</v>
      </c>
      <c r="T16" s="1">
        <v>0</v>
      </c>
      <c r="U16" s="1">
        <v>20636995.530000001</v>
      </c>
      <c r="V16" s="1">
        <v>85444419</v>
      </c>
      <c r="W16" s="1">
        <v>47330425</v>
      </c>
      <c r="X16" s="1">
        <f t="shared" si="0"/>
        <v>447017203.59000003</v>
      </c>
    </row>
    <row r="17" spans="1:24" x14ac:dyDescent="0.3">
      <c r="A17" t="s">
        <v>56</v>
      </c>
      <c r="B17" s="6" t="s">
        <v>67</v>
      </c>
      <c r="C17" s="1">
        <v>-40587.29</v>
      </c>
      <c r="D17" s="1">
        <v>0</v>
      </c>
      <c r="E17" s="1">
        <v>-992364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-22003.279999999999</v>
      </c>
      <c r="L17" s="1">
        <v>0</v>
      </c>
      <c r="M17" s="1">
        <v>-12338.26</v>
      </c>
      <c r="N17" s="1">
        <v>0</v>
      </c>
      <c r="O17" s="1">
        <v>0</v>
      </c>
      <c r="P17" s="1">
        <v>0</v>
      </c>
      <c r="Q17" s="1"/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415586</v>
      </c>
      <c r="X17" s="1">
        <f t="shared" si="0"/>
        <v>-651706.83000000007</v>
      </c>
    </row>
    <row r="18" spans="1:24" x14ac:dyDescent="0.3">
      <c r="A18" t="s">
        <v>57</v>
      </c>
      <c r="B18" s="6" t="s">
        <v>67</v>
      </c>
      <c r="C18" s="1">
        <v>0</v>
      </c>
      <c r="D18" s="1">
        <v>0</v>
      </c>
      <c r="E18" s="1">
        <v>16410515</v>
      </c>
      <c r="F18" s="1">
        <v>0</v>
      </c>
      <c r="G18" s="1">
        <v>0</v>
      </c>
      <c r="H18" s="1">
        <v>3000010</v>
      </c>
      <c r="I18" s="1">
        <v>0</v>
      </c>
      <c r="J18" s="1">
        <v>17883154.190000001</v>
      </c>
      <c r="K18" s="1">
        <v>7999784.0499999998</v>
      </c>
      <c r="L18" s="1">
        <v>21003606.879999999</v>
      </c>
      <c r="M18" s="1">
        <v>22329903.789999999</v>
      </c>
      <c r="N18" s="1">
        <v>0</v>
      </c>
      <c r="O18" s="1">
        <v>15621881.08</v>
      </c>
      <c r="P18" s="1">
        <v>0</v>
      </c>
      <c r="Q18" s="1">
        <v>1939328.85</v>
      </c>
      <c r="R18" s="1">
        <v>69172444.540000007</v>
      </c>
      <c r="S18" s="1">
        <v>613725422.13</v>
      </c>
      <c r="T18" s="1">
        <v>0</v>
      </c>
      <c r="U18" s="1">
        <v>0</v>
      </c>
      <c r="V18" s="1">
        <v>0</v>
      </c>
      <c r="W18" s="1">
        <v>302935297</v>
      </c>
      <c r="X18" s="1">
        <f t="shared" si="0"/>
        <v>1092021347.51</v>
      </c>
    </row>
    <row r="19" spans="1:24" x14ac:dyDescent="0.3">
      <c r="A19" t="s">
        <v>14</v>
      </c>
      <c r="B19" s="6" t="s">
        <v>67</v>
      </c>
      <c r="C19" s="1">
        <v>243339118.30000001</v>
      </c>
      <c r="D19" s="1">
        <v>0</v>
      </c>
      <c r="E19" s="1">
        <v>1058323</v>
      </c>
      <c r="F19" s="1">
        <v>0</v>
      </c>
      <c r="G19" s="1">
        <v>0</v>
      </c>
      <c r="H19" s="1">
        <v>185598754.00999999</v>
      </c>
      <c r="I19" s="1">
        <v>0</v>
      </c>
      <c r="J19" s="1">
        <v>13411283.77</v>
      </c>
      <c r="K19" s="1">
        <v>0</v>
      </c>
      <c r="L19" s="1">
        <v>125423612.06999999</v>
      </c>
      <c r="M19" s="1">
        <v>31620850.129999999</v>
      </c>
      <c r="N19" s="1">
        <v>125921714.84999999</v>
      </c>
      <c r="O19" s="1">
        <v>32167474.190000001</v>
      </c>
      <c r="P19" s="1">
        <v>0</v>
      </c>
      <c r="Q19" s="1">
        <v>2130127.33</v>
      </c>
      <c r="R19" s="1">
        <v>0</v>
      </c>
      <c r="S19" s="1">
        <v>352041531.49000001</v>
      </c>
      <c r="T19" s="1">
        <v>0</v>
      </c>
      <c r="U19" s="1">
        <v>0</v>
      </c>
      <c r="V19" s="1">
        <v>0</v>
      </c>
      <c r="W19" s="1">
        <v>26898688</v>
      </c>
      <c r="X19" s="1">
        <f t="shared" si="0"/>
        <v>1139611477.1400001</v>
      </c>
    </row>
    <row r="20" spans="1:24" x14ac:dyDescent="0.3">
      <c r="A20" s="7" t="s">
        <v>58</v>
      </c>
      <c r="B20" s="8" t="s">
        <v>67</v>
      </c>
      <c r="C20" s="9">
        <v>5261233.58</v>
      </c>
      <c r="D20" s="1">
        <v>0</v>
      </c>
      <c r="E20" s="9">
        <v>93957782</v>
      </c>
      <c r="F20" s="1">
        <v>0</v>
      </c>
      <c r="G20" s="1">
        <v>0</v>
      </c>
      <c r="H20" s="9">
        <v>107248006.26000001</v>
      </c>
      <c r="I20" s="1">
        <v>0</v>
      </c>
      <c r="J20" s="9">
        <v>2978543.16</v>
      </c>
      <c r="K20" s="9">
        <v>5773461.21</v>
      </c>
      <c r="L20" s="9">
        <v>31497157.98</v>
      </c>
      <c r="M20" s="9">
        <v>3745955.89</v>
      </c>
      <c r="N20" s="9">
        <v>21178159.199999999</v>
      </c>
      <c r="O20" s="9">
        <v>29037729.800000001</v>
      </c>
      <c r="P20" s="1">
        <v>0</v>
      </c>
      <c r="Q20" s="9">
        <v>3354323.34</v>
      </c>
      <c r="R20" s="9">
        <v>204407477.33000001</v>
      </c>
      <c r="S20" s="9">
        <v>24076021.600000001</v>
      </c>
      <c r="T20" s="1">
        <v>0</v>
      </c>
      <c r="U20" s="9">
        <v>39162400.439999998</v>
      </c>
      <c r="V20" s="9">
        <v>1769114996</v>
      </c>
      <c r="W20" s="9">
        <v>33258683</v>
      </c>
      <c r="X20" s="9">
        <f t="shared" si="0"/>
        <v>2374051930.79</v>
      </c>
    </row>
    <row r="21" spans="1:24" x14ac:dyDescent="0.3">
      <c r="A21" s="10" t="s">
        <v>70</v>
      </c>
      <c r="B21" s="11" t="s">
        <v>67</v>
      </c>
      <c r="C21" s="23">
        <f>SUM(C11:C20)</f>
        <v>11096769836.709999</v>
      </c>
      <c r="D21" s="5">
        <f t="shared" ref="D21:T21" si="16">SUM(D11:D20)</f>
        <v>0</v>
      </c>
      <c r="E21" s="23">
        <f>SUM(E11:E20)</f>
        <v>22634214905</v>
      </c>
      <c r="F21" s="5">
        <f t="shared" ref="F21" si="17">SUM(F11:F20)</f>
        <v>0</v>
      </c>
      <c r="G21" s="5">
        <f t="shared" si="16"/>
        <v>0</v>
      </c>
      <c r="H21" s="23">
        <f>SUM(H11:H20)</f>
        <v>11042477099.560001</v>
      </c>
      <c r="I21" s="5">
        <f t="shared" si="16"/>
        <v>0</v>
      </c>
      <c r="J21" s="23">
        <f t="shared" ref="J21:O21" si="18">SUM(J11:J20)</f>
        <v>4039128447.7199998</v>
      </c>
      <c r="K21" s="23">
        <f t="shared" si="18"/>
        <v>10340533219.259996</v>
      </c>
      <c r="L21" s="23">
        <f t="shared" si="18"/>
        <v>9184195424.4499989</v>
      </c>
      <c r="M21" s="23">
        <f t="shared" si="18"/>
        <v>2303655800.1999993</v>
      </c>
      <c r="N21" s="23">
        <f t="shared" si="18"/>
        <v>3781269237.48</v>
      </c>
      <c r="O21" s="23">
        <f t="shared" si="18"/>
        <v>14273640311.049999</v>
      </c>
      <c r="P21" s="5">
        <f t="shared" si="16"/>
        <v>0</v>
      </c>
      <c r="Q21" s="23">
        <f>SUM(Q11:Q20)</f>
        <v>1332185438.3399999</v>
      </c>
      <c r="R21" s="23">
        <f>SUM(R11:R20)</f>
        <v>15619707006.710001</v>
      </c>
      <c r="S21" s="23">
        <f>SUM(S11:S20)</f>
        <v>10955558975.619999</v>
      </c>
      <c r="T21" s="5">
        <f t="shared" si="16"/>
        <v>0</v>
      </c>
      <c r="U21" s="23">
        <f>SUM(U11:U20)</f>
        <v>5344350405.4199991</v>
      </c>
      <c r="V21" s="23">
        <f>SUM(V11:V20)</f>
        <v>15452775680</v>
      </c>
      <c r="W21" s="23">
        <f>SUM(W11:W20)</f>
        <v>7368436154</v>
      </c>
      <c r="X21" s="23">
        <f t="shared" si="0"/>
        <v>144768897941.51999</v>
      </c>
    </row>
    <row r="22" spans="1:24" x14ac:dyDescent="0.3">
      <c r="A22" t="s">
        <v>59</v>
      </c>
      <c r="B22" s="6" t="s">
        <v>66</v>
      </c>
      <c r="C22" s="1">
        <v>1921676.11</v>
      </c>
      <c r="D22" s="1">
        <v>0</v>
      </c>
      <c r="E22" s="1">
        <v>63412958</v>
      </c>
      <c r="F22" s="1">
        <v>0</v>
      </c>
      <c r="G22" s="1">
        <v>0</v>
      </c>
      <c r="H22" s="1">
        <v>1853923.6</v>
      </c>
      <c r="I22" s="1">
        <v>0</v>
      </c>
      <c r="J22" s="1">
        <v>9047253.6300000008</v>
      </c>
      <c r="K22" s="1">
        <v>4815226.3</v>
      </c>
      <c r="L22" s="1">
        <v>5817389.3799999999</v>
      </c>
      <c r="M22" s="1">
        <v>16739025.380000001</v>
      </c>
      <c r="N22" s="1">
        <v>15105424.67</v>
      </c>
      <c r="O22" s="1">
        <v>3585893.67</v>
      </c>
      <c r="P22" s="1">
        <v>0</v>
      </c>
      <c r="Q22" s="1">
        <v>215800.63</v>
      </c>
      <c r="R22" s="1">
        <v>89208398.5</v>
      </c>
      <c r="S22" s="1">
        <v>8431689.4299999997</v>
      </c>
      <c r="T22" s="1">
        <v>0</v>
      </c>
      <c r="U22" s="1">
        <v>4147846.93</v>
      </c>
      <c r="V22" s="1">
        <v>6933303</v>
      </c>
      <c r="W22" s="1">
        <v>9251207</v>
      </c>
      <c r="X22" s="1">
        <f t="shared" si="0"/>
        <v>240487016.22999999</v>
      </c>
    </row>
    <row r="23" spans="1:24" x14ac:dyDescent="0.3">
      <c r="A23" t="s">
        <v>60</v>
      </c>
      <c r="B23" s="6" t="s">
        <v>67</v>
      </c>
      <c r="C23" s="1">
        <v>133457871.12</v>
      </c>
      <c r="D23" s="1">
        <v>0</v>
      </c>
      <c r="E23" s="1">
        <v>101803054</v>
      </c>
      <c r="F23" s="1">
        <v>0</v>
      </c>
      <c r="G23" s="1">
        <v>0</v>
      </c>
      <c r="H23" s="1">
        <v>58398153.159999996</v>
      </c>
      <c r="I23" s="1">
        <v>0</v>
      </c>
      <c r="J23" s="1">
        <v>31397022.920000002</v>
      </c>
      <c r="K23" s="1">
        <v>61932022.149999999</v>
      </c>
      <c r="L23" s="1">
        <v>64167845.579999998</v>
      </c>
      <c r="M23" s="1">
        <v>38752277.25</v>
      </c>
      <c r="N23" s="1">
        <v>41705071.909999996</v>
      </c>
      <c r="O23" s="1">
        <v>674285591.28999996</v>
      </c>
      <c r="P23" s="1">
        <v>0</v>
      </c>
      <c r="Q23" s="1">
        <v>16280127.550000001</v>
      </c>
      <c r="R23" s="1">
        <v>246080927.96000001</v>
      </c>
      <c r="S23" s="1">
        <v>56541931.549999997</v>
      </c>
      <c r="T23" s="1">
        <v>0</v>
      </c>
      <c r="U23" s="1">
        <v>55544954.560000002</v>
      </c>
      <c r="V23" s="1">
        <v>311754001</v>
      </c>
      <c r="W23" s="1">
        <v>43607801</v>
      </c>
      <c r="X23" s="1">
        <f t="shared" si="0"/>
        <v>1935708652.9999998</v>
      </c>
    </row>
    <row r="24" spans="1:24" x14ac:dyDescent="0.3">
      <c r="A24" t="s">
        <v>61</v>
      </c>
      <c r="B24" s="6" t="s">
        <v>66</v>
      </c>
      <c r="C24" s="1">
        <v>0</v>
      </c>
      <c r="D24" s="1">
        <v>0</v>
      </c>
      <c r="E24" s="1">
        <v>-12449655</v>
      </c>
      <c r="F24" s="1">
        <v>0</v>
      </c>
      <c r="G24" s="1">
        <v>0</v>
      </c>
      <c r="H24" s="1">
        <v>6231118.8799999999</v>
      </c>
      <c r="I24" s="1">
        <v>0</v>
      </c>
      <c r="J24" s="1">
        <v>0</v>
      </c>
      <c r="K24" s="1">
        <v>-764493.08</v>
      </c>
      <c r="L24" s="1">
        <v>-16798442.059999999</v>
      </c>
      <c r="M24" s="1">
        <v>-387992.48</v>
      </c>
      <c r="N24" s="1">
        <v>-2687149.73</v>
      </c>
      <c r="O24" s="1">
        <v>-21568625.800000001</v>
      </c>
      <c r="P24" s="1">
        <v>0</v>
      </c>
      <c r="Q24" s="1">
        <v>0</v>
      </c>
      <c r="R24" s="1">
        <v>-1287712</v>
      </c>
      <c r="S24" s="1">
        <v>-943880.3</v>
      </c>
      <c r="T24" s="1">
        <v>0</v>
      </c>
      <c r="U24" s="1">
        <v>0</v>
      </c>
      <c r="V24" s="1">
        <v>-31064473</v>
      </c>
      <c r="W24" s="1">
        <v>-8797309</v>
      </c>
      <c r="X24" s="1">
        <f t="shared" si="0"/>
        <v>-90518613.569999993</v>
      </c>
    </row>
    <row r="25" spans="1:24" x14ac:dyDescent="0.3">
      <c r="A25" t="s">
        <v>62</v>
      </c>
      <c r="B25" s="6" t="s">
        <v>66</v>
      </c>
      <c r="C25" s="1">
        <v>493219689.86000001</v>
      </c>
      <c r="D25" s="1">
        <v>0</v>
      </c>
      <c r="E25" s="1">
        <v>128196088</v>
      </c>
      <c r="F25" s="1">
        <v>0</v>
      </c>
      <c r="G25" s="1">
        <v>0</v>
      </c>
      <c r="H25" s="1">
        <v>134712158.94999999</v>
      </c>
      <c r="I25" s="1">
        <v>0</v>
      </c>
      <c r="J25" s="1">
        <v>15615173.869999999</v>
      </c>
      <c r="K25" s="1">
        <v>79255981.290000007</v>
      </c>
      <c r="L25" s="1">
        <v>410230399.26999998</v>
      </c>
      <c r="M25" s="1">
        <v>18280077.940000001</v>
      </c>
      <c r="N25" s="1">
        <v>93638623.959999993</v>
      </c>
      <c r="O25" s="1">
        <v>463364371.32999998</v>
      </c>
      <c r="P25" s="1">
        <v>0</v>
      </c>
      <c r="Q25" s="1">
        <v>25960141.25</v>
      </c>
      <c r="R25" s="1">
        <v>493827001.31</v>
      </c>
      <c r="S25" s="1">
        <v>879444125.72000003</v>
      </c>
      <c r="T25" s="1">
        <v>0</v>
      </c>
      <c r="U25" s="1">
        <v>238953218.97</v>
      </c>
      <c r="V25" s="1">
        <v>1026370029</v>
      </c>
      <c r="W25" s="1">
        <v>203002228</v>
      </c>
      <c r="X25" s="1">
        <f t="shared" si="0"/>
        <v>4704069308.7199993</v>
      </c>
    </row>
    <row r="26" spans="1:24" x14ac:dyDescent="0.3">
      <c r="A26" t="s">
        <v>63</v>
      </c>
      <c r="B26" s="6" t="s">
        <v>67</v>
      </c>
      <c r="C26" s="1">
        <v>331833866.83999997</v>
      </c>
      <c r="D26" s="1">
        <v>0</v>
      </c>
      <c r="E26" s="1">
        <v>298026380</v>
      </c>
      <c r="F26" s="1">
        <v>0</v>
      </c>
      <c r="G26" s="1">
        <v>0</v>
      </c>
      <c r="H26" s="1">
        <v>168593309.03999999</v>
      </c>
      <c r="I26" s="1">
        <v>0</v>
      </c>
      <c r="J26" s="1">
        <v>142908603.93000001</v>
      </c>
      <c r="K26" s="1">
        <v>37965219.009999998</v>
      </c>
      <c r="L26" s="1">
        <v>114036685.40000001</v>
      </c>
      <c r="M26" s="1">
        <v>10813217.539999999</v>
      </c>
      <c r="N26" s="1">
        <v>34080882.390000001</v>
      </c>
      <c r="O26" s="1">
        <v>396838398.94999999</v>
      </c>
      <c r="P26" s="1">
        <v>0</v>
      </c>
      <c r="Q26" s="1">
        <v>268364588.56</v>
      </c>
      <c r="R26" s="1">
        <v>546160487.72000003</v>
      </c>
      <c r="S26" s="1">
        <v>264769528.25</v>
      </c>
      <c r="T26" s="1">
        <v>0</v>
      </c>
      <c r="U26" s="1">
        <v>1140397390.3900001</v>
      </c>
      <c r="V26" s="1">
        <v>1536681913</v>
      </c>
      <c r="W26" s="1">
        <v>82328386</v>
      </c>
      <c r="X26" s="1">
        <f t="shared" si="0"/>
        <v>5373798857.0200005</v>
      </c>
    </row>
    <row r="27" spans="1:24" x14ac:dyDescent="0.3">
      <c r="A27" t="s">
        <v>64</v>
      </c>
      <c r="B27" s="6" t="s">
        <v>67</v>
      </c>
      <c r="C27" s="1">
        <v>10662476.75</v>
      </c>
      <c r="D27" s="1">
        <v>0</v>
      </c>
      <c r="E27" s="1">
        <v>9681438</v>
      </c>
      <c r="F27" s="1">
        <v>0</v>
      </c>
      <c r="G27" s="1">
        <v>0</v>
      </c>
      <c r="H27" s="1">
        <v>9714770.1699999999</v>
      </c>
      <c r="I27" s="1">
        <v>0</v>
      </c>
      <c r="J27" s="1">
        <v>4025817.95</v>
      </c>
      <c r="K27" s="1">
        <v>11488115.810000001</v>
      </c>
      <c r="L27" s="1">
        <v>11617846.039999999</v>
      </c>
      <c r="M27" s="1">
        <v>3707376.66</v>
      </c>
      <c r="N27" s="1">
        <v>4611591.91</v>
      </c>
      <c r="O27" s="1">
        <v>17000000</v>
      </c>
      <c r="P27" s="1">
        <v>0</v>
      </c>
      <c r="Q27" s="1">
        <v>429480.84</v>
      </c>
      <c r="R27" s="1">
        <v>17879197.5</v>
      </c>
      <c r="S27" s="1">
        <v>8762067.5199999996</v>
      </c>
      <c r="T27" s="1">
        <v>0</v>
      </c>
      <c r="U27" s="1">
        <v>8175789.5099999998</v>
      </c>
      <c r="V27" s="1">
        <v>69020685</v>
      </c>
      <c r="W27" s="1">
        <v>15489961</v>
      </c>
      <c r="X27" s="1">
        <f t="shared" si="0"/>
        <v>202266614.66000003</v>
      </c>
    </row>
    <row r="28" spans="1:24" x14ac:dyDescent="0.3">
      <c r="A28" s="4" t="s">
        <v>65</v>
      </c>
      <c r="B28" s="11" t="s">
        <v>68</v>
      </c>
      <c r="C28" s="12">
        <f>C10-C21+C22-C23+C24+C25-C26-C27</f>
        <v>294644142.2400015</v>
      </c>
      <c r="D28" s="12">
        <f t="shared" ref="D28:T28" si="19">SUM(D22:D27)</f>
        <v>0</v>
      </c>
      <c r="E28" s="12">
        <f>E10-E21+E22-E23+E24+E25-E26-E27</f>
        <v>157386487</v>
      </c>
      <c r="F28" s="12">
        <f t="shared" ref="F28" si="20">SUM(F22:F27)</f>
        <v>0</v>
      </c>
      <c r="G28" s="12">
        <f t="shared" si="19"/>
        <v>0</v>
      </c>
      <c r="H28" s="12">
        <f>H10-H21+H22-H23+H24+H25-H26-H27</f>
        <v>533389567.68999916</v>
      </c>
      <c r="I28" s="12">
        <f t="shared" si="19"/>
        <v>0</v>
      </c>
      <c r="J28" s="12">
        <f t="shared" ref="J28:O28" si="21">J10-J21+J22-J23+J24+J25-J26-J27</f>
        <v>4705807.7900006054</v>
      </c>
      <c r="K28" s="12">
        <f t="shared" si="21"/>
        <v>338991206.59000504</v>
      </c>
      <c r="L28" s="12">
        <f t="shared" si="21"/>
        <v>477096520.80000144</v>
      </c>
      <c r="M28" s="12">
        <f t="shared" si="21"/>
        <v>54187323.950000897</v>
      </c>
      <c r="N28" s="12">
        <f t="shared" si="21"/>
        <v>-119252265.75000054</v>
      </c>
      <c r="O28" s="12">
        <f t="shared" si="21"/>
        <v>306217608.97000211</v>
      </c>
      <c r="P28" s="12">
        <f t="shared" si="19"/>
        <v>0</v>
      </c>
      <c r="Q28" s="12">
        <f>Q10-Q21+Q22-Q23+Q24+Q25-Q26-Q27</f>
        <v>-497694735.55999976</v>
      </c>
      <c r="R28" s="12">
        <f>R10-R21+R22-R23+R24+R25-R26-R27</f>
        <v>817476362.81000018</v>
      </c>
      <c r="S28" s="12">
        <f>S10-S21+S22-S23+S24+S25-S26-S27</f>
        <v>-579134292.84999895</v>
      </c>
      <c r="T28" s="12">
        <f t="shared" si="19"/>
        <v>0</v>
      </c>
      <c r="U28" s="12">
        <f>U10-U21+U22-U23+U24+U25-U26-U27</f>
        <v>-491491644.27999938</v>
      </c>
      <c r="V28" s="12">
        <f>V10-V21+V22-V23+V24+V25-V26-V27</f>
        <v>925452241</v>
      </c>
      <c r="W28" s="12">
        <f>W10-W21+W22-W23+W24+W25-W26-W27</f>
        <v>901719362</v>
      </c>
      <c r="X28" s="12">
        <f t="shared" si="0"/>
        <v>3123693692.4000125</v>
      </c>
    </row>
    <row r="29" spans="1:24" x14ac:dyDescent="0.3">
      <c r="C29" s="1"/>
      <c r="D29" s="1"/>
    </row>
  </sheetData>
  <conditionalFormatting sqref="C28:X28">
    <cfRule type="cellIs" dxfId="195" priority="123" operator="greaterThan">
      <formula>0</formula>
    </cfRule>
  </conditionalFormatting>
  <conditionalFormatting sqref="R28">
    <cfRule type="cellIs" dxfId="194" priority="58" operator="greaterThan">
      <formula>0</formula>
    </cfRule>
  </conditionalFormatting>
  <conditionalFormatting sqref="R28">
    <cfRule type="cellIs" dxfId="193" priority="57" operator="greaterThan">
      <formula>0</formula>
    </cfRule>
  </conditionalFormatting>
  <conditionalFormatting sqref="R28">
    <cfRule type="cellIs" dxfId="192" priority="56" operator="greaterThan">
      <formula>0</formula>
    </cfRule>
  </conditionalFormatting>
  <conditionalFormatting sqref="R28">
    <cfRule type="cellIs" dxfId="191" priority="55" operator="greaterThan">
      <formula>0</formula>
    </cfRule>
  </conditionalFormatting>
  <conditionalFormatting sqref="U28">
    <cfRule type="cellIs" dxfId="190" priority="54" operator="greaterThan">
      <formula>0</formula>
    </cfRule>
  </conditionalFormatting>
  <conditionalFormatting sqref="U28">
    <cfRule type="cellIs" dxfId="189" priority="53" operator="greaterThan">
      <formula>0</formula>
    </cfRule>
  </conditionalFormatting>
  <conditionalFormatting sqref="U28">
    <cfRule type="cellIs" dxfId="188" priority="52" operator="greaterThan">
      <formula>0</formula>
    </cfRule>
  </conditionalFormatting>
  <conditionalFormatting sqref="U28">
    <cfRule type="cellIs" dxfId="187" priority="51" operator="greaterThan">
      <formula>0</formula>
    </cfRule>
  </conditionalFormatting>
  <conditionalFormatting sqref="K28">
    <cfRule type="cellIs" dxfId="186" priority="50" operator="greaterThan">
      <formula>0</formula>
    </cfRule>
  </conditionalFormatting>
  <conditionalFormatting sqref="K28">
    <cfRule type="cellIs" dxfId="185" priority="49" operator="greaterThan">
      <formula>0</formula>
    </cfRule>
  </conditionalFormatting>
  <conditionalFormatting sqref="K28">
    <cfRule type="cellIs" dxfId="184" priority="48" operator="greaterThan">
      <formula>0</formula>
    </cfRule>
  </conditionalFormatting>
  <conditionalFormatting sqref="K28">
    <cfRule type="cellIs" dxfId="183" priority="47" operator="greaterThan">
      <formula>0</formula>
    </cfRule>
  </conditionalFormatting>
  <conditionalFormatting sqref="O28">
    <cfRule type="cellIs" dxfId="182" priority="46" operator="greaterThan">
      <formula>0</formula>
    </cfRule>
  </conditionalFormatting>
  <conditionalFormatting sqref="O28">
    <cfRule type="cellIs" dxfId="181" priority="45" operator="greaterThan">
      <formula>0</formula>
    </cfRule>
  </conditionalFormatting>
  <conditionalFormatting sqref="O28">
    <cfRule type="cellIs" dxfId="180" priority="44" operator="greaterThan">
      <formula>0</formula>
    </cfRule>
  </conditionalFormatting>
  <conditionalFormatting sqref="O28">
    <cfRule type="cellIs" dxfId="179" priority="43" operator="greaterThan">
      <formula>0</formula>
    </cfRule>
  </conditionalFormatting>
  <conditionalFormatting sqref="J28">
    <cfRule type="cellIs" dxfId="178" priority="42" operator="greaterThan">
      <formula>0</formula>
    </cfRule>
  </conditionalFormatting>
  <conditionalFormatting sqref="J28">
    <cfRule type="cellIs" dxfId="177" priority="41" operator="greaterThan">
      <formula>0</formula>
    </cfRule>
  </conditionalFormatting>
  <conditionalFormatting sqref="J28">
    <cfRule type="cellIs" dxfId="176" priority="40" operator="greaterThan">
      <formula>0</formula>
    </cfRule>
  </conditionalFormatting>
  <conditionalFormatting sqref="J28">
    <cfRule type="cellIs" dxfId="175" priority="39" operator="greaterThan">
      <formula>0</formula>
    </cfRule>
  </conditionalFormatting>
  <conditionalFormatting sqref="E28:F28">
    <cfRule type="cellIs" dxfId="174" priority="38" operator="greaterThan">
      <formula>0</formula>
    </cfRule>
  </conditionalFormatting>
  <conditionalFormatting sqref="E28:F28">
    <cfRule type="cellIs" dxfId="173" priority="37" operator="greaterThan">
      <formula>0</formula>
    </cfRule>
  </conditionalFormatting>
  <conditionalFormatting sqref="N28">
    <cfRule type="cellIs" dxfId="172" priority="36" operator="greaterThan">
      <formula>0</formula>
    </cfRule>
  </conditionalFormatting>
  <conditionalFormatting sqref="N28">
    <cfRule type="cellIs" dxfId="171" priority="35" operator="greaterThan">
      <formula>0</formula>
    </cfRule>
  </conditionalFormatting>
  <conditionalFormatting sqref="N28">
    <cfRule type="cellIs" dxfId="170" priority="34" operator="greaterThan">
      <formula>0</formula>
    </cfRule>
  </conditionalFormatting>
  <conditionalFormatting sqref="N28">
    <cfRule type="cellIs" dxfId="169" priority="33" operator="greaterThan">
      <formula>0</formula>
    </cfRule>
  </conditionalFormatting>
  <conditionalFormatting sqref="Q28">
    <cfRule type="cellIs" dxfId="168" priority="32" operator="greaterThan">
      <formula>0</formula>
    </cfRule>
  </conditionalFormatting>
  <conditionalFormatting sqref="Q28">
    <cfRule type="cellIs" dxfId="167" priority="31" operator="greaterThan">
      <formula>0</formula>
    </cfRule>
  </conditionalFormatting>
  <conditionalFormatting sqref="Q28">
    <cfRule type="cellIs" dxfId="166" priority="30" operator="greaterThan">
      <formula>0</formula>
    </cfRule>
  </conditionalFormatting>
  <conditionalFormatting sqref="Q28">
    <cfRule type="cellIs" dxfId="165" priority="29" operator="greaterThan">
      <formula>0</formula>
    </cfRule>
  </conditionalFormatting>
  <conditionalFormatting sqref="C28">
    <cfRule type="cellIs" dxfId="164" priority="28" operator="greaterThan">
      <formula>0</formula>
    </cfRule>
  </conditionalFormatting>
  <conditionalFormatting sqref="C28">
    <cfRule type="cellIs" dxfId="163" priority="27" operator="greaterThan">
      <formula>0</formula>
    </cfRule>
  </conditionalFormatting>
  <conditionalFormatting sqref="C28">
    <cfRule type="cellIs" dxfId="162" priority="26" operator="greaterThan">
      <formula>0</formula>
    </cfRule>
  </conditionalFormatting>
  <conditionalFormatting sqref="C28">
    <cfRule type="cellIs" dxfId="161" priority="25" operator="greaterThan">
      <formula>0</formula>
    </cfRule>
  </conditionalFormatting>
  <conditionalFormatting sqref="S28">
    <cfRule type="cellIs" dxfId="160" priority="24" operator="greaterThan">
      <formula>0</formula>
    </cfRule>
  </conditionalFormatting>
  <conditionalFormatting sqref="S28">
    <cfRule type="cellIs" dxfId="159" priority="23" operator="greaterThan">
      <formula>0</formula>
    </cfRule>
  </conditionalFormatting>
  <conditionalFormatting sqref="S28">
    <cfRule type="cellIs" dxfId="158" priority="22" operator="greaterThan">
      <formula>0</formula>
    </cfRule>
  </conditionalFormatting>
  <conditionalFormatting sqref="S28">
    <cfRule type="cellIs" dxfId="157" priority="21" operator="greaterThan">
      <formula>0</formula>
    </cfRule>
  </conditionalFormatting>
  <conditionalFormatting sqref="V28">
    <cfRule type="cellIs" dxfId="156" priority="20" operator="greaterThan">
      <formula>0</formula>
    </cfRule>
  </conditionalFormatting>
  <conditionalFormatting sqref="V28">
    <cfRule type="cellIs" dxfId="155" priority="19" operator="greaterThan">
      <formula>0</formula>
    </cfRule>
  </conditionalFormatting>
  <conditionalFormatting sqref="V28">
    <cfRule type="cellIs" dxfId="154" priority="18" operator="greaterThan">
      <formula>0</formula>
    </cfRule>
  </conditionalFormatting>
  <conditionalFormatting sqref="V28">
    <cfRule type="cellIs" dxfId="153" priority="17" operator="greaterThan">
      <formula>0</formula>
    </cfRule>
  </conditionalFormatting>
  <conditionalFormatting sqref="L28">
    <cfRule type="cellIs" dxfId="152" priority="16" operator="greaterThan">
      <formula>0</formula>
    </cfRule>
  </conditionalFormatting>
  <conditionalFormatting sqref="L28">
    <cfRule type="cellIs" dxfId="151" priority="15" operator="greaterThan">
      <formula>0</formula>
    </cfRule>
  </conditionalFormatting>
  <conditionalFormatting sqref="L28">
    <cfRule type="cellIs" dxfId="150" priority="14" operator="greaterThan">
      <formula>0</formula>
    </cfRule>
  </conditionalFormatting>
  <conditionalFormatting sqref="L28">
    <cfRule type="cellIs" dxfId="149" priority="13" operator="greaterThan">
      <formula>0</formula>
    </cfRule>
  </conditionalFormatting>
  <conditionalFormatting sqref="M28">
    <cfRule type="cellIs" dxfId="148" priority="12" operator="greaterThan">
      <formula>0</formula>
    </cfRule>
  </conditionalFormatting>
  <conditionalFormatting sqref="M28">
    <cfRule type="cellIs" dxfId="147" priority="11" operator="greaterThan">
      <formula>0</formula>
    </cfRule>
  </conditionalFormatting>
  <conditionalFormatting sqref="M28">
    <cfRule type="cellIs" dxfId="146" priority="10" operator="greaterThan">
      <formula>0</formula>
    </cfRule>
  </conditionalFormatting>
  <conditionalFormatting sqref="M28">
    <cfRule type="cellIs" dxfId="145" priority="9" operator="greaterThan">
      <formula>0</formula>
    </cfRule>
  </conditionalFormatting>
  <conditionalFormatting sqref="H28">
    <cfRule type="cellIs" dxfId="144" priority="8" operator="greaterThan">
      <formula>0</formula>
    </cfRule>
  </conditionalFormatting>
  <conditionalFormatting sqref="H28">
    <cfRule type="cellIs" dxfId="143" priority="7" operator="greaterThan">
      <formula>0</formula>
    </cfRule>
  </conditionalFormatting>
  <conditionalFormatting sqref="H28">
    <cfRule type="cellIs" dxfId="142" priority="6" operator="greaterThan">
      <formula>0</formula>
    </cfRule>
  </conditionalFormatting>
  <conditionalFormatting sqref="H28">
    <cfRule type="cellIs" dxfId="141" priority="5" operator="greaterThan">
      <formula>0</formula>
    </cfRule>
  </conditionalFormatting>
  <conditionalFormatting sqref="W28">
    <cfRule type="cellIs" dxfId="140" priority="4" operator="greaterThan">
      <formula>0</formula>
    </cfRule>
  </conditionalFormatting>
  <conditionalFormatting sqref="W28">
    <cfRule type="cellIs" dxfId="139" priority="3" operator="greaterThan">
      <formula>0</formula>
    </cfRule>
  </conditionalFormatting>
  <conditionalFormatting sqref="W28">
    <cfRule type="cellIs" dxfId="138" priority="2" operator="greaterThan">
      <formula>0</formula>
    </cfRule>
  </conditionalFormatting>
  <conditionalFormatting sqref="W28">
    <cfRule type="cellIs" dxfId="137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" sqref="F1:G1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3.88671875" bestFit="1" customWidth="1"/>
    <col min="4" max="4" width="12.6640625" bestFit="1" customWidth="1"/>
    <col min="5" max="5" width="13.88671875" bestFit="1" customWidth="1"/>
    <col min="6" max="7" width="12.6640625" bestFit="1" customWidth="1"/>
    <col min="8" max="8" width="13.88671875" bestFit="1" customWidth="1"/>
    <col min="9" max="10" width="12.6640625" bestFit="1" customWidth="1"/>
    <col min="11" max="11" width="13.88671875" bestFit="1" customWidth="1"/>
    <col min="12" max="14" width="12.6640625" bestFit="1" customWidth="1"/>
    <col min="15" max="15" width="13.88671875" bestFit="1" customWidth="1"/>
    <col min="16" max="16" width="11.109375" bestFit="1" customWidth="1"/>
    <col min="17" max="17" width="12.6640625" bestFit="1" customWidth="1"/>
    <col min="18" max="19" width="13.88671875" bestFit="1" customWidth="1"/>
    <col min="20" max="20" width="11.109375" bestFit="1" customWidth="1"/>
    <col min="21" max="21" width="12.6640625" bestFit="1" customWidth="1"/>
    <col min="22" max="22" width="13.88671875" bestFit="1" customWidth="1"/>
    <col min="23" max="23" width="12.6640625" bestFit="1" customWidth="1"/>
    <col min="24" max="24" width="14.88671875" bestFit="1" customWidth="1"/>
  </cols>
  <sheetData>
    <row r="1" spans="1:24" x14ac:dyDescent="0.3">
      <c r="C1" s="38" t="s">
        <v>93</v>
      </c>
      <c r="D1" s="38" t="s">
        <v>94</v>
      </c>
      <c r="E1" s="38" t="s">
        <v>95</v>
      </c>
      <c r="F1" s="38" t="s">
        <v>119</v>
      </c>
      <c r="G1" s="38" t="s">
        <v>120</v>
      </c>
      <c r="H1" s="38" t="s">
        <v>96</v>
      </c>
      <c r="I1" s="38" t="s">
        <v>97</v>
      </c>
      <c r="J1" s="38" t="s">
        <v>98</v>
      </c>
      <c r="K1" s="38" t="s">
        <v>99</v>
      </c>
      <c r="L1" s="38" t="s">
        <v>100</v>
      </c>
      <c r="M1" s="38" t="s">
        <v>101</v>
      </c>
      <c r="N1" s="38" t="s">
        <v>102</v>
      </c>
      <c r="O1" s="38" t="s">
        <v>103</v>
      </c>
      <c r="P1" s="38" t="s">
        <v>109</v>
      </c>
      <c r="Q1" s="38" t="s">
        <v>110</v>
      </c>
      <c r="R1" s="38" t="s">
        <v>104</v>
      </c>
      <c r="S1" s="38" t="s">
        <v>105</v>
      </c>
      <c r="T1" s="38" t="s">
        <v>111</v>
      </c>
      <c r="U1" s="38" t="s">
        <v>106</v>
      </c>
      <c r="V1" s="38" t="s">
        <v>107</v>
      </c>
      <c r="W1" s="38" t="s">
        <v>108</v>
      </c>
      <c r="X1" s="38" t="s">
        <v>83</v>
      </c>
    </row>
    <row r="2" spans="1:24" x14ac:dyDescent="0.3">
      <c r="A2" t="s">
        <v>42</v>
      </c>
      <c r="B2" s="6" t="s">
        <v>66</v>
      </c>
      <c r="C2" s="1">
        <v>9521981287.9400005</v>
      </c>
      <c r="D2" s="1">
        <v>1123991645.8800001</v>
      </c>
      <c r="E2" s="1">
        <v>21356690142</v>
      </c>
      <c r="F2" s="1">
        <v>4895857795.5600004</v>
      </c>
      <c r="G2" s="1">
        <v>4235526007.9099998</v>
      </c>
      <c r="H2" s="1">
        <v>9763898305.3299999</v>
      </c>
      <c r="I2" s="1">
        <v>5956678187.8999996</v>
      </c>
      <c r="J2" s="1">
        <v>3332748908.8099999</v>
      </c>
      <c r="K2" s="1">
        <v>9906003226.9500008</v>
      </c>
      <c r="L2" s="1">
        <v>8344581631.3999996</v>
      </c>
      <c r="M2" s="1">
        <v>1717218207.1099999</v>
      </c>
      <c r="N2" s="1">
        <v>3167508325.4000001</v>
      </c>
      <c r="O2" s="1">
        <v>14223384602.58</v>
      </c>
      <c r="P2" s="1">
        <v>0</v>
      </c>
      <c r="Q2" s="1">
        <v>701516470.74000001</v>
      </c>
      <c r="R2" s="1">
        <v>7211268736.75</v>
      </c>
      <c r="S2" s="1">
        <v>6549724094.8299999</v>
      </c>
      <c r="T2" s="1">
        <v>0</v>
      </c>
      <c r="U2" s="1">
        <v>4470404176.0699997</v>
      </c>
      <c r="V2" s="1">
        <v>11717452293</v>
      </c>
      <c r="W2" s="1">
        <v>6963761546</v>
      </c>
      <c r="X2" s="1">
        <f t="shared" ref="X2:X28" si="0">SUM(C2:W2)</f>
        <v>135160195592.16</v>
      </c>
    </row>
    <row r="3" spans="1:24" x14ac:dyDescent="0.3">
      <c r="A3" t="s">
        <v>43</v>
      </c>
      <c r="B3" s="6" t="s">
        <v>66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148655065.81999999</v>
      </c>
      <c r="M3" s="1">
        <v>214867569.09999999</v>
      </c>
      <c r="N3" s="1">
        <v>0</v>
      </c>
      <c r="O3" s="1">
        <v>0</v>
      </c>
      <c r="P3" s="1">
        <v>0</v>
      </c>
      <c r="Q3" s="1">
        <v>0</v>
      </c>
      <c r="R3" s="1">
        <v>4645726713.7399998</v>
      </c>
      <c r="S3" s="1">
        <v>383727476.01999998</v>
      </c>
      <c r="T3" s="1">
        <v>0</v>
      </c>
      <c r="U3" s="1">
        <v>0</v>
      </c>
      <c r="V3" s="1">
        <v>0</v>
      </c>
      <c r="W3" s="1">
        <v>0</v>
      </c>
      <c r="X3" s="1">
        <f t="shared" si="0"/>
        <v>5392976824.6800003</v>
      </c>
    </row>
    <row r="4" spans="1:24" x14ac:dyDescent="0.3">
      <c r="A4" t="s">
        <v>44</v>
      </c>
      <c r="B4" s="6" t="s">
        <v>66</v>
      </c>
      <c r="C4" s="1">
        <v>1048920439.76</v>
      </c>
      <c r="D4" s="1">
        <v>76587757.829999998</v>
      </c>
      <c r="E4" s="1">
        <v>1538113614</v>
      </c>
      <c r="F4" s="1">
        <v>448684845.77999997</v>
      </c>
      <c r="G4" s="1">
        <v>182262078.75999999</v>
      </c>
      <c r="H4" s="1">
        <v>1553100377.75</v>
      </c>
      <c r="I4" s="1">
        <v>510120784.60000002</v>
      </c>
      <c r="J4" s="1">
        <v>822975150.13</v>
      </c>
      <c r="K4" s="1">
        <v>795626871.50999999</v>
      </c>
      <c r="L4" s="1">
        <v>690893471.65999997</v>
      </c>
      <c r="M4" s="1">
        <v>265298621.86000001</v>
      </c>
      <c r="N4" s="1">
        <v>404112867.56</v>
      </c>
      <c r="O4" s="1">
        <v>1406779603.21</v>
      </c>
      <c r="P4" s="1">
        <v>0</v>
      </c>
      <c r="Q4" s="1">
        <v>340455894.24000001</v>
      </c>
      <c r="R4" s="1">
        <v>2748787482.6999998</v>
      </c>
      <c r="S4" s="1">
        <v>4724212249.8400002</v>
      </c>
      <c r="T4" s="1">
        <v>0</v>
      </c>
      <c r="U4" s="1">
        <v>1036050685.05</v>
      </c>
      <c r="V4" s="1">
        <v>4938526725</v>
      </c>
      <c r="W4" s="1">
        <v>843674411</v>
      </c>
      <c r="X4" s="1">
        <f t="shared" si="0"/>
        <v>24375183932.239998</v>
      </c>
    </row>
    <row r="5" spans="1:24" x14ac:dyDescent="0.3">
      <c r="A5" t="s">
        <v>45</v>
      </c>
      <c r="B5" s="6" t="s">
        <v>66</v>
      </c>
      <c r="C5" s="1">
        <v>270337876.04000002</v>
      </c>
      <c r="D5" s="1">
        <v>22464835.829999998</v>
      </c>
      <c r="E5" s="1">
        <v>1054459221</v>
      </c>
      <c r="F5" s="1">
        <v>71464189.120000005</v>
      </c>
      <c r="G5" s="1">
        <v>71667507.079999998</v>
      </c>
      <c r="H5" s="1">
        <v>404363245.79000002</v>
      </c>
      <c r="I5" s="1">
        <v>114322728.26000001</v>
      </c>
      <c r="J5" s="1">
        <v>14196489.880000001</v>
      </c>
      <c r="K5" s="1">
        <v>279732106.51999998</v>
      </c>
      <c r="L5" s="1">
        <v>36093799.990000002</v>
      </c>
      <c r="M5" s="1">
        <v>133212738.77</v>
      </c>
      <c r="N5" s="1">
        <v>108480767.5</v>
      </c>
      <c r="O5" s="1">
        <v>28319049.899999999</v>
      </c>
      <c r="P5" s="1">
        <v>0</v>
      </c>
      <c r="Q5" s="1">
        <v>1905436.65</v>
      </c>
      <c r="R5" s="1">
        <v>382582148.26999998</v>
      </c>
      <c r="S5" s="1">
        <v>4926412.26</v>
      </c>
      <c r="T5" s="1">
        <v>0</v>
      </c>
      <c r="U5" s="1">
        <v>10098792.279999999</v>
      </c>
      <c r="V5" s="1">
        <v>132143719</v>
      </c>
      <c r="W5" s="1">
        <v>8324729</v>
      </c>
      <c r="X5" s="1">
        <f t="shared" si="0"/>
        <v>3149095793.1399999</v>
      </c>
    </row>
    <row r="6" spans="1:24" x14ac:dyDescent="0.3">
      <c r="A6" t="s">
        <v>46</v>
      </c>
      <c r="B6" s="6" t="s">
        <v>66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>
        <f t="shared" si="0"/>
        <v>0</v>
      </c>
    </row>
    <row r="7" spans="1:24" x14ac:dyDescent="0.3">
      <c r="A7" t="s">
        <v>47</v>
      </c>
      <c r="B7" s="6" t="s">
        <v>66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>
        <f t="shared" si="0"/>
        <v>0</v>
      </c>
    </row>
    <row r="8" spans="1:24" x14ac:dyDescent="0.3">
      <c r="A8" t="s">
        <v>48</v>
      </c>
      <c r="B8" s="6" t="s">
        <v>66</v>
      </c>
      <c r="C8" s="1"/>
      <c r="D8" s="1"/>
      <c r="E8" s="1"/>
      <c r="F8" s="1">
        <v>30161423.120000001</v>
      </c>
      <c r="G8" s="1"/>
      <c r="H8" s="1"/>
      <c r="I8" s="1"/>
      <c r="J8" s="1"/>
      <c r="K8" s="1"/>
      <c r="L8" s="1"/>
      <c r="M8" s="1"/>
      <c r="N8" s="1"/>
      <c r="O8" s="1"/>
      <c r="P8" s="1">
        <v>0</v>
      </c>
      <c r="Q8" s="1"/>
      <c r="R8" s="1"/>
      <c r="S8" s="1"/>
      <c r="T8" s="1">
        <v>0</v>
      </c>
      <c r="U8" s="1"/>
      <c r="V8" s="1"/>
      <c r="W8" s="1"/>
      <c r="X8" s="1">
        <f t="shared" si="0"/>
        <v>30161423.120000001</v>
      </c>
    </row>
    <row r="9" spans="1:24" x14ac:dyDescent="0.3">
      <c r="A9" s="7" t="s">
        <v>49</v>
      </c>
      <c r="B9" s="8" t="s">
        <v>66</v>
      </c>
      <c r="C9" s="9">
        <v>198886918.91</v>
      </c>
      <c r="D9" s="9">
        <v>199785636.13999999</v>
      </c>
      <c r="E9" s="9">
        <v>347629223</v>
      </c>
      <c r="F9" s="9">
        <v>136746342.87</v>
      </c>
      <c r="G9" s="9">
        <v>105673604.09999999</v>
      </c>
      <c r="H9" s="9">
        <v>86503495.859999999</v>
      </c>
      <c r="I9" s="9">
        <v>49802117.189999998</v>
      </c>
      <c r="J9" s="9">
        <v>84429309.439999998</v>
      </c>
      <c r="K9" s="9">
        <v>16163978.84</v>
      </c>
      <c r="L9" s="9">
        <v>54539302.590000004</v>
      </c>
      <c r="M9" s="9">
        <v>35928919.049999997</v>
      </c>
      <c r="N9" s="9">
        <v>198698107.31999999</v>
      </c>
      <c r="O9" s="9">
        <v>128931552.83</v>
      </c>
      <c r="P9" s="1">
        <v>0</v>
      </c>
      <c r="Q9" s="9">
        <v>11197827.880000001</v>
      </c>
      <c r="R9" s="9">
        <v>740525378.09000003</v>
      </c>
      <c r="S9" s="9">
        <v>430446786.32999998</v>
      </c>
      <c r="T9" s="1">
        <v>0</v>
      </c>
      <c r="U9" s="9">
        <v>71570104.140000001</v>
      </c>
      <c r="V9" s="9">
        <v>649834114</v>
      </c>
      <c r="W9" s="9">
        <v>318025094</v>
      </c>
      <c r="X9" s="9">
        <f t="shared" si="0"/>
        <v>3865317812.5799994</v>
      </c>
    </row>
    <row r="10" spans="1:24" x14ac:dyDescent="0.3">
      <c r="A10" s="10" t="s">
        <v>69</v>
      </c>
      <c r="B10" s="11" t="s">
        <v>66</v>
      </c>
      <c r="C10" s="23">
        <f t="shared" ref="C10:D10" si="1">SUM(C2:C9)</f>
        <v>11040126522.650002</v>
      </c>
      <c r="D10" s="23">
        <f t="shared" si="1"/>
        <v>1422829875.6799998</v>
      </c>
      <c r="E10" s="23">
        <f t="shared" ref="E10:H10" si="2">SUM(E2:E9)</f>
        <v>24296892200</v>
      </c>
      <c r="F10" s="23">
        <f t="shared" ref="F10:G10" si="3">SUM(F2:F9)</f>
        <v>5582914596.4499998</v>
      </c>
      <c r="G10" s="23">
        <f t="shared" si="3"/>
        <v>4595129197.8500004</v>
      </c>
      <c r="H10" s="23">
        <f t="shared" si="2"/>
        <v>11807865424.730001</v>
      </c>
      <c r="I10" s="23">
        <f t="shared" ref="I10" si="4">SUM(I2:I9)</f>
        <v>6630923817.9499998</v>
      </c>
      <c r="J10" s="23">
        <f t="shared" ref="J10" si="5">SUM(J2:J9)</f>
        <v>4254349858.2600002</v>
      </c>
      <c r="K10" s="23">
        <f t="shared" ref="K10:M10" si="6">SUM(K2:K9)</f>
        <v>10997526183.820002</v>
      </c>
      <c r="L10" s="23">
        <f t="shared" si="6"/>
        <v>9274763271.4599991</v>
      </c>
      <c r="M10" s="23">
        <f t="shared" si="6"/>
        <v>2366526055.8899999</v>
      </c>
      <c r="N10" s="23">
        <f t="shared" ref="N10" si="7">SUM(N2:N9)</f>
        <v>3878800067.7800002</v>
      </c>
      <c r="O10" s="23">
        <f t="shared" ref="O10" si="8">SUM(O2:O9)</f>
        <v>15787414808.52</v>
      </c>
      <c r="P10" s="23">
        <f t="shared" ref="P10:T10" si="9">SUM(P2:P9)</f>
        <v>0</v>
      </c>
      <c r="Q10" s="23">
        <f t="shared" ref="Q10" si="10">SUM(Q2:Q9)</f>
        <v>1055075629.51</v>
      </c>
      <c r="R10" s="23">
        <f t="shared" ref="R10" si="11">SUM(R2:R9)</f>
        <v>15728890459.549999</v>
      </c>
      <c r="S10" s="23">
        <f t="shared" ref="S10" si="12">SUM(S2:S9)</f>
        <v>12093037019.280001</v>
      </c>
      <c r="T10" s="23">
        <f t="shared" si="9"/>
        <v>0</v>
      </c>
      <c r="U10" s="23">
        <f t="shared" ref="U10" si="13">SUM(U2:U9)</f>
        <v>5588123757.54</v>
      </c>
      <c r="V10" s="23">
        <f t="shared" ref="V10:W10" si="14">SUM(V2:V9)</f>
        <v>17437956851</v>
      </c>
      <c r="W10" s="23">
        <f t="shared" si="14"/>
        <v>8133785780</v>
      </c>
      <c r="X10" s="23">
        <f t="shared" si="0"/>
        <v>171972931377.92001</v>
      </c>
    </row>
    <row r="11" spans="1:24" x14ac:dyDescent="0.3">
      <c r="A11" t="s">
        <v>50</v>
      </c>
      <c r="B11" s="6" t="s">
        <v>67</v>
      </c>
      <c r="C11" s="1">
        <v>1701363.97</v>
      </c>
      <c r="D11" s="1">
        <v>2998907.22</v>
      </c>
      <c r="E11" s="1">
        <v>2963092</v>
      </c>
      <c r="F11" s="1">
        <v>17768759.780000001</v>
      </c>
      <c r="G11" s="1">
        <v>9932643.1300000008</v>
      </c>
      <c r="H11" s="1">
        <v>1216712.93</v>
      </c>
      <c r="I11" s="1">
        <v>2777513.67</v>
      </c>
      <c r="J11" s="1">
        <v>949821.68</v>
      </c>
      <c r="K11" s="1">
        <v>1406332.71</v>
      </c>
      <c r="L11" s="1">
        <v>15579390.52</v>
      </c>
      <c r="M11" s="1">
        <v>517397.01</v>
      </c>
      <c r="N11" s="1">
        <v>678138.9</v>
      </c>
      <c r="O11" s="1">
        <v>5741433.5</v>
      </c>
      <c r="P11" s="1">
        <v>0</v>
      </c>
      <c r="Q11" s="1">
        <v>260129.05</v>
      </c>
      <c r="R11" s="1">
        <v>1489409.68</v>
      </c>
      <c r="S11" s="1">
        <v>2344963.35</v>
      </c>
      <c r="T11" s="1">
        <v>0</v>
      </c>
      <c r="U11" s="1">
        <v>4448082.57</v>
      </c>
      <c r="V11" s="1">
        <v>7778761</v>
      </c>
      <c r="W11" s="1">
        <v>1514699</v>
      </c>
      <c r="X11" s="1">
        <f t="shared" si="0"/>
        <v>82067551.669999987</v>
      </c>
    </row>
    <row r="12" spans="1:24" x14ac:dyDescent="0.3">
      <c r="A12" t="s">
        <v>51</v>
      </c>
      <c r="B12" s="6" t="s">
        <v>67</v>
      </c>
      <c r="C12" s="1">
        <v>447439760.06999999</v>
      </c>
      <c r="D12" s="1">
        <v>134228191.34</v>
      </c>
      <c r="E12" s="1">
        <v>1316158215</v>
      </c>
      <c r="F12" s="1">
        <v>260104620.68000001</v>
      </c>
      <c r="G12" s="1">
        <v>174310228.27000001</v>
      </c>
      <c r="H12" s="1">
        <v>480573968.99000001</v>
      </c>
      <c r="I12" s="1">
        <v>443432267.91000003</v>
      </c>
      <c r="J12" s="1">
        <v>160709964.84999999</v>
      </c>
      <c r="K12" s="1">
        <v>396668115.36000001</v>
      </c>
      <c r="L12" s="1">
        <v>398381717.48000002</v>
      </c>
      <c r="M12" s="1">
        <v>96052547.180000007</v>
      </c>
      <c r="N12" s="1">
        <v>284738952.31</v>
      </c>
      <c r="O12" s="1">
        <v>805515548.98000002</v>
      </c>
      <c r="P12" s="1">
        <v>0</v>
      </c>
      <c r="Q12" s="1">
        <v>157803461.5</v>
      </c>
      <c r="R12" s="1">
        <v>1636103014.8099999</v>
      </c>
      <c r="S12" s="1">
        <v>536765950.95999998</v>
      </c>
      <c r="T12" s="1">
        <v>0</v>
      </c>
      <c r="U12" s="1">
        <v>406479717.39999998</v>
      </c>
      <c r="V12" s="1">
        <v>1444528764</v>
      </c>
      <c r="W12" s="1">
        <v>477327565</v>
      </c>
      <c r="X12" s="1">
        <f t="shared" si="0"/>
        <v>10057322572.09</v>
      </c>
    </row>
    <row r="13" spans="1:24" x14ac:dyDescent="0.3">
      <c r="A13" t="s">
        <v>52</v>
      </c>
      <c r="B13" s="6" t="s">
        <v>67</v>
      </c>
      <c r="C13" s="1">
        <v>12096810.689999999</v>
      </c>
      <c r="D13" s="1">
        <v>4073165.92</v>
      </c>
      <c r="E13" s="1">
        <v>2362699</v>
      </c>
      <c r="F13" s="1">
        <v>9798287.6999999993</v>
      </c>
      <c r="G13" s="1">
        <v>11118351.779999999</v>
      </c>
      <c r="H13" s="1">
        <v>4418558.7699999996</v>
      </c>
      <c r="I13" s="1">
        <v>4148064.04</v>
      </c>
      <c r="J13" s="1">
        <v>2005414.24</v>
      </c>
      <c r="K13" s="1">
        <v>17623927.670000002</v>
      </c>
      <c r="L13" s="1">
        <v>2581660.1</v>
      </c>
      <c r="M13" s="1">
        <v>1392075.06</v>
      </c>
      <c r="N13" s="1">
        <v>2539450.0299999998</v>
      </c>
      <c r="O13" s="1">
        <v>17802175.850000001</v>
      </c>
      <c r="P13" s="1">
        <v>0</v>
      </c>
      <c r="Q13" s="1">
        <v>881721.23</v>
      </c>
      <c r="R13" s="1">
        <v>10480970.5</v>
      </c>
      <c r="S13" s="1">
        <v>1909394.91</v>
      </c>
      <c r="T13" s="1">
        <v>0</v>
      </c>
      <c r="U13" s="1">
        <v>4916396.47</v>
      </c>
      <c r="V13" s="1">
        <v>63185274</v>
      </c>
      <c r="W13" s="1">
        <v>4872639</v>
      </c>
      <c r="X13" s="1">
        <f t="shared" si="0"/>
        <v>178207036.95999998</v>
      </c>
    </row>
    <row r="14" spans="1:24" x14ac:dyDescent="0.3">
      <c r="A14" t="s">
        <v>53</v>
      </c>
      <c r="B14" s="6" t="s">
        <v>67</v>
      </c>
      <c r="C14" s="1">
        <v>9937898836.9899998</v>
      </c>
      <c r="D14" s="1">
        <v>792268438.02999997</v>
      </c>
      <c r="E14" s="1">
        <v>21250566730</v>
      </c>
      <c r="F14" s="1">
        <v>4005754957.29</v>
      </c>
      <c r="G14" s="1">
        <v>3371201173.0599999</v>
      </c>
      <c r="H14" s="1">
        <v>10346177237.93</v>
      </c>
      <c r="I14" s="1">
        <v>6100306533.2700005</v>
      </c>
      <c r="J14" s="1">
        <v>3759082046.21</v>
      </c>
      <c r="K14" s="1">
        <v>9887911527.6000004</v>
      </c>
      <c r="L14" s="1">
        <v>8300913197.2200003</v>
      </c>
      <c r="M14" s="1">
        <v>2104491926.8699999</v>
      </c>
      <c r="N14" s="1">
        <v>3194207028.3899999</v>
      </c>
      <c r="O14" s="1">
        <v>13445373205.719999</v>
      </c>
      <c r="P14" s="1">
        <v>0</v>
      </c>
      <c r="Q14" s="1">
        <v>822385564.09000003</v>
      </c>
      <c r="R14" s="1">
        <v>12139602635</v>
      </c>
      <c r="S14" s="1">
        <v>10414117974</v>
      </c>
      <c r="T14" s="1">
        <v>0</v>
      </c>
      <c r="U14" s="1">
        <v>4613295384.0200005</v>
      </c>
      <c r="V14" s="1">
        <v>12855667766</v>
      </c>
      <c r="W14" s="1">
        <v>6590188315</v>
      </c>
      <c r="X14" s="1">
        <f t="shared" si="0"/>
        <v>143931410476.69</v>
      </c>
    </row>
    <row r="15" spans="1:24" x14ac:dyDescent="0.3">
      <c r="A15" t="s">
        <v>54</v>
      </c>
      <c r="B15" s="6" t="s">
        <v>67</v>
      </c>
      <c r="C15" s="1">
        <v>181339857.71000001</v>
      </c>
      <c r="D15" s="1">
        <v>225958506.40000001</v>
      </c>
      <c r="E15" s="1">
        <v>174718157</v>
      </c>
      <c r="F15" s="1">
        <v>1019435382.46</v>
      </c>
      <c r="G15" s="1">
        <v>697810801.88999999</v>
      </c>
      <c r="H15" s="1">
        <v>125963122.14</v>
      </c>
      <c r="I15" s="1">
        <v>190781433.28</v>
      </c>
      <c r="J15" s="1">
        <v>59769632.899999999</v>
      </c>
      <c r="K15" s="1">
        <v>172211030.31999999</v>
      </c>
      <c r="L15" s="1">
        <v>170995093.88</v>
      </c>
      <c r="M15" s="1">
        <v>55865825.920000002</v>
      </c>
      <c r="N15" s="1">
        <v>75245716.099999994</v>
      </c>
      <c r="O15" s="1">
        <v>229714476.71000001</v>
      </c>
      <c r="P15" s="1">
        <v>0</v>
      </c>
      <c r="Q15" s="1">
        <v>36392464.530000001</v>
      </c>
      <c r="R15" s="1">
        <v>252445726.41999999</v>
      </c>
      <c r="S15" s="1">
        <v>158305596.44999999</v>
      </c>
      <c r="T15" s="1">
        <v>0</v>
      </c>
      <c r="U15" s="1">
        <v>119211722.61</v>
      </c>
      <c r="V15" s="1">
        <v>791072118</v>
      </c>
      <c r="W15" s="1">
        <v>212139960</v>
      </c>
      <c r="X15" s="1">
        <f t="shared" si="0"/>
        <v>4949376624.7200012</v>
      </c>
    </row>
    <row r="16" spans="1:24" x14ac:dyDescent="0.3">
      <c r="A16" t="s">
        <v>55</v>
      </c>
      <c r="B16" s="6" t="s">
        <v>67</v>
      </c>
      <c r="C16" s="1">
        <v>23999936.75</v>
      </c>
      <c r="D16" s="1">
        <v>29018923.190000001</v>
      </c>
      <c r="E16" s="1">
        <v>56318014</v>
      </c>
      <c r="F16" s="1">
        <v>74569129.420000002</v>
      </c>
      <c r="G16" s="1">
        <v>43703562.780000001</v>
      </c>
      <c r="H16" s="1">
        <v>201983173.81</v>
      </c>
      <c r="I16" s="1">
        <v>59536485.869999997</v>
      </c>
      <c r="J16" s="1">
        <v>12516006.390000001</v>
      </c>
      <c r="K16" s="1">
        <v>78100932.310000002</v>
      </c>
      <c r="L16" s="1">
        <v>59707053.710000001</v>
      </c>
      <c r="M16" s="1">
        <v>23609710.780000001</v>
      </c>
      <c r="N16" s="1">
        <v>11035519.73</v>
      </c>
      <c r="O16" s="1">
        <v>35136249.810000002</v>
      </c>
      <c r="P16" s="1">
        <v>0</v>
      </c>
      <c r="Q16" s="1">
        <v>4704858.08</v>
      </c>
      <c r="R16" s="1">
        <v>117250253.95999999</v>
      </c>
      <c r="S16" s="1">
        <v>249186084.69</v>
      </c>
      <c r="T16" s="1">
        <v>0</v>
      </c>
      <c r="U16" s="1">
        <v>167075826.09</v>
      </c>
      <c r="V16" s="1">
        <v>88844880</v>
      </c>
      <c r="W16" s="1">
        <v>70566687</v>
      </c>
      <c r="X16" s="1">
        <f t="shared" si="0"/>
        <v>1406863288.3699999</v>
      </c>
    </row>
    <row r="17" spans="1:24" x14ac:dyDescent="0.3">
      <c r="A17" t="s">
        <v>56</v>
      </c>
      <c r="B17" s="6" t="s">
        <v>67</v>
      </c>
      <c r="C17" s="1">
        <v>93801.81</v>
      </c>
      <c r="D17" s="1">
        <v>-9857.91</v>
      </c>
      <c r="E17" s="1">
        <v>1007719</v>
      </c>
      <c r="F17" s="1">
        <v>90908.4</v>
      </c>
      <c r="G17" s="1">
        <v>0</v>
      </c>
      <c r="H17" s="1">
        <v>0</v>
      </c>
      <c r="I17" s="1">
        <v>24090.3</v>
      </c>
      <c r="J17" s="1">
        <v>0</v>
      </c>
      <c r="K17" s="1">
        <v>-63682.95</v>
      </c>
      <c r="L17" s="1">
        <v>-31884.54</v>
      </c>
      <c r="M17" s="1">
        <v>-2939.8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23622.25</v>
      </c>
      <c r="V17" s="1">
        <v>0</v>
      </c>
      <c r="W17" s="1">
        <v>137900</v>
      </c>
      <c r="X17" s="1">
        <f t="shared" si="0"/>
        <v>1269676.5599999998</v>
      </c>
    </row>
    <row r="18" spans="1:24" x14ac:dyDescent="0.3">
      <c r="A18" t="s">
        <v>57</v>
      </c>
      <c r="B18" s="6" t="s">
        <v>67</v>
      </c>
      <c r="C18" s="1">
        <v>35019531.390000001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25805191.579999998</v>
      </c>
      <c r="J18" s="1">
        <v>10647110</v>
      </c>
      <c r="K18" s="1">
        <v>7519010.25</v>
      </c>
      <c r="L18" s="1">
        <v>14580118.76</v>
      </c>
      <c r="M18" s="1">
        <v>24305224.629999999</v>
      </c>
      <c r="N18" s="1">
        <v>35008095.82</v>
      </c>
      <c r="O18" s="1">
        <v>27884355.960000001</v>
      </c>
      <c r="P18" s="1">
        <v>0</v>
      </c>
      <c r="Q18" s="1">
        <v>5163539.25</v>
      </c>
      <c r="R18" s="1">
        <v>0</v>
      </c>
      <c r="S18" s="1">
        <v>72081824.099999994</v>
      </c>
      <c r="T18" s="1">
        <v>0</v>
      </c>
      <c r="U18" s="1">
        <v>17645747.719999999</v>
      </c>
      <c r="V18" s="1">
        <v>228336554</v>
      </c>
      <c r="W18" s="1">
        <v>433339268</v>
      </c>
      <c r="X18" s="1">
        <f t="shared" si="0"/>
        <v>937335571.46000004</v>
      </c>
    </row>
    <row r="19" spans="1:24" x14ac:dyDescent="0.3">
      <c r="A19" t="s">
        <v>14</v>
      </c>
      <c r="B19" s="6" t="s">
        <v>67</v>
      </c>
      <c r="C19" s="1">
        <v>113914424.38</v>
      </c>
      <c r="D19" s="1">
        <v>8365405.6299999999</v>
      </c>
      <c r="E19" s="1">
        <v>42297232</v>
      </c>
      <c r="F19" s="1">
        <v>5693891.79</v>
      </c>
      <c r="G19" s="1">
        <v>0</v>
      </c>
      <c r="H19" s="1">
        <v>0</v>
      </c>
      <c r="I19" s="1">
        <v>7349094.9199999999</v>
      </c>
      <c r="J19" s="1">
        <v>4820618.4000000004</v>
      </c>
      <c r="K19" s="1">
        <v>0</v>
      </c>
      <c r="L19" s="1">
        <v>0</v>
      </c>
      <c r="M19" s="1">
        <v>0</v>
      </c>
      <c r="N19" s="1">
        <v>100980474.63</v>
      </c>
      <c r="O19" s="1">
        <v>77506799.810000002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25719036</v>
      </c>
      <c r="W19" s="1">
        <v>27506603</v>
      </c>
      <c r="X19" s="1">
        <f t="shared" si="0"/>
        <v>414153580.56</v>
      </c>
    </row>
    <row r="20" spans="1:24" x14ac:dyDescent="0.3">
      <c r="A20" s="7" t="s">
        <v>58</v>
      </c>
      <c r="B20" s="8" t="s">
        <v>67</v>
      </c>
      <c r="C20" s="9">
        <v>7064888.0599999996</v>
      </c>
      <c r="D20" s="9">
        <v>9319002.1099999994</v>
      </c>
      <c r="E20" s="9">
        <v>929946055</v>
      </c>
      <c r="F20" s="9">
        <v>54255701.240000002</v>
      </c>
      <c r="G20" s="9">
        <v>7464909.4500000002</v>
      </c>
      <c r="H20" s="9">
        <v>88079494.829999998</v>
      </c>
      <c r="I20" s="9">
        <v>5786274.3499999996</v>
      </c>
      <c r="J20" s="9">
        <v>1702494.29</v>
      </c>
      <c r="K20" s="9">
        <v>4998374.67</v>
      </c>
      <c r="L20" s="9">
        <v>9882260.0600000005</v>
      </c>
      <c r="M20" s="9">
        <v>2879681.27</v>
      </c>
      <c r="N20" s="9">
        <v>7977513.04</v>
      </c>
      <c r="O20" s="9">
        <v>40624349.100000001</v>
      </c>
      <c r="P20" s="1">
        <v>0</v>
      </c>
      <c r="Q20" s="9">
        <v>18203492.719999999</v>
      </c>
      <c r="R20" s="9">
        <v>137427620.41</v>
      </c>
      <c r="S20" s="9">
        <v>24768514.600000001</v>
      </c>
      <c r="T20" s="1">
        <v>0</v>
      </c>
      <c r="U20" s="9">
        <v>54469169.060000002</v>
      </c>
      <c r="V20" s="9">
        <v>512556844</v>
      </c>
      <c r="W20" s="9">
        <v>92907873</v>
      </c>
      <c r="X20" s="9">
        <f t="shared" si="0"/>
        <v>2010314511.2599998</v>
      </c>
    </row>
    <row r="21" spans="1:24" x14ac:dyDescent="0.3">
      <c r="A21" s="10" t="s">
        <v>70</v>
      </c>
      <c r="B21" s="11" t="s">
        <v>67</v>
      </c>
      <c r="C21" s="23">
        <f t="shared" ref="C21:D21" si="15">SUM(C11:C20)</f>
        <v>10760569211.819996</v>
      </c>
      <c r="D21" s="23">
        <f t="shared" si="15"/>
        <v>1206220681.9300001</v>
      </c>
      <c r="E21" s="23">
        <f t="shared" ref="E21:T21" si="16">SUM(E11:E20)</f>
        <v>23776337913</v>
      </c>
      <c r="F21" s="23">
        <f t="shared" ref="F21:G21" si="17">SUM(F11:F20)</f>
        <v>5447471638.7599993</v>
      </c>
      <c r="G21" s="23">
        <f t="shared" si="17"/>
        <v>4315541670.3599997</v>
      </c>
      <c r="H21" s="23">
        <f t="shared" si="16"/>
        <v>11248412269.4</v>
      </c>
      <c r="I21" s="23">
        <f t="shared" ref="I21" si="18">SUM(I11:I20)</f>
        <v>6839946949.1900005</v>
      </c>
      <c r="J21" s="23">
        <f t="shared" ref="J21" si="19">SUM(J11:J20)</f>
        <v>4012203108.96</v>
      </c>
      <c r="K21" s="23">
        <f t="shared" ref="K21:M21" si="20">SUM(K11:K20)</f>
        <v>10566375567.939999</v>
      </c>
      <c r="L21" s="23">
        <f t="shared" si="20"/>
        <v>8972588607.1899967</v>
      </c>
      <c r="M21" s="23">
        <f t="shared" si="20"/>
        <v>2309111448.9200001</v>
      </c>
      <c r="N21" s="23">
        <f t="shared" ref="N21" si="21">SUM(N11:N20)</f>
        <v>3712410888.9499998</v>
      </c>
      <c r="O21" s="23">
        <f t="shared" ref="O21" si="22">SUM(O11:O20)</f>
        <v>14685298595.439997</v>
      </c>
      <c r="P21" s="5">
        <f t="shared" si="16"/>
        <v>0</v>
      </c>
      <c r="Q21" s="23">
        <f t="shared" ref="Q21" si="23">SUM(Q11:Q20)</f>
        <v>1045795230.45</v>
      </c>
      <c r="R21" s="23">
        <f t="shared" si="16"/>
        <v>14294799630.779999</v>
      </c>
      <c r="S21" s="23">
        <f t="shared" ref="S21" si="24">SUM(S11:S20)</f>
        <v>11459480303.060001</v>
      </c>
      <c r="T21" s="5">
        <f t="shared" si="16"/>
        <v>0</v>
      </c>
      <c r="U21" s="23">
        <f t="shared" ref="U21" si="25">SUM(U11:U20)</f>
        <v>5387565668.1900005</v>
      </c>
      <c r="V21" s="23">
        <f t="shared" ref="V21:W21" si="26">SUM(V11:V20)</f>
        <v>16017689997</v>
      </c>
      <c r="W21" s="23">
        <f t="shared" si="26"/>
        <v>7910501509</v>
      </c>
      <c r="X21" s="23">
        <f t="shared" si="0"/>
        <v>163968320890.34</v>
      </c>
    </row>
    <row r="22" spans="1:24" x14ac:dyDescent="0.3">
      <c r="A22" t="s">
        <v>59</v>
      </c>
      <c r="B22" s="6" t="s">
        <v>66</v>
      </c>
      <c r="C22" s="1">
        <v>416098.37</v>
      </c>
      <c r="D22" s="1">
        <v>11276831.99</v>
      </c>
      <c r="E22" s="1">
        <v>40948452</v>
      </c>
      <c r="F22" s="1">
        <v>24007926.140000001</v>
      </c>
      <c r="G22" s="1">
        <v>14873673.33</v>
      </c>
      <c r="H22" s="1">
        <v>1437320.36</v>
      </c>
      <c r="I22" s="1">
        <v>10421991.82</v>
      </c>
      <c r="J22" s="1">
        <v>6505533.5899999999</v>
      </c>
      <c r="K22" s="1">
        <v>5532272.21</v>
      </c>
      <c r="L22" s="1">
        <v>9223373.25</v>
      </c>
      <c r="M22" s="1">
        <v>17280341.57</v>
      </c>
      <c r="N22" s="1">
        <v>13627930.539999999</v>
      </c>
      <c r="O22" s="1">
        <v>4582751.7</v>
      </c>
      <c r="P22" s="1">
        <v>0</v>
      </c>
      <c r="Q22" s="1">
        <v>11503302.32</v>
      </c>
      <c r="R22" s="1">
        <v>7444839.7599999998</v>
      </c>
      <c r="S22" s="1">
        <v>3780615.23</v>
      </c>
      <c r="T22" s="1">
        <v>0</v>
      </c>
      <c r="U22" s="1">
        <v>7914406.9800000004</v>
      </c>
      <c r="V22" s="1">
        <v>7946774</v>
      </c>
      <c r="W22" s="1">
        <v>14711058</v>
      </c>
      <c r="X22" s="1">
        <f t="shared" si="0"/>
        <v>213435493.15999994</v>
      </c>
    </row>
    <row r="23" spans="1:24" x14ac:dyDescent="0.3">
      <c r="A23" t="s">
        <v>60</v>
      </c>
      <c r="B23" s="6" t="s">
        <v>67</v>
      </c>
      <c r="C23" s="1">
        <v>207592018.65000001</v>
      </c>
      <c r="D23" s="1">
        <v>23597767.309999999</v>
      </c>
      <c r="E23" s="1">
        <v>87656614</v>
      </c>
      <c r="F23" s="1">
        <v>1578603.4</v>
      </c>
      <c r="G23" s="1">
        <v>152963.23000000001</v>
      </c>
      <c r="H23" s="1">
        <v>57170900.420000002</v>
      </c>
      <c r="I23" s="1">
        <v>16129218.43</v>
      </c>
      <c r="J23" s="1">
        <v>26489540.789999999</v>
      </c>
      <c r="K23" s="1">
        <v>57661554.799999997</v>
      </c>
      <c r="L23" s="1">
        <v>70671908.969999999</v>
      </c>
      <c r="M23" s="1">
        <v>35781994.189999998</v>
      </c>
      <c r="N23" s="1">
        <v>38276769.270000003</v>
      </c>
      <c r="O23" s="1">
        <v>767298914.50999999</v>
      </c>
      <c r="P23" s="1">
        <v>0</v>
      </c>
      <c r="Q23" s="1">
        <v>19513437.16</v>
      </c>
      <c r="R23" s="1">
        <v>244723241.28</v>
      </c>
      <c r="S23" s="1">
        <v>48855171.68</v>
      </c>
      <c r="T23" s="1">
        <v>0</v>
      </c>
      <c r="U23" s="1">
        <v>71327636.890000001</v>
      </c>
      <c r="V23" s="1">
        <v>389350764</v>
      </c>
      <c r="W23" s="1">
        <v>70792409</v>
      </c>
      <c r="X23" s="1">
        <f t="shared" si="0"/>
        <v>2234621427.9800005</v>
      </c>
    </row>
    <row r="24" spans="1:24" x14ac:dyDescent="0.3">
      <c r="A24" t="s">
        <v>61</v>
      </c>
      <c r="B24" s="6" t="s">
        <v>66</v>
      </c>
      <c r="C24" s="1">
        <v>-12538534.859999999</v>
      </c>
      <c r="D24" s="1">
        <v>-540.02</v>
      </c>
      <c r="E24" s="1">
        <v>-45579322</v>
      </c>
      <c r="F24" s="1">
        <v>-1075164.96</v>
      </c>
      <c r="G24" s="1">
        <v>130735388.51000001</v>
      </c>
      <c r="H24" s="1">
        <v>18463251.399999999</v>
      </c>
      <c r="I24" s="1">
        <v>1486586.51</v>
      </c>
      <c r="J24" s="1">
        <v>0</v>
      </c>
      <c r="K24" s="1">
        <v>676024.72</v>
      </c>
      <c r="L24" s="1">
        <v>-6307455.3399999999</v>
      </c>
      <c r="M24" s="1">
        <v>-2832064.56</v>
      </c>
      <c r="N24" s="1">
        <v>-410959.5</v>
      </c>
      <c r="O24" s="1">
        <v>-3732287.53</v>
      </c>
      <c r="P24" s="1">
        <v>0</v>
      </c>
      <c r="Q24" s="1">
        <v>0</v>
      </c>
      <c r="R24" s="1">
        <v>-2072215</v>
      </c>
      <c r="S24" s="1">
        <v>0</v>
      </c>
      <c r="T24" s="1">
        <v>0</v>
      </c>
      <c r="U24" s="1">
        <v>1013922.23</v>
      </c>
      <c r="V24" s="1">
        <v>25719036</v>
      </c>
      <c r="W24" s="1">
        <v>40438372</v>
      </c>
      <c r="X24" s="1">
        <f t="shared" si="0"/>
        <v>143984037.60000002</v>
      </c>
    </row>
    <row r="25" spans="1:24" x14ac:dyDescent="0.3">
      <c r="A25" t="s">
        <v>62</v>
      </c>
      <c r="B25" s="6" t="s">
        <v>66</v>
      </c>
      <c r="C25" s="1">
        <v>854352984.04999995</v>
      </c>
      <c r="D25" s="1">
        <v>22740709.16</v>
      </c>
      <c r="E25" s="1">
        <v>237630368</v>
      </c>
      <c r="F25" s="1">
        <v>189668853.59</v>
      </c>
      <c r="G25" s="1">
        <v>27559470.100000001</v>
      </c>
      <c r="H25" s="1">
        <v>124914431.28</v>
      </c>
      <c r="I25" s="1">
        <v>100432876.68000001</v>
      </c>
      <c r="J25" s="1">
        <v>33589672.289999999</v>
      </c>
      <c r="K25" s="1">
        <v>55603858.909999996</v>
      </c>
      <c r="L25" s="1">
        <v>409497087.75</v>
      </c>
      <c r="M25" s="1">
        <v>6739673.1600000001</v>
      </c>
      <c r="N25" s="1">
        <v>66915336.649999999</v>
      </c>
      <c r="O25" s="1">
        <v>414296858.13</v>
      </c>
      <c r="P25" s="1">
        <v>0</v>
      </c>
      <c r="Q25" s="1">
        <v>1038002.18</v>
      </c>
      <c r="R25" s="1">
        <v>767278807.39999998</v>
      </c>
      <c r="S25" s="1">
        <v>118162808.40000001</v>
      </c>
      <c r="T25" s="1">
        <v>0</v>
      </c>
      <c r="U25" s="1">
        <v>742304406.77999997</v>
      </c>
      <c r="V25" s="1">
        <v>574156489</v>
      </c>
      <c r="W25" s="1">
        <v>593101038</v>
      </c>
      <c r="X25" s="1">
        <f t="shared" si="0"/>
        <v>5339983731.5100002</v>
      </c>
    </row>
    <row r="26" spans="1:24" x14ac:dyDescent="0.3">
      <c r="A26" t="s">
        <v>63</v>
      </c>
      <c r="B26" s="6" t="s">
        <v>67</v>
      </c>
      <c r="C26" s="1">
        <v>313573790.54000002</v>
      </c>
      <c r="D26" s="1">
        <v>2253433.8199999998</v>
      </c>
      <c r="E26" s="1">
        <v>157548956</v>
      </c>
      <c r="F26" s="1">
        <v>173841704.31999999</v>
      </c>
      <c r="G26" s="1">
        <v>42338667.840000004</v>
      </c>
      <c r="H26" s="1">
        <v>45429802.460000001</v>
      </c>
      <c r="I26" s="1">
        <v>180398866.80000001</v>
      </c>
      <c r="J26" s="1">
        <v>104737114.67</v>
      </c>
      <c r="K26" s="1">
        <v>30224487</v>
      </c>
      <c r="L26" s="1">
        <v>364381543.07999998</v>
      </c>
      <c r="M26" s="1">
        <v>2273908.7999999998</v>
      </c>
      <c r="N26" s="1">
        <v>19686820.510000002</v>
      </c>
      <c r="O26" s="1">
        <v>228215362.78</v>
      </c>
      <c r="P26" s="1">
        <v>0</v>
      </c>
      <c r="Q26" s="1">
        <v>87606515.109999999</v>
      </c>
      <c r="R26" s="1">
        <v>693265009.01999998</v>
      </c>
      <c r="S26" s="1">
        <v>349927713.69999999</v>
      </c>
      <c r="T26" s="1">
        <v>0</v>
      </c>
      <c r="U26" s="1">
        <v>930083649.07000005</v>
      </c>
      <c r="V26" s="1">
        <v>883422663</v>
      </c>
      <c r="W26" s="1">
        <v>649878709</v>
      </c>
      <c r="X26" s="1">
        <f t="shared" si="0"/>
        <v>5259088717.5200005</v>
      </c>
    </row>
    <row r="27" spans="1:24" x14ac:dyDescent="0.3">
      <c r="A27" t="s">
        <v>64</v>
      </c>
      <c r="B27" s="6" t="s">
        <v>67</v>
      </c>
      <c r="C27" s="1">
        <v>10511488.199999999</v>
      </c>
      <c r="D27" s="1">
        <v>14444186.82</v>
      </c>
      <c r="E27" s="1">
        <v>10102491</v>
      </c>
      <c r="F27" s="1">
        <v>62118833.479999997</v>
      </c>
      <c r="G27" s="1">
        <v>43092955.159999996</v>
      </c>
      <c r="H27" s="1">
        <v>9583306.4100000001</v>
      </c>
      <c r="I27" s="1">
        <v>12557333.42</v>
      </c>
      <c r="J27" s="1">
        <v>3775529.59</v>
      </c>
      <c r="K27" s="1">
        <v>11330059.73</v>
      </c>
      <c r="L27" s="1">
        <v>11776962.970000001</v>
      </c>
      <c r="M27" s="1">
        <v>3652265.32</v>
      </c>
      <c r="N27" s="1">
        <v>5208193.5</v>
      </c>
      <c r="O27" s="1">
        <v>16273552.58</v>
      </c>
      <c r="P27" s="1">
        <v>0</v>
      </c>
      <c r="Q27" s="1">
        <v>2615929.42</v>
      </c>
      <c r="R27" s="1">
        <v>17553644.719999999</v>
      </c>
      <c r="S27" s="1">
        <v>10098137.17</v>
      </c>
      <c r="T27" s="1">
        <v>0</v>
      </c>
      <c r="U27" s="1">
        <v>7943371.7800000003</v>
      </c>
      <c r="V27" s="1">
        <v>64321847</v>
      </c>
      <c r="W27" s="1">
        <v>14829442</v>
      </c>
      <c r="X27" s="1">
        <f t="shared" si="0"/>
        <v>331789530.26999998</v>
      </c>
    </row>
    <row r="28" spans="1:24" x14ac:dyDescent="0.3">
      <c r="A28" s="4" t="s">
        <v>65</v>
      </c>
      <c r="B28" s="11" t="s">
        <v>68</v>
      </c>
      <c r="C28" s="12">
        <f t="shared" ref="C28:D28" si="27">C10-C21+C22-C23+C24+C25-C26-C27</f>
        <v>590110561.00000548</v>
      </c>
      <c r="D28" s="12">
        <f t="shared" si="27"/>
        <v>210330806.92999977</v>
      </c>
      <c r="E28" s="12">
        <f t="shared" ref="E28:H28" si="28">E10-E21+E22-E23+E24+E25-E26-E27</f>
        <v>498245724</v>
      </c>
      <c r="F28" s="12">
        <f t="shared" si="28"/>
        <v>110505431.26000056</v>
      </c>
      <c r="G28" s="12">
        <f t="shared" si="28"/>
        <v>367171473.20000076</v>
      </c>
      <c r="H28" s="12">
        <f t="shared" si="28"/>
        <v>592084149.08000183</v>
      </c>
      <c r="I28" s="12">
        <f t="shared" ref="I28:J28" si="29">I10-I21+I22-I23+I24+I25-I26-I27</f>
        <v>-305767094.88000077</v>
      </c>
      <c r="J28" s="12">
        <f t="shared" si="29"/>
        <v>147239770.1300002</v>
      </c>
      <c r="K28" s="12">
        <f t="shared" ref="K28:M28" si="30">K10-K21+K22-K23+K24+K25-K26-K27</f>
        <v>393746670.19000292</v>
      </c>
      <c r="L28" s="12">
        <f t="shared" si="30"/>
        <v>267757254.91000244</v>
      </c>
      <c r="M28" s="12">
        <f t="shared" si="30"/>
        <v>36894388.829999782</v>
      </c>
      <c r="N28" s="12">
        <f t="shared" ref="N28" si="31">N10-N21+N22-N23+N24+N25-N26-N27</f>
        <v>183349703.2400004</v>
      </c>
      <c r="O28" s="12">
        <f t="shared" ref="O28" si="32">O10-O21+O22-O23+O24+O25-O26-O27</f>
        <v>505475705.51000386</v>
      </c>
      <c r="P28" s="12">
        <f t="shared" ref="P28:T28" si="33">SUM(P22:P27)</f>
        <v>0</v>
      </c>
      <c r="Q28" s="12">
        <f t="shared" ref="Q28" si="34">Q10-Q21+Q22-Q23+Q24+Q25-Q26-Q27</f>
        <v>-87914178.130000055</v>
      </c>
      <c r="R28" s="12">
        <f t="shared" ref="R28:S28" si="35">R10-R21+R22-R23+R24+R25-R26-R27</f>
        <v>1251200365.9100006</v>
      </c>
      <c r="S28" s="12">
        <f t="shared" si="35"/>
        <v>346619117.29999936</v>
      </c>
      <c r="T28" s="12">
        <f t="shared" si="33"/>
        <v>0</v>
      </c>
      <c r="U28" s="12">
        <f t="shared" ref="U28:W28" si="36">U10-U21+U22-U23+U24+U25-U26-U27</f>
        <v>-57563832.400000721</v>
      </c>
      <c r="V28" s="12">
        <f t="shared" si="36"/>
        <v>690993879</v>
      </c>
      <c r="W28" s="12">
        <f t="shared" si="36"/>
        <v>136034179</v>
      </c>
      <c r="X28" s="12">
        <f t="shared" si="0"/>
        <v>5876514074.0800161</v>
      </c>
    </row>
    <row r="29" spans="1:24" x14ac:dyDescent="0.3">
      <c r="C29" s="1"/>
      <c r="D29" s="1"/>
    </row>
  </sheetData>
  <conditionalFormatting sqref="C28:X28">
    <cfRule type="cellIs" dxfId="136" priority="111" operator="greaterThan">
      <formula>0</formula>
    </cfRule>
  </conditionalFormatting>
  <conditionalFormatting sqref="R28">
    <cfRule type="cellIs" dxfId="135" priority="44" operator="greaterThan">
      <formula>0</formula>
    </cfRule>
  </conditionalFormatting>
  <conditionalFormatting sqref="R28">
    <cfRule type="cellIs" dxfId="134" priority="43" operator="greaterThan">
      <formula>0</formula>
    </cfRule>
  </conditionalFormatting>
  <conditionalFormatting sqref="U28">
    <cfRule type="cellIs" dxfId="133" priority="42" operator="greaterThan">
      <formula>0</formula>
    </cfRule>
  </conditionalFormatting>
  <conditionalFormatting sqref="U28">
    <cfRule type="cellIs" dxfId="132" priority="41" operator="greaterThan">
      <formula>0</formula>
    </cfRule>
  </conditionalFormatting>
  <conditionalFormatting sqref="K28">
    <cfRule type="cellIs" dxfId="131" priority="40" operator="greaterThan">
      <formula>0</formula>
    </cfRule>
  </conditionalFormatting>
  <conditionalFormatting sqref="K28">
    <cfRule type="cellIs" dxfId="130" priority="39" operator="greaterThan">
      <formula>0</formula>
    </cfRule>
  </conditionalFormatting>
  <conditionalFormatting sqref="I28">
    <cfRule type="cellIs" dxfId="129" priority="38" operator="greaterThan">
      <formula>0</formula>
    </cfRule>
  </conditionalFormatting>
  <conditionalFormatting sqref="I28">
    <cfRule type="cellIs" dxfId="128" priority="37" operator="greaterThan">
      <formula>0</formula>
    </cfRule>
  </conditionalFormatting>
  <conditionalFormatting sqref="O28">
    <cfRule type="cellIs" dxfId="127" priority="36" operator="greaterThan">
      <formula>0</formula>
    </cfRule>
  </conditionalFormatting>
  <conditionalFormatting sqref="O28">
    <cfRule type="cellIs" dxfId="126" priority="35" operator="greaterThan">
      <formula>0</formula>
    </cfRule>
  </conditionalFormatting>
  <conditionalFormatting sqref="J28">
    <cfRule type="cellIs" dxfId="125" priority="34" operator="greaterThan">
      <formula>0</formula>
    </cfRule>
  </conditionalFormatting>
  <conditionalFormatting sqref="J28">
    <cfRule type="cellIs" dxfId="124" priority="33" operator="greaterThan">
      <formula>0</formula>
    </cfRule>
  </conditionalFormatting>
  <conditionalFormatting sqref="E28:F28">
    <cfRule type="cellIs" dxfId="123" priority="32" operator="greaterThan">
      <formula>0</formula>
    </cfRule>
  </conditionalFormatting>
  <conditionalFormatting sqref="E28:F28">
    <cfRule type="cellIs" dxfId="122" priority="31" operator="greaterThan">
      <formula>0</formula>
    </cfRule>
  </conditionalFormatting>
  <conditionalFormatting sqref="E28:F28">
    <cfRule type="cellIs" dxfId="121" priority="30" operator="greaterThan">
      <formula>0</formula>
    </cfRule>
  </conditionalFormatting>
  <conditionalFormatting sqref="E28:F28">
    <cfRule type="cellIs" dxfId="120" priority="29" operator="greaterThan">
      <formula>0</formula>
    </cfRule>
  </conditionalFormatting>
  <conditionalFormatting sqref="N28">
    <cfRule type="cellIs" dxfId="119" priority="28" operator="greaterThan">
      <formula>0</formula>
    </cfRule>
  </conditionalFormatting>
  <conditionalFormatting sqref="N28">
    <cfRule type="cellIs" dxfId="118" priority="27" operator="greaterThan">
      <formula>0</formula>
    </cfRule>
  </conditionalFormatting>
  <conditionalFormatting sqref="Q28">
    <cfRule type="cellIs" dxfId="117" priority="26" operator="greaterThan">
      <formula>0</formula>
    </cfRule>
  </conditionalFormatting>
  <conditionalFormatting sqref="Q28">
    <cfRule type="cellIs" dxfId="116" priority="25" operator="greaterThan">
      <formula>0</formula>
    </cfRule>
  </conditionalFormatting>
  <conditionalFormatting sqref="C28">
    <cfRule type="cellIs" dxfId="115" priority="24" operator="greaterThan">
      <formula>0</formula>
    </cfRule>
  </conditionalFormatting>
  <conditionalFormatting sqref="C28">
    <cfRule type="cellIs" dxfId="114" priority="23" operator="greaterThan">
      <formula>0</formula>
    </cfRule>
  </conditionalFormatting>
  <conditionalFormatting sqref="S28">
    <cfRule type="cellIs" dxfId="113" priority="22" operator="greaterThan">
      <formula>0</formula>
    </cfRule>
  </conditionalFormatting>
  <conditionalFormatting sqref="S28">
    <cfRule type="cellIs" dxfId="112" priority="21" operator="greaterThan">
      <formula>0</formula>
    </cfRule>
  </conditionalFormatting>
  <conditionalFormatting sqref="V28">
    <cfRule type="cellIs" dxfId="111" priority="20" operator="greaterThan">
      <formula>0</formula>
    </cfRule>
  </conditionalFormatting>
  <conditionalFormatting sqref="V28">
    <cfRule type="cellIs" dxfId="110" priority="19" operator="greaterThan">
      <formula>0</formula>
    </cfRule>
  </conditionalFormatting>
  <conditionalFormatting sqref="L28">
    <cfRule type="cellIs" dxfId="109" priority="18" operator="greaterThan">
      <formula>0</formula>
    </cfRule>
  </conditionalFormatting>
  <conditionalFormatting sqref="L28">
    <cfRule type="cellIs" dxfId="108" priority="17" operator="greaterThan">
      <formula>0</formula>
    </cfRule>
  </conditionalFormatting>
  <conditionalFormatting sqref="G28">
    <cfRule type="cellIs" dxfId="107" priority="16" operator="greaterThan">
      <formula>0</formula>
    </cfRule>
  </conditionalFormatting>
  <conditionalFormatting sqref="G28">
    <cfRule type="cellIs" dxfId="106" priority="15" operator="greaterThan">
      <formula>0</formula>
    </cfRule>
  </conditionalFormatting>
  <conditionalFormatting sqref="M28">
    <cfRule type="cellIs" dxfId="105" priority="14" operator="greaterThan">
      <formula>0</formula>
    </cfRule>
  </conditionalFormatting>
  <conditionalFormatting sqref="M28">
    <cfRule type="cellIs" dxfId="104" priority="13" operator="greaterThan">
      <formula>0</formula>
    </cfRule>
  </conditionalFormatting>
  <conditionalFormatting sqref="D28">
    <cfRule type="cellIs" dxfId="103" priority="12" operator="greaterThan">
      <formula>0</formula>
    </cfRule>
  </conditionalFormatting>
  <conditionalFormatting sqref="D28">
    <cfRule type="cellIs" dxfId="102" priority="11" operator="greaterThan">
      <formula>0</formula>
    </cfRule>
  </conditionalFormatting>
  <conditionalFormatting sqref="H28">
    <cfRule type="cellIs" dxfId="101" priority="10" operator="greaterThan">
      <formula>0</formula>
    </cfRule>
  </conditionalFormatting>
  <conditionalFormatting sqref="H28">
    <cfRule type="cellIs" dxfId="100" priority="9" operator="greaterThan">
      <formula>0</formula>
    </cfRule>
  </conditionalFormatting>
  <conditionalFormatting sqref="W28">
    <cfRule type="cellIs" dxfId="99" priority="8" operator="greaterThan">
      <formula>0</formula>
    </cfRule>
  </conditionalFormatting>
  <conditionalFormatting sqref="W28">
    <cfRule type="cellIs" dxfId="98" priority="7" operator="greaterThan">
      <formula>0</formula>
    </cfRule>
  </conditionalFormatting>
  <conditionalFormatting sqref="F28">
    <cfRule type="cellIs" dxfId="97" priority="6" operator="greaterThan">
      <formula>0</formula>
    </cfRule>
  </conditionalFormatting>
  <conditionalFormatting sqref="F28">
    <cfRule type="cellIs" dxfId="96" priority="5" operator="greaterThan">
      <formula>0</formula>
    </cfRule>
  </conditionalFormatting>
  <conditionalFormatting sqref="F28">
    <cfRule type="cellIs" dxfId="95" priority="4" operator="greaterThan">
      <formula>0</formula>
    </cfRule>
  </conditionalFormatting>
  <conditionalFormatting sqref="F28">
    <cfRule type="cellIs" dxfId="94" priority="3" operator="greaterThan">
      <formula>0</formula>
    </cfRule>
  </conditionalFormatting>
  <conditionalFormatting sqref="G28">
    <cfRule type="cellIs" dxfId="93" priority="2" operator="greaterThan">
      <formula>0</formula>
    </cfRule>
  </conditionalFormatting>
  <conditionalFormatting sqref="G28">
    <cfRule type="cellIs" dxfId="9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F28" sqref="F28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3.88671875" bestFit="1" customWidth="1"/>
    <col min="4" max="4" width="12.6640625" bestFit="1" customWidth="1"/>
    <col min="5" max="5" width="13.88671875" bestFit="1" customWidth="1"/>
    <col min="6" max="7" width="12.6640625" bestFit="1" customWidth="1"/>
    <col min="8" max="8" width="13.88671875" bestFit="1" customWidth="1"/>
    <col min="9" max="10" width="12.6640625" bestFit="1" customWidth="1"/>
    <col min="11" max="11" width="13.88671875" bestFit="1" customWidth="1"/>
    <col min="12" max="14" width="12.6640625" bestFit="1" customWidth="1"/>
    <col min="15" max="15" width="13.88671875" bestFit="1" customWidth="1"/>
    <col min="16" max="16" width="11.109375" bestFit="1" customWidth="1"/>
    <col min="17" max="17" width="12.6640625" bestFit="1" customWidth="1"/>
    <col min="18" max="19" width="13.88671875" bestFit="1" customWidth="1"/>
    <col min="20" max="20" width="11.109375" bestFit="1" customWidth="1"/>
    <col min="21" max="21" width="12.6640625" bestFit="1" customWidth="1"/>
    <col min="22" max="22" width="13.88671875" bestFit="1" customWidth="1"/>
    <col min="23" max="23" width="12.6640625" bestFit="1" customWidth="1"/>
    <col min="24" max="24" width="14.88671875" bestFit="1" customWidth="1"/>
    <col min="25" max="25" width="13.5546875" bestFit="1" customWidth="1"/>
  </cols>
  <sheetData>
    <row r="1" spans="1:25" x14ac:dyDescent="0.3">
      <c r="C1" s="38" t="s">
        <v>93</v>
      </c>
      <c r="D1" s="38" t="s">
        <v>94</v>
      </c>
      <c r="E1" s="38" t="s">
        <v>95</v>
      </c>
      <c r="F1" s="38" t="s">
        <v>119</v>
      </c>
      <c r="G1" s="38" t="s">
        <v>120</v>
      </c>
      <c r="H1" s="38" t="s">
        <v>96</v>
      </c>
      <c r="I1" s="38" t="s">
        <v>97</v>
      </c>
      <c r="J1" s="38" t="s">
        <v>98</v>
      </c>
      <c r="K1" s="38" t="s">
        <v>99</v>
      </c>
      <c r="L1" s="38" t="s">
        <v>100</v>
      </c>
      <c r="M1" s="38" t="s">
        <v>101</v>
      </c>
      <c r="N1" s="38" t="s">
        <v>102</v>
      </c>
      <c r="O1" s="38" t="s">
        <v>103</v>
      </c>
      <c r="P1" s="38" t="s">
        <v>109</v>
      </c>
      <c r="Q1" s="38" t="s">
        <v>110</v>
      </c>
      <c r="R1" s="38" t="s">
        <v>104</v>
      </c>
      <c r="S1" s="38" t="s">
        <v>105</v>
      </c>
      <c r="T1" s="38" t="s">
        <v>111</v>
      </c>
      <c r="U1" s="38" t="s">
        <v>106</v>
      </c>
      <c r="V1" s="38" t="s">
        <v>107</v>
      </c>
      <c r="W1" s="38" t="s">
        <v>108</v>
      </c>
      <c r="X1" s="38" t="s">
        <v>83</v>
      </c>
    </row>
    <row r="2" spans="1:25" x14ac:dyDescent="0.3">
      <c r="A2" t="s">
        <v>42</v>
      </c>
      <c r="B2" s="6" t="s">
        <v>66</v>
      </c>
      <c r="C2" s="1">
        <v>9464606034.0200005</v>
      </c>
      <c r="D2" s="1">
        <v>1108145765.6099999</v>
      </c>
      <c r="E2" s="1">
        <v>20735390535</v>
      </c>
      <c r="F2" s="1">
        <v>4650212637.5500002</v>
      </c>
      <c r="G2" s="1">
        <v>4262981159.5500002</v>
      </c>
      <c r="H2" s="1">
        <v>9999024027.9500008</v>
      </c>
      <c r="I2" s="1">
        <v>6085601855.1199999</v>
      </c>
      <c r="J2" s="1">
        <v>3332372909.6700001</v>
      </c>
      <c r="K2" s="1">
        <v>10012415582.629999</v>
      </c>
      <c r="L2" s="1">
        <v>8598186462.4099998</v>
      </c>
      <c r="M2" s="1">
        <v>1725064677.3499999</v>
      </c>
      <c r="N2" s="1">
        <v>3190667834.5599999</v>
      </c>
      <c r="O2" s="1">
        <v>14288153337.16</v>
      </c>
      <c r="P2" s="1">
        <v>0</v>
      </c>
      <c r="Q2" s="1">
        <v>703323047.37</v>
      </c>
      <c r="R2" s="1">
        <v>7513420218.8199997</v>
      </c>
      <c r="S2" s="1">
        <v>6503790242.71</v>
      </c>
      <c r="T2" s="1">
        <v>0</v>
      </c>
      <c r="U2" s="1">
        <v>4363442248.71</v>
      </c>
      <c r="V2" s="1">
        <v>12009791207</v>
      </c>
      <c r="W2" s="1">
        <v>7151225791</v>
      </c>
      <c r="X2" s="1">
        <f t="shared" ref="X2:X28" si="0">SUM(C2:W2)</f>
        <v>135697815574.19003</v>
      </c>
    </row>
    <row r="3" spans="1:25" x14ac:dyDescent="0.3">
      <c r="A3" t="s">
        <v>43</v>
      </c>
      <c r="B3" s="6" t="s">
        <v>66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58736875.509999998</v>
      </c>
      <c r="M3" s="1">
        <v>220994403.66</v>
      </c>
      <c r="N3" s="1">
        <v>0</v>
      </c>
      <c r="O3" s="1">
        <v>0</v>
      </c>
      <c r="P3" s="1">
        <v>0</v>
      </c>
      <c r="Q3" s="1">
        <v>0</v>
      </c>
      <c r="R3" s="1">
        <v>4678190937</v>
      </c>
      <c r="S3" s="1">
        <v>383727476.01999998</v>
      </c>
      <c r="T3" s="1">
        <v>0</v>
      </c>
      <c r="U3" s="1">
        <v>0</v>
      </c>
      <c r="V3" s="1">
        <v>0</v>
      </c>
      <c r="W3" s="1">
        <v>0</v>
      </c>
      <c r="X3" s="1">
        <f t="shared" si="0"/>
        <v>5341649692.1900005</v>
      </c>
    </row>
    <row r="4" spans="1:25" x14ac:dyDescent="0.3">
      <c r="A4" t="s">
        <v>44</v>
      </c>
      <c r="B4" s="6" t="s">
        <v>66</v>
      </c>
      <c r="C4" s="1">
        <v>1153231055.3399999</v>
      </c>
      <c r="D4" s="1">
        <v>48191507.259999998</v>
      </c>
      <c r="E4" s="1">
        <v>1996385460</v>
      </c>
      <c r="F4" s="1">
        <v>486392585.75999999</v>
      </c>
      <c r="G4" s="1">
        <v>255262029.97999999</v>
      </c>
      <c r="H4" s="1">
        <v>1290735654.6600001</v>
      </c>
      <c r="I4" s="1">
        <v>467936794.75</v>
      </c>
      <c r="J4" s="1">
        <v>774249982.17999995</v>
      </c>
      <c r="K4" s="1">
        <v>909540547.77999997</v>
      </c>
      <c r="L4" s="1">
        <v>801395343.65999997</v>
      </c>
      <c r="M4" s="1">
        <v>351253922.13</v>
      </c>
      <c r="N4" s="1">
        <v>468008578.05000001</v>
      </c>
      <c r="O4" s="1">
        <v>1526979376.9400001</v>
      </c>
      <c r="P4" s="1">
        <v>0</v>
      </c>
      <c r="Q4" s="1">
        <v>336249043.79000002</v>
      </c>
      <c r="R4" s="1">
        <v>4019020595.3200002</v>
      </c>
      <c r="S4" s="1">
        <v>3880261936.3000002</v>
      </c>
      <c r="T4" s="1">
        <v>0</v>
      </c>
      <c r="U4" s="1">
        <v>1186930179.22</v>
      </c>
      <c r="V4" s="1">
        <v>4380580359</v>
      </c>
      <c r="W4" s="1">
        <v>698377757</v>
      </c>
      <c r="X4" s="1">
        <f t="shared" si="0"/>
        <v>25030982709.120003</v>
      </c>
    </row>
    <row r="5" spans="1:25" x14ac:dyDescent="0.3">
      <c r="A5" t="s">
        <v>45</v>
      </c>
      <c r="B5" s="6" t="s">
        <v>66</v>
      </c>
      <c r="C5" s="1">
        <v>286954967.05000001</v>
      </c>
      <c r="D5" s="1">
        <v>22989600.460000001</v>
      </c>
      <c r="E5" s="1">
        <v>1285598735</v>
      </c>
      <c r="F5" s="1">
        <v>75871012.609999999</v>
      </c>
      <c r="G5" s="1">
        <v>89271819.739999995</v>
      </c>
      <c r="H5" s="1">
        <v>435704741.07999998</v>
      </c>
      <c r="I5" s="1">
        <v>136435170.66</v>
      </c>
      <c r="J5" s="1">
        <v>14554265.689999999</v>
      </c>
      <c r="K5" s="1">
        <v>310802217.38</v>
      </c>
      <c r="L5" s="1">
        <v>45078076.840000004</v>
      </c>
      <c r="M5" s="1">
        <v>131906497.04000001</v>
      </c>
      <c r="N5" s="1">
        <v>127448060.47</v>
      </c>
      <c r="O5" s="1">
        <v>51283428.829999998</v>
      </c>
      <c r="P5" s="1">
        <v>0</v>
      </c>
      <c r="Q5" s="1">
        <v>13651309.75</v>
      </c>
      <c r="R5" s="1">
        <v>311594195.39999998</v>
      </c>
      <c r="S5" s="1">
        <v>5348346.4800000004</v>
      </c>
      <c r="T5" s="1">
        <v>0</v>
      </c>
      <c r="U5" s="1">
        <v>12190448.57</v>
      </c>
      <c r="V5" s="1">
        <v>159367088</v>
      </c>
      <c r="W5" s="1">
        <v>6093965</v>
      </c>
      <c r="X5" s="1">
        <f t="shared" si="0"/>
        <v>3522143946.0500002</v>
      </c>
    </row>
    <row r="6" spans="1:25" x14ac:dyDescent="0.3">
      <c r="A6" t="s">
        <v>46</v>
      </c>
      <c r="B6" s="6" t="s">
        <v>66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>
        <f t="shared" si="0"/>
        <v>0</v>
      </c>
    </row>
    <row r="7" spans="1:25" x14ac:dyDescent="0.3">
      <c r="A7" t="s">
        <v>47</v>
      </c>
      <c r="B7" s="6" t="s">
        <v>66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>
        <f t="shared" si="0"/>
        <v>0</v>
      </c>
    </row>
    <row r="8" spans="1:25" x14ac:dyDescent="0.3">
      <c r="A8" t="s">
        <v>48</v>
      </c>
      <c r="B8" s="6" t="s">
        <v>66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0</v>
      </c>
      <c r="Q8" s="1"/>
      <c r="R8" s="1"/>
      <c r="S8" s="1"/>
      <c r="T8" s="1">
        <v>0</v>
      </c>
      <c r="U8" s="1"/>
      <c r="V8" s="1"/>
      <c r="W8" s="1"/>
      <c r="X8" s="1">
        <f t="shared" si="0"/>
        <v>0</v>
      </c>
    </row>
    <row r="9" spans="1:25" x14ac:dyDescent="0.3">
      <c r="A9" s="7" t="s">
        <v>49</v>
      </c>
      <c r="B9" s="8" t="s">
        <v>66</v>
      </c>
      <c r="C9" s="9">
        <v>250640704.11000001</v>
      </c>
      <c r="D9" s="9">
        <v>121389189.04000001</v>
      </c>
      <c r="E9" s="9">
        <v>412031199</v>
      </c>
      <c r="F9" s="9">
        <v>148013721.61000001</v>
      </c>
      <c r="G9" s="9">
        <v>133971677.25</v>
      </c>
      <c r="H9" s="9">
        <v>56910117.740000002</v>
      </c>
      <c r="I9" s="9">
        <v>74749773.150000006</v>
      </c>
      <c r="J9" s="9">
        <v>41080224.649999999</v>
      </c>
      <c r="K9" s="9">
        <v>58896025.479999997</v>
      </c>
      <c r="L9" s="9">
        <v>65269138.770000003</v>
      </c>
      <c r="M9" s="9">
        <v>37666636.299999997</v>
      </c>
      <c r="N9" s="9">
        <v>36190938.07</v>
      </c>
      <c r="O9" s="9">
        <v>72654608.269999996</v>
      </c>
      <c r="P9" s="1">
        <v>0</v>
      </c>
      <c r="Q9" s="9">
        <v>4423924.32</v>
      </c>
      <c r="R9" s="9">
        <v>618604374.04999995</v>
      </c>
      <c r="S9" s="9">
        <v>128840808.19</v>
      </c>
      <c r="T9" s="1">
        <v>0</v>
      </c>
      <c r="U9" s="9">
        <v>59463214.490000002</v>
      </c>
      <c r="V9" s="9">
        <v>633712758</v>
      </c>
      <c r="W9" s="9">
        <v>424791091</v>
      </c>
      <c r="X9" s="9">
        <f t="shared" si="0"/>
        <v>3379300123.4899998</v>
      </c>
    </row>
    <row r="10" spans="1:25" x14ac:dyDescent="0.3">
      <c r="A10" s="10" t="s">
        <v>69</v>
      </c>
      <c r="B10" s="11" t="s">
        <v>66</v>
      </c>
      <c r="C10" s="23">
        <f t="shared" ref="C10:D10" si="1">SUM(C2:C9)</f>
        <v>11155432760.52</v>
      </c>
      <c r="D10" s="23">
        <f t="shared" si="1"/>
        <v>1300716062.3699999</v>
      </c>
      <c r="E10" s="23">
        <f t="shared" ref="E10:H10" si="2">SUM(E2:E9)</f>
        <v>24429405929</v>
      </c>
      <c r="F10" s="23">
        <f t="shared" ref="F10:G10" si="3">SUM(F2:F9)</f>
        <v>5360489957.5299997</v>
      </c>
      <c r="G10" s="23">
        <f t="shared" si="3"/>
        <v>4741486686.5199995</v>
      </c>
      <c r="H10" s="23">
        <f t="shared" si="2"/>
        <v>11782374541.43</v>
      </c>
      <c r="I10" s="23">
        <f t="shared" ref="I10" si="4">SUM(I2:I9)</f>
        <v>6764723593.6799994</v>
      </c>
      <c r="J10" s="23">
        <f t="shared" ref="J10" si="5">SUM(J2:J9)</f>
        <v>4162257382.1900001</v>
      </c>
      <c r="K10" s="23">
        <f t="shared" ref="K10:M10" si="6">SUM(K2:K9)</f>
        <v>11291654373.269999</v>
      </c>
      <c r="L10" s="23">
        <f t="shared" si="6"/>
        <v>9568665897.1900005</v>
      </c>
      <c r="M10" s="23">
        <f t="shared" si="6"/>
        <v>2466886136.48</v>
      </c>
      <c r="N10" s="23">
        <f t="shared" ref="N10" si="7">SUM(N2:N9)</f>
        <v>3822315411.1500001</v>
      </c>
      <c r="O10" s="23">
        <f t="shared" ref="O10" si="8">SUM(O2:O9)</f>
        <v>15939070751.200001</v>
      </c>
      <c r="P10" s="23">
        <f t="shared" ref="P10:T10" si="9">SUM(P2:P9)</f>
        <v>0</v>
      </c>
      <c r="Q10" s="23">
        <f t="shared" ref="Q10" si="10">SUM(Q2:Q9)</f>
        <v>1057647325.2300001</v>
      </c>
      <c r="R10" s="23">
        <f t="shared" ref="R10" si="11">SUM(R2:R9)</f>
        <v>17140830320.589998</v>
      </c>
      <c r="S10" s="23">
        <f t="shared" ref="S10" si="12">SUM(S2:S9)</f>
        <v>10901968809.699999</v>
      </c>
      <c r="T10" s="23">
        <f t="shared" si="9"/>
        <v>0</v>
      </c>
      <c r="U10" s="23">
        <f t="shared" ref="U10" si="13">SUM(U2:U9)</f>
        <v>5622026090.9899998</v>
      </c>
      <c r="V10" s="23">
        <f t="shared" ref="V10:W10" si="14">SUM(V2:V9)</f>
        <v>17183451412</v>
      </c>
      <c r="W10" s="23">
        <f t="shared" si="14"/>
        <v>8280488604</v>
      </c>
      <c r="X10" s="23">
        <f t="shared" si="0"/>
        <v>172971892045.03998</v>
      </c>
    </row>
    <row r="11" spans="1:25" x14ac:dyDescent="0.3">
      <c r="A11" t="s">
        <v>50</v>
      </c>
      <c r="B11" s="6" t="s">
        <v>67</v>
      </c>
      <c r="C11" s="1">
        <v>1006208</v>
      </c>
      <c r="D11" s="1">
        <v>3541266.14</v>
      </c>
      <c r="E11" s="1">
        <v>2863372</v>
      </c>
      <c r="F11" s="1">
        <v>20723615.16</v>
      </c>
      <c r="G11" s="1">
        <v>8194509.1900000004</v>
      </c>
      <c r="H11" s="1">
        <v>872375.67</v>
      </c>
      <c r="I11" s="1">
        <v>1756526.41</v>
      </c>
      <c r="J11" s="1">
        <v>792223.76</v>
      </c>
      <c r="K11" s="1">
        <v>1770388.36</v>
      </c>
      <c r="L11" s="1">
        <v>14703673.810000001</v>
      </c>
      <c r="M11" s="1">
        <v>520809.87</v>
      </c>
      <c r="N11" s="1">
        <v>1119543.21</v>
      </c>
      <c r="O11" s="1">
        <v>4759618.74</v>
      </c>
      <c r="P11" s="1">
        <v>0</v>
      </c>
      <c r="Q11" s="1">
        <v>393097.14</v>
      </c>
      <c r="R11" s="1">
        <v>2022873.84</v>
      </c>
      <c r="S11" s="1">
        <v>1394035.72</v>
      </c>
      <c r="T11" s="1">
        <v>0</v>
      </c>
      <c r="U11" s="1">
        <v>6098005.9199999999</v>
      </c>
      <c r="V11" s="1">
        <v>5737851</v>
      </c>
      <c r="W11" s="1">
        <v>2796490</v>
      </c>
      <c r="X11" s="1">
        <f t="shared" si="0"/>
        <v>81066483.939999998</v>
      </c>
      <c r="Y11" s="1">
        <f>X11-Conto_economico_2017!X11</f>
        <v>-1001067.7299999893</v>
      </c>
    </row>
    <row r="12" spans="1:25" x14ac:dyDescent="0.3">
      <c r="A12" t="s">
        <v>51</v>
      </c>
      <c r="B12" s="6" t="s">
        <v>67</v>
      </c>
      <c r="C12" s="1">
        <v>476158954.70999998</v>
      </c>
      <c r="D12" s="1">
        <v>137831806.31</v>
      </c>
      <c r="E12" s="1">
        <v>1403000561</v>
      </c>
      <c r="F12" s="1">
        <v>278605578.56999999</v>
      </c>
      <c r="G12" s="1">
        <v>203744466.08000001</v>
      </c>
      <c r="H12" s="1">
        <v>505977658.62</v>
      </c>
      <c r="I12" s="1">
        <v>425829761.80000001</v>
      </c>
      <c r="J12" s="1">
        <v>364356295.64999998</v>
      </c>
      <c r="K12" s="1">
        <v>393081864.56999999</v>
      </c>
      <c r="L12" s="1">
        <v>668610180.08000004</v>
      </c>
      <c r="M12" s="1">
        <v>93002245.060000002</v>
      </c>
      <c r="N12" s="1">
        <v>324277629.11000001</v>
      </c>
      <c r="O12" s="1">
        <v>829342861.52999997</v>
      </c>
      <c r="P12" s="1">
        <v>0</v>
      </c>
      <c r="Q12" s="1">
        <v>174597983.33000001</v>
      </c>
      <c r="R12" s="1">
        <v>1650914646.9100001</v>
      </c>
      <c r="S12" s="1">
        <v>494272390.37</v>
      </c>
      <c r="T12" s="1">
        <v>0</v>
      </c>
      <c r="U12" s="1">
        <v>386270081.44999999</v>
      </c>
      <c r="V12" s="1">
        <v>1393483056</v>
      </c>
      <c r="W12" s="1">
        <v>482561439</v>
      </c>
      <c r="X12" s="1">
        <f t="shared" si="0"/>
        <v>10685919460.15</v>
      </c>
      <c r="Y12" s="1">
        <f>X12-Conto_economico_2017!X12</f>
        <v>628596888.05999947</v>
      </c>
    </row>
    <row r="13" spans="1:25" x14ac:dyDescent="0.3">
      <c r="A13" t="s">
        <v>52</v>
      </c>
      <c r="B13" s="6" t="s">
        <v>67</v>
      </c>
      <c r="C13" s="1">
        <v>10257465.98</v>
      </c>
      <c r="D13" s="1">
        <v>3803075.06</v>
      </c>
      <c r="E13" s="1">
        <v>2111351</v>
      </c>
      <c r="F13" s="1">
        <v>10114130.289999999</v>
      </c>
      <c r="G13" s="1">
        <v>9893427.7200000007</v>
      </c>
      <c r="H13" s="1">
        <v>4336343.58</v>
      </c>
      <c r="I13" s="1">
        <v>3136155.26</v>
      </c>
      <c r="J13" s="1">
        <v>1628529.76</v>
      </c>
      <c r="K13" s="1">
        <v>18680957.039999999</v>
      </c>
      <c r="L13" s="1">
        <v>4242029.18</v>
      </c>
      <c r="M13" s="1">
        <v>1120445.76</v>
      </c>
      <c r="N13" s="1">
        <v>4484264.05</v>
      </c>
      <c r="O13" s="1">
        <v>15930374.779999999</v>
      </c>
      <c r="P13" s="1">
        <v>0</v>
      </c>
      <c r="Q13" s="1">
        <v>918070.56</v>
      </c>
      <c r="R13" s="1">
        <v>9488790.75</v>
      </c>
      <c r="S13" s="1">
        <v>1678796.26</v>
      </c>
      <c r="T13" s="1">
        <v>0</v>
      </c>
      <c r="U13" s="1">
        <v>7015355.4400000004</v>
      </c>
      <c r="V13" s="1">
        <v>49081672</v>
      </c>
      <c r="W13" s="1">
        <v>4867827</v>
      </c>
      <c r="X13" s="1">
        <f t="shared" si="0"/>
        <v>162789061.47</v>
      </c>
      <c r="Y13" s="1">
        <f>X13-Conto_economico_2017!X13</f>
        <v>-15417975.48999998</v>
      </c>
    </row>
    <row r="14" spans="1:25" x14ac:dyDescent="0.3">
      <c r="A14" t="s">
        <v>53</v>
      </c>
      <c r="B14" s="6" t="s">
        <v>67</v>
      </c>
      <c r="C14" s="1">
        <v>10030742378.459999</v>
      </c>
      <c r="D14" s="1">
        <v>765085653.87</v>
      </c>
      <c r="E14" s="1">
        <v>21978488954</v>
      </c>
      <c r="F14" s="1">
        <v>3752514307.25</v>
      </c>
      <c r="G14" s="1">
        <v>3563494383.6199999</v>
      </c>
      <c r="H14" s="1">
        <v>10565946020.110001</v>
      </c>
      <c r="I14" s="1">
        <v>6078288828.0699997</v>
      </c>
      <c r="J14" s="1">
        <v>3556192890.2600002</v>
      </c>
      <c r="K14" s="1">
        <v>10161056841.99</v>
      </c>
      <c r="L14" s="1">
        <v>8211020956.6400003</v>
      </c>
      <c r="M14" s="1">
        <v>2201779766.5300002</v>
      </c>
      <c r="N14" s="1">
        <v>3167131633.75</v>
      </c>
      <c r="O14" s="1">
        <v>13532147630.309999</v>
      </c>
      <c r="P14" s="1">
        <v>0</v>
      </c>
      <c r="Q14" s="1">
        <v>784976602.24000001</v>
      </c>
      <c r="R14" s="1">
        <v>13293127019.5</v>
      </c>
      <c r="S14" s="1">
        <v>9858192263.2099991</v>
      </c>
      <c r="T14" s="1">
        <v>0</v>
      </c>
      <c r="U14" s="1">
        <v>4652864250.3299999</v>
      </c>
      <c r="V14" s="1">
        <v>13033985919</v>
      </c>
      <c r="W14" s="1">
        <v>6708554362</v>
      </c>
      <c r="X14" s="1">
        <f t="shared" si="0"/>
        <v>145895590661.14001</v>
      </c>
      <c r="Y14" s="1">
        <f>X14-Conto_economico_2017!X14</f>
        <v>1964180184.4500122</v>
      </c>
    </row>
    <row r="15" spans="1:25" x14ac:dyDescent="0.3">
      <c r="A15" t="s">
        <v>54</v>
      </c>
      <c r="B15" s="6" t="s">
        <v>67</v>
      </c>
      <c r="C15" s="1">
        <v>194439129.19</v>
      </c>
      <c r="D15" s="1">
        <v>231205539.53999999</v>
      </c>
      <c r="E15" s="1">
        <v>161990469</v>
      </c>
      <c r="F15" s="1">
        <v>984759198.54999995</v>
      </c>
      <c r="G15" s="1">
        <v>709176230.60000002</v>
      </c>
      <c r="H15" s="1">
        <v>128003518.19</v>
      </c>
      <c r="I15" s="1">
        <v>197497161.78</v>
      </c>
      <c r="J15" s="1">
        <v>59734873.75</v>
      </c>
      <c r="K15" s="1">
        <v>175475318.75999999</v>
      </c>
      <c r="L15" s="1">
        <v>170347007.59</v>
      </c>
      <c r="M15" s="1">
        <v>58690927.479999997</v>
      </c>
      <c r="N15" s="1">
        <v>87098741.280000001</v>
      </c>
      <c r="O15" s="1">
        <v>251321174.13999999</v>
      </c>
      <c r="P15" s="1">
        <v>0</v>
      </c>
      <c r="Q15" s="1">
        <v>31574621.73</v>
      </c>
      <c r="R15" s="1">
        <v>236790817.55000001</v>
      </c>
      <c r="S15" s="1">
        <v>156176736.43000001</v>
      </c>
      <c r="T15" s="1">
        <v>0</v>
      </c>
      <c r="U15" s="1">
        <v>118216710.86</v>
      </c>
      <c r="V15" s="1">
        <v>738016682</v>
      </c>
      <c r="W15" s="1">
        <v>238536933</v>
      </c>
      <c r="X15" s="1">
        <f t="shared" si="0"/>
        <v>4929051791.420001</v>
      </c>
      <c r="Y15" s="1">
        <f>X15-Conto_economico_2017!X15</f>
        <v>-20324833.300000191</v>
      </c>
    </row>
    <row r="16" spans="1:25" x14ac:dyDescent="0.3">
      <c r="A16" t="s">
        <v>55</v>
      </c>
      <c r="B16" s="6" t="s">
        <v>67</v>
      </c>
      <c r="C16" s="1">
        <v>27926801.170000002</v>
      </c>
      <c r="D16" s="1">
        <v>38582819.450000003</v>
      </c>
      <c r="E16" s="1">
        <v>63837262</v>
      </c>
      <c r="F16" s="1">
        <v>124367819.59999999</v>
      </c>
      <c r="G16" s="1">
        <v>60995080.890000001</v>
      </c>
      <c r="H16" s="1">
        <v>145305556.78999999</v>
      </c>
      <c r="I16" s="1">
        <v>54627599.960000001</v>
      </c>
      <c r="J16" s="1">
        <v>28807337.300000001</v>
      </c>
      <c r="K16" s="1">
        <v>97507956.739999995</v>
      </c>
      <c r="L16" s="1">
        <v>110727531.45999999</v>
      </c>
      <c r="M16" s="1">
        <v>19737097.359999999</v>
      </c>
      <c r="N16" s="1">
        <v>82635071.060000002</v>
      </c>
      <c r="O16" s="1">
        <v>125263309.25</v>
      </c>
      <c r="P16" s="1">
        <v>0</v>
      </c>
      <c r="Q16" s="1">
        <v>11614173.359999999</v>
      </c>
      <c r="R16" s="1">
        <v>255988800.71000001</v>
      </c>
      <c r="S16" s="1">
        <v>80893937.409999996</v>
      </c>
      <c r="T16" s="1">
        <v>0</v>
      </c>
      <c r="U16" s="1">
        <v>146769861.13</v>
      </c>
      <c r="V16" s="1">
        <v>473855340</v>
      </c>
      <c r="W16" s="1">
        <v>118178501</v>
      </c>
      <c r="X16" s="1">
        <f t="shared" si="0"/>
        <v>2067621856.6399999</v>
      </c>
      <c r="Y16" s="1">
        <f>X16-Conto_economico_2017!X16</f>
        <v>660758568.26999998</v>
      </c>
    </row>
    <row r="17" spans="1:25" x14ac:dyDescent="0.3">
      <c r="A17" t="s">
        <v>56</v>
      </c>
      <c r="B17" s="6" t="s">
        <v>67</v>
      </c>
      <c r="C17" s="1">
        <v>61516.24</v>
      </c>
      <c r="D17" s="1">
        <v>29948.15</v>
      </c>
      <c r="E17" s="1">
        <v>2659</v>
      </c>
      <c r="F17" s="1">
        <v>-1038019.53</v>
      </c>
      <c r="G17" s="1">
        <v>0</v>
      </c>
      <c r="H17" s="1">
        <v>-112574.13</v>
      </c>
      <c r="I17" s="1">
        <v>3150.76</v>
      </c>
      <c r="J17" s="1">
        <v>0</v>
      </c>
      <c r="K17" s="1">
        <v>-13814.55</v>
      </c>
      <c r="L17" s="1">
        <v>-88933.87</v>
      </c>
      <c r="M17" s="1">
        <v>26631.24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-28293.85</v>
      </c>
      <c r="V17" s="1">
        <v>0</v>
      </c>
      <c r="W17" s="1">
        <v>274635</v>
      </c>
      <c r="X17" s="1">
        <f t="shared" si="0"/>
        <v>-883095.54000000027</v>
      </c>
      <c r="Y17" s="1">
        <f>X17-Conto_economico_2017!X17</f>
        <v>-2152772.1</v>
      </c>
    </row>
    <row r="18" spans="1:25" x14ac:dyDescent="0.3">
      <c r="A18" t="s">
        <v>57</v>
      </c>
      <c r="B18" s="6" t="s">
        <v>67</v>
      </c>
      <c r="C18" s="1">
        <v>7869461.5800000001</v>
      </c>
      <c r="D18" s="1">
        <v>0</v>
      </c>
      <c r="E18" s="1">
        <v>0</v>
      </c>
      <c r="F18" s="1">
        <v>12642373.73</v>
      </c>
      <c r="G18" s="1">
        <v>3850000</v>
      </c>
      <c r="H18" s="1">
        <v>38969780.119999997</v>
      </c>
      <c r="I18" s="1">
        <v>919347.75</v>
      </c>
      <c r="J18" s="1">
        <v>19683636.93</v>
      </c>
      <c r="K18" s="1">
        <v>26645487.719999999</v>
      </c>
      <c r="L18" s="1">
        <v>3000000</v>
      </c>
      <c r="M18" s="1">
        <v>4139184.05</v>
      </c>
      <c r="N18" s="1">
        <v>11994592.48</v>
      </c>
      <c r="O18" s="1">
        <v>12708505</v>
      </c>
      <c r="P18" s="1">
        <v>0</v>
      </c>
      <c r="Q18" s="1">
        <v>4163843.35</v>
      </c>
      <c r="R18" s="1">
        <v>0</v>
      </c>
      <c r="S18" s="1">
        <v>0</v>
      </c>
      <c r="T18" s="1">
        <v>0</v>
      </c>
      <c r="U18" s="1">
        <v>1807409.38</v>
      </c>
      <c r="V18" s="1">
        <v>142802547</v>
      </c>
      <c r="W18" s="1">
        <v>17705261</v>
      </c>
      <c r="X18" s="1">
        <f t="shared" si="0"/>
        <v>308901430.09000003</v>
      </c>
      <c r="Y18" s="1">
        <f>X18-Conto_economico_2017!X18</f>
        <v>-628434141.37</v>
      </c>
    </row>
    <row r="19" spans="1:25" x14ac:dyDescent="0.3">
      <c r="A19" t="s">
        <v>14</v>
      </c>
      <c r="B19" s="6" t="s">
        <v>67</v>
      </c>
      <c r="C19" s="1">
        <v>192138599.88999999</v>
      </c>
      <c r="D19" s="1">
        <v>26366564.48</v>
      </c>
      <c r="E19" s="1">
        <v>127652406</v>
      </c>
      <c r="F19" s="1">
        <v>6569327.46</v>
      </c>
      <c r="G19" s="1">
        <v>0</v>
      </c>
      <c r="H19" s="1">
        <v>10700033.17</v>
      </c>
      <c r="I19" s="1">
        <v>7117554.6399999997</v>
      </c>
      <c r="J19" s="1">
        <v>0</v>
      </c>
      <c r="K19" s="1">
        <v>0</v>
      </c>
      <c r="L19" s="1">
        <v>152133</v>
      </c>
      <c r="M19" s="1">
        <v>0</v>
      </c>
      <c r="N19" s="1">
        <v>8151187.1399999997</v>
      </c>
      <c r="O19" s="1">
        <v>0</v>
      </c>
      <c r="P19" s="1">
        <v>0</v>
      </c>
      <c r="Q19" s="1">
        <v>3895482.53</v>
      </c>
      <c r="R19" s="1">
        <v>0</v>
      </c>
      <c r="S19" s="1">
        <v>0</v>
      </c>
      <c r="T19" s="1">
        <v>0</v>
      </c>
      <c r="U19" s="1">
        <v>0</v>
      </c>
      <c r="V19" s="1">
        <v>159642912</v>
      </c>
      <c r="W19" s="1">
        <v>15565799</v>
      </c>
      <c r="X19" s="1">
        <f t="shared" si="0"/>
        <v>557951999.30999994</v>
      </c>
      <c r="Y19" s="1">
        <f>X19-Conto_economico_2017!X19</f>
        <v>143798418.74999994</v>
      </c>
    </row>
    <row r="20" spans="1:25" x14ac:dyDescent="0.3">
      <c r="A20" s="7" t="s">
        <v>58</v>
      </c>
      <c r="B20" s="8" t="s">
        <v>67</v>
      </c>
      <c r="C20" s="9">
        <v>58767222.68</v>
      </c>
      <c r="D20" s="9">
        <v>8946948.1600000001</v>
      </c>
      <c r="E20" s="9">
        <v>231564785</v>
      </c>
      <c r="F20" s="1">
        <v>60497818.079999998</v>
      </c>
      <c r="G20" s="1">
        <v>8270731.9500000002</v>
      </c>
      <c r="H20" s="9">
        <v>92834945.579999998</v>
      </c>
      <c r="I20" s="9">
        <v>7569366.2000000002</v>
      </c>
      <c r="J20" s="9">
        <v>2666054.9500000002</v>
      </c>
      <c r="K20" s="9">
        <v>5137766.4800000004</v>
      </c>
      <c r="L20" s="9">
        <v>8776848.9000000004</v>
      </c>
      <c r="M20" s="9">
        <v>3684739.37</v>
      </c>
      <c r="N20" s="9">
        <v>13763807.16</v>
      </c>
      <c r="O20" s="9">
        <v>35914139.770000003</v>
      </c>
      <c r="P20" s="1">
        <v>0</v>
      </c>
      <c r="Q20" s="9">
        <v>11062577.189999999</v>
      </c>
      <c r="R20" s="9">
        <v>116863705.12</v>
      </c>
      <c r="S20" s="9">
        <v>35344088.380000003</v>
      </c>
      <c r="T20" s="1">
        <v>0</v>
      </c>
      <c r="U20" s="9">
        <v>52235985</v>
      </c>
      <c r="V20" s="9">
        <v>116765964</v>
      </c>
      <c r="W20" s="9">
        <v>105342900</v>
      </c>
      <c r="X20" s="9">
        <f t="shared" si="0"/>
        <v>976010393.97000003</v>
      </c>
      <c r="Y20" s="1">
        <f>X20-Conto_economico_2017!X20</f>
        <v>-1034304117.2899997</v>
      </c>
    </row>
    <row r="21" spans="1:25" x14ac:dyDescent="0.3">
      <c r="A21" s="10" t="s">
        <v>70</v>
      </c>
      <c r="B21" s="11" t="s">
        <v>67</v>
      </c>
      <c r="C21" s="23">
        <f t="shared" ref="C21:D21" si="15">SUM(C11:C20)</f>
        <v>10999367737.9</v>
      </c>
      <c r="D21" s="23">
        <f t="shared" si="15"/>
        <v>1215393621.1600003</v>
      </c>
      <c r="E21" s="23">
        <f t="shared" ref="E21:T21" si="16">SUM(E11:E20)</f>
        <v>23971511819</v>
      </c>
      <c r="F21" s="23">
        <f t="shared" ref="F21:G21" si="17">SUM(F11:F20)</f>
        <v>5249756149.1599998</v>
      </c>
      <c r="G21" s="23">
        <f t="shared" si="17"/>
        <v>4567618830.0500002</v>
      </c>
      <c r="H21" s="23">
        <f t="shared" si="16"/>
        <v>11492833657.700005</v>
      </c>
      <c r="I21" s="23">
        <f t="shared" ref="I21" si="18">SUM(I11:I20)</f>
        <v>6776745452.6300001</v>
      </c>
      <c r="J21" s="23">
        <f t="shared" ref="J21" si="19">SUM(J11:J20)</f>
        <v>4033861842.3600001</v>
      </c>
      <c r="K21" s="23">
        <f t="shared" ref="K21:M21" si="20">SUM(K11:K20)</f>
        <v>10879342767.109999</v>
      </c>
      <c r="L21" s="23">
        <f t="shared" si="20"/>
        <v>9191491426.789999</v>
      </c>
      <c r="M21" s="23">
        <f t="shared" si="20"/>
        <v>2382701846.7200003</v>
      </c>
      <c r="N21" s="23">
        <f t="shared" ref="N21" si="21">SUM(N11:N20)</f>
        <v>3700656469.2399998</v>
      </c>
      <c r="O21" s="23">
        <f t="shared" ref="O21" si="22">SUM(O11:O20)</f>
        <v>14807387613.519999</v>
      </c>
      <c r="P21" s="5">
        <f t="shared" si="16"/>
        <v>0</v>
      </c>
      <c r="Q21" s="23">
        <f t="shared" ref="Q21" si="23">SUM(Q11:Q20)</f>
        <v>1023196451.4300001</v>
      </c>
      <c r="R21" s="23">
        <f t="shared" si="16"/>
        <v>15565196654.379999</v>
      </c>
      <c r="S21" s="23">
        <f t="shared" ref="S21" si="24">SUM(S11:S20)</f>
        <v>10627952247.779999</v>
      </c>
      <c r="T21" s="5">
        <f t="shared" si="16"/>
        <v>0</v>
      </c>
      <c r="U21" s="23">
        <f t="shared" ref="U21" si="25">SUM(U11:U20)</f>
        <v>5371249365.6599998</v>
      </c>
      <c r="V21" s="23">
        <f t="shared" ref="V21:W21" si="26">SUM(V11:V20)</f>
        <v>16113371943</v>
      </c>
      <c r="W21" s="23">
        <f t="shared" si="26"/>
        <v>7694384147</v>
      </c>
      <c r="X21" s="23">
        <f t="shared" si="0"/>
        <v>165664020042.59</v>
      </c>
    </row>
    <row r="22" spans="1:25" x14ac:dyDescent="0.3">
      <c r="A22" t="s">
        <v>59</v>
      </c>
      <c r="B22" s="6" t="s">
        <v>66</v>
      </c>
      <c r="C22" s="1">
        <v>6201933.8099999996</v>
      </c>
      <c r="D22" s="1">
        <v>35324404.579999998</v>
      </c>
      <c r="E22" s="1">
        <v>57664792</v>
      </c>
      <c r="F22" s="1">
        <v>24999927.960000001</v>
      </c>
      <c r="G22" s="1">
        <v>23571275.219999999</v>
      </c>
      <c r="H22" s="1">
        <v>1114419.8899999999</v>
      </c>
      <c r="I22" s="1">
        <v>1831185.53</v>
      </c>
      <c r="J22" s="1">
        <v>8518375.7899999991</v>
      </c>
      <c r="K22" s="1">
        <v>5938910.1799999997</v>
      </c>
      <c r="L22" s="1">
        <v>9898274.5299999993</v>
      </c>
      <c r="M22" s="1">
        <v>17117964.27</v>
      </c>
      <c r="N22" s="1">
        <v>12449254.15</v>
      </c>
      <c r="O22" s="1">
        <v>3550602.93</v>
      </c>
      <c r="P22" s="1">
        <v>0</v>
      </c>
      <c r="Q22" s="1">
        <v>2561040.4700000002</v>
      </c>
      <c r="R22" s="1">
        <v>9149966.1899999995</v>
      </c>
      <c r="S22" s="1">
        <v>3816051.72</v>
      </c>
      <c r="T22" s="1">
        <v>0</v>
      </c>
      <c r="U22" s="1">
        <v>5443995.75</v>
      </c>
      <c r="V22" s="1">
        <v>9181327</v>
      </c>
      <c r="W22" s="1">
        <v>9519151</v>
      </c>
      <c r="X22" s="1">
        <f t="shared" si="0"/>
        <v>247852852.97</v>
      </c>
    </row>
    <row r="23" spans="1:25" x14ac:dyDescent="0.3">
      <c r="A23" t="s">
        <v>60</v>
      </c>
      <c r="B23" s="6" t="s">
        <v>67</v>
      </c>
      <c r="C23" s="1">
        <v>133710036.06</v>
      </c>
      <c r="D23" s="1">
        <v>28256881.579999998</v>
      </c>
      <c r="E23" s="1">
        <v>86809866</v>
      </c>
      <c r="F23" s="1">
        <v>1301776.1299999999</v>
      </c>
      <c r="G23" s="1">
        <v>82328.009999999995</v>
      </c>
      <c r="H23" s="1">
        <v>57883500.200000003</v>
      </c>
      <c r="I23" s="1">
        <v>15724737.560000001</v>
      </c>
      <c r="J23" s="1">
        <v>24787195.559999999</v>
      </c>
      <c r="K23" s="1">
        <v>53694322.119999997</v>
      </c>
      <c r="L23" s="1">
        <v>60029461.640000001</v>
      </c>
      <c r="M23" s="1">
        <v>37970668.189999998</v>
      </c>
      <c r="N23" s="1">
        <v>35172433.490000002</v>
      </c>
      <c r="O23" s="1">
        <v>696604769.17999995</v>
      </c>
      <c r="P23" s="1">
        <v>0</v>
      </c>
      <c r="Q23" s="1">
        <v>16831426.030000001</v>
      </c>
      <c r="R23" s="1">
        <v>228385600.25999999</v>
      </c>
      <c r="S23" s="1">
        <v>46184388.060000002</v>
      </c>
      <c r="T23" s="1">
        <v>0</v>
      </c>
      <c r="U23" s="1">
        <v>55957602.789999999</v>
      </c>
      <c r="V23" s="1">
        <v>296211341</v>
      </c>
      <c r="W23" s="1">
        <v>45050682</v>
      </c>
      <c r="X23" s="1">
        <f t="shared" si="0"/>
        <v>1920649015.8599997</v>
      </c>
    </row>
    <row r="24" spans="1:25" x14ac:dyDescent="0.3">
      <c r="A24" t="s">
        <v>61</v>
      </c>
      <c r="B24" s="6" t="s">
        <v>66</v>
      </c>
      <c r="C24" s="1">
        <v>-17357783.640000001</v>
      </c>
      <c r="D24" s="1">
        <v>-76852266.900000006</v>
      </c>
      <c r="E24" s="1">
        <v>-46768012</v>
      </c>
      <c r="F24" s="1">
        <v>-986626.29</v>
      </c>
      <c r="G24" s="1">
        <v>79628814.209999993</v>
      </c>
      <c r="H24" s="1">
        <v>-68659535.930000007</v>
      </c>
      <c r="I24" s="1">
        <v>-15629991.25</v>
      </c>
      <c r="J24" s="1">
        <v>0</v>
      </c>
      <c r="K24" s="1">
        <v>759115.56</v>
      </c>
      <c r="L24" s="1">
        <v>-609127.65</v>
      </c>
      <c r="M24" s="1">
        <v>-4056245.76</v>
      </c>
      <c r="N24" s="1">
        <v>635147.56999999995</v>
      </c>
      <c r="O24" s="1">
        <v>18008951.420000002</v>
      </c>
      <c r="P24" s="1">
        <v>0</v>
      </c>
      <c r="Q24" s="1">
        <v>0</v>
      </c>
      <c r="R24" s="1">
        <v>0</v>
      </c>
      <c r="S24" s="1">
        <v>-252684737.88</v>
      </c>
      <c r="T24" s="1">
        <v>0</v>
      </c>
      <c r="U24" s="1">
        <v>-2017391.79</v>
      </c>
      <c r="V24" s="1">
        <v>-126935496</v>
      </c>
      <c r="W24" s="1">
        <v>-71846092</v>
      </c>
      <c r="X24" s="1">
        <f t="shared" si="0"/>
        <v>-585371278.33000004</v>
      </c>
    </row>
    <row r="25" spans="1:25" x14ac:dyDescent="0.3">
      <c r="A25" t="s">
        <v>62</v>
      </c>
      <c r="B25" s="6" t="s">
        <v>66</v>
      </c>
      <c r="C25" s="1">
        <v>404131245.57999998</v>
      </c>
      <c r="D25" s="1">
        <v>21265247.920000002</v>
      </c>
      <c r="E25" s="1">
        <v>294038710</v>
      </c>
      <c r="F25" s="1">
        <v>137622377.38</v>
      </c>
      <c r="G25" s="1">
        <v>11755272.560000001</v>
      </c>
      <c r="H25" s="1">
        <v>270170541.05000001</v>
      </c>
      <c r="I25" s="1">
        <v>184964055.66999999</v>
      </c>
      <c r="J25" s="1">
        <v>282833218.76999998</v>
      </c>
      <c r="K25" s="1">
        <v>117467741.70999999</v>
      </c>
      <c r="L25" s="1">
        <v>540552380.73000002</v>
      </c>
      <c r="M25" s="1">
        <v>7625294.6900000004</v>
      </c>
      <c r="N25" s="1">
        <v>46392301.689999998</v>
      </c>
      <c r="O25" s="1">
        <v>137721370.71000001</v>
      </c>
      <c r="P25" s="1">
        <v>0</v>
      </c>
      <c r="Q25" s="1">
        <v>4865888.2300000004</v>
      </c>
      <c r="R25" s="1">
        <v>644336813.25999999</v>
      </c>
      <c r="S25" s="1">
        <v>435137017.81</v>
      </c>
      <c r="T25" s="1">
        <v>0</v>
      </c>
      <c r="U25" s="1">
        <v>434797928.52999997</v>
      </c>
      <c r="V25" s="1">
        <v>510350210</v>
      </c>
      <c r="W25" s="1">
        <v>1020414032</v>
      </c>
      <c r="X25" s="1">
        <f t="shared" si="0"/>
        <v>5506441648.29</v>
      </c>
    </row>
    <row r="26" spans="1:25" x14ac:dyDescent="0.3">
      <c r="A26" t="s">
        <v>63</v>
      </c>
      <c r="B26" s="6" t="s">
        <v>67</v>
      </c>
      <c r="C26" s="1">
        <v>163526406.44999999</v>
      </c>
      <c r="D26" s="1">
        <v>10430462.91</v>
      </c>
      <c r="E26" s="1">
        <v>132637212</v>
      </c>
      <c r="F26" s="1">
        <v>36325087.670000002</v>
      </c>
      <c r="G26" s="1">
        <v>21580751.02</v>
      </c>
      <c r="H26" s="1">
        <v>179942978.43000001</v>
      </c>
      <c r="I26" s="1">
        <v>156388926.49000001</v>
      </c>
      <c r="J26" s="1">
        <v>314362959.81</v>
      </c>
      <c r="K26" s="1">
        <v>13904443.369999999</v>
      </c>
      <c r="L26" s="1">
        <v>284027337.54000002</v>
      </c>
      <c r="M26" s="1">
        <v>4100493.92</v>
      </c>
      <c r="N26" s="1">
        <v>18617493.93</v>
      </c>
      <c r="O26" s="1">
        <v>35771095.009999998</v>
      </c>
      <c r="P26" s="1">
        <v>0</v>
      </c>
      <c r="Q26" s="1">
        <v>16793970.989999998</v>
      </c>
      <c r="R26" s="1">
        <v>721957170.10000002</v>
      </c>
      <c r="S26" s="1">
        <v>456562667.69</v>
      </c>
      <c r="T26" s="1">
        <v>0</v>
      </c>
      <c r="U26" s="1">
        <v>491245251</v>
      </c>
      <c r="V26" s="1">
        <v>639796383</v>
      </c>
      <c r="W26" s="1">
        <v>988666874</v>
      </c>
      <c r="X26" s="1">
        <f t="shared" si="0"/>
        <v>4686637965.3299999</v>
      </c>
    </row>
    <row r="27" spans="1:25" x14ac:dyDescent="0.3">
      <c r="A27" t="s">
        <v>64</v>
      </c>
      <c r="B27" s="6" t="s">
        <v>67</v>
      </c>
      <c r="C27" s="1">
        <v>13099379.93</v>
      </c>
      <c r="D27" s="1">
        <v>14725887.33</v>
      </c>
      <c r="E27" s="1">
        <v>10431473</v>
      </c>
      <c r="F27" s="1">
        <v>62765290.909999996</v>
      </c>
      <c r="G27" s="1">
        <v>42800648.109999999</v>
      </c>
      <c r="H27" s="1">
        <v>8897575.4000000004</v>
      </c>
      <c r="I27" s="1">
        <v>12788647.73</v>
      </c>
      <c r="J27" s="1">
        <v>3761601.38</v>
      </c>
      <c r="K27" s="1">
        <v>11678746.01</v>
      </c>
      <c r="L27" s="1">
        <v>12113276.800000001</v>
      </c>
      <c r="M27" s="1">
        <v>3768536.86</v>
      </c>
      <c r="N27" s="1">
        <v>5583568.4900000002</v>
      </c>
      <c r="O27" s="1">
        <v>16874369.289999999</v>
      </c>
      <c r="P27" s="1">
        <v>0</v>
      </c>
      <c r="Q27" s="1">
        <v>2832658.81</v>
      </c>
      <c r="R27" s="1">
        <v>17646229.09</v>
      </c>
      <c r="S27" s="1">
        <v>10458739.210000001</v>
      </c>
      <c r="T27" s="1">
        <v>0</v>
      </c>
      <c r="U27" s="1">
        <v>8354659.6900000004</v>
      </c>
      <c r="V27" s="1">
        <v>62049535</v>
      </c>
      <c r="W27" s="1">
        <v>15774624</v>
      </c>
      <c r="X27" s="1">
        <f t="shared" si="0"/>
        <v>336405447.03999996</v>
      </c>
    </row>
    <row r="28" spans="1:25" x14ac:dyDescent="0.3">
      <c r="A28" s="4" t="s">
        <v>65</v>
      </c>
      <c r="B28" s="11" t="s">
        <v>68</v>
      </c>
      <c r="C28" s="12">
        <f t="shared" ref="C28:D28" si="27">C10-C21+C22-C23+C24+C25-C26-C27</f>
        <v>238704595.93000084</v>
      </c>
      <c r="D28" s="12">
        <f t="shared" si="27"/>
        <v>11646594.989999557</v>
      </c>
      <c r="E28" s="12">
        <f t="shared" ref="E28:H28" si="28">E10-E21+E22-E23+E24+E25-E26-E27</f>
        <v>532951049</v>
      </c>
      <c r="F28" s="12">
        <f t="shared" si="28"/>
        <v>171977332.70999989</v>
      </c>
      <c r="G28" s="12">
        <f t="shared" si="28"/>
        <v>224359491.31999934</v>
      </c>
      <c r="H28" s="12">
        <f t="shared" si="28"/>
        <v>245442254.70999572</v>
      </c>
      <c r="I28" s="12">
        <f t="shared" ref="I28:J28" si="29">I10-I21+I22-I23+I24+I25-I26-I27</f>
        <v>-25758920.780000787</v>
      </c>
      <c r="J28" s="12">
        <f t="shared" si="29"/>
        <v>76835377.639999926</v>
      </c>
      <c r="K28" s="12">
        <f t="shared" ref="K28:M28" si="30">K10-K21+K22-K23+K24+K25-K26-K27</f>
        <v>457199862.10999984</v>
      </c>
      <c r="L28" s="12">
        <f t="shared" si="30"/>
        <v>570845922.03000164</v>
      </c>
      <c r="M28" s="12">
        <f t="shared" si="30"/>
        <v>59031603.989999749</v>
      </c>
      <c r="N28" s="12">
        <f t="shared" ref="N28" si="31">N10-N21+N22-N23+N24+N25-N26-N27</f>
        <v>121762149.41000031</v>
      </c>
      <c r="O28" s="12">
        <f t="shared" ref="O28" si="32">O10-O21+O22-O23+O24+O25-O26-O27</f>
        <v>541713829.26000237</v>
      </c>
      <c r="P28" s="12">
        <f t="shared" ref="P28:T28" si="33">SUM(P22:P27)</f>
        <v>0</v>
      </c>
      <c r="Q28" s="12">
        <f t="shared" ref="Q28" si="34">Q10-Q21+Q22-Q23+Q24+Q25-Q26-Q27</f>
        <v>5419746.6700000707</v>
      </c>
      <c r="R28" s="12">
        <f t="shared" ref="R28:S28" si="35">R10-R21+R22-R23+R24+R25-R26-R27</f>
        <v>1261131446.2099993</v>
      </c>
      <c r="S28" s="12">
        <f t="shared" si="35"/>
        <v>-52920901.389999889</v>
      </c>
      <c r="T28" s="12">
        <f t="shared" si="33"/>
        <v>0</v>
      </c>
      <c r="U28" s="12">
        <f t="shared" ref="U28:W28" si="36">U10-U21+U22-U23+U24+U25-U26-U27</f>
        <v>133443744.33999997</v>
      </c>
      <c r="V28" s="12">
        <f t="shared" si="36"/>
        <v>464618251</v>
      </c>
      <c r="W28" s="12">
        <f t="shared" si="36"/>
        <v>494699368</v>
      </c>
      <c r="X28" s="12">
        <f t="shared" si="0"/>
        <v>5533102797.1499977</v>
      </c>
    </row>
    <row r="29" spans="1:25" x14ac:dyDescent="0.3">
      <c r="C29" s="1"/>
      <c r="D29" s="1"/>
    </row>
  </sheetData>
  <conditionalFormatting sqref="C28:W28">
    <cfRule type="cellIs" dxfId="91" priority="115" operator="greaterThan">
      <formula>0</formula>
    </cfRule>
  </conditionalFormatting>
  <conditionalFormatting sqref="X28">
    <cfRule type="cellIs" dxfId="90" priority="76" operator="greaterThan">
      <formula>0</formula>
    </cfRule>
  </conditionalFormatting>
  <conditionalFormatting sqref="X28">
    <cfRule type="cellIs" dxfId="89" priority="75" operator="greaterThan">
      <formula>0</formula>
    </cfRule>
  </conditionalFormatting>
  <conditionalFormatting sqref="R28">
    <cfRule type="cellIs" dxfId="88" priority="44" operator="greaterThan">
      <formula>0</formula>
    </cfRule>
  </conditionalFormatting>
  <conditionalFormatting sqref="R28">
    <cfRule type="cellIs" dxfId="87" priority="43" operator="greaterThan">
      <formula>0</formula>
    </cfRule>
  </conditionalFormatting>
  <conditionalFormatting sqref="U28">
    <cfRule type="cellIs" dxfId="86" priority="42" operator="greaterThan">
      <formula>0</formula>
    </cfRule>
  </conditionalFormatting>
  <conditionalFormatting sqref="U28">
    <cfRule type="cellIs" dxfId="85" priority="41" operator="greaterThan">
      <formula>0</formula>
    </cfRule>
  </conditionalFormatting>
  <conditionalFormatting sqref="K28">
    <cfRule type="cellIs" dxfId="84" priority="40" operator="greaterThan">
      <formula>0</formula>
    </cfRule>
  </conditionalFormatting>
  <conditionalFormatting sqref="K28">
    <cfRule type="cellIs" dxfId="83" priority="39" operator="greaterThan">
      <formula>0</formula>
    </cfRule>
  </conditionalFormatting>
  <conditionalFormatting sqref="I28">
    <cfRule type="cellIs" dxfId="82" priority="38" operator="greaterThan">
      <formula>0</formula>
    </cfRule>
  </conditionalFormatting>
  <conditionalFormatting sqref="I28">
    <cfRule type="cellIs" dxfId="81" priority="37" operator="greaterThan">
      <formula>0</formula>
    </cfRule>
  </conditionalFormatting>
  <conditionalFormatting sqref="O28">
    <cfRule type="cellIs" dxfId="80" priority="36" operator="greaterThan">
      <formula>0</formula>
    </cfRule>
  </conditionalFormatting>
  <conditionalFormatting sqref="O28">
    <cfRule type="cellIs" dxfId="79" priority="35" operator="greaterThan">
      <formula>0</formula>
    </cfRule>
  </conditionalFormatting>
  <conditionalFormatting sqref="J28">
    <cfRule type="cellIs" dxfId="78" priority="34" operator="greaterThan">
      <formula>0</formula>
    </cfRule>
  </conditionalFormatting>
  <conditionalFormatting sqref="J28">
    <cfRule type="cellIs" dxfId="77" priority="33" operator="greaterThan">
      <formula>0</formula>
    </cfRule>
  </conditionalFormatting>
  <conditionalFormatting sqref="E28:F28">
    <cfRule type="cellIs" dxfId="76" priority="32" operator="greaterThan">
      <formula>0</formula>
    </cfRule>
  </conditionalFormatting>
  <conditionalFormatting sqref="E28:F28">
    <cfRule type="cellIs" dxfId="75" priority="31" operator="greaterThan">
      <formula>0</formula>
    </cfRule>
  </conditionalFormatting>
  <conditionalFormatting sqref="E28:F28">
    <cfRule type="cellIs" dxfId="74" priority="30" operator="greaterThan">
      <formula>0</formula>
    </cfRule>
  </conditionalFormatting>
  <conditionalFormatting sqref="E28:F28">
    <cfRule type="cellIs" dxfId="73" priority="29" operator="greaterThan">
      <formula>0</formula>
    </cfRule>
  </conditionalFormatting>
  <conditionalFormatting sqref="N28">
    <cfRule type="cellIs" dxfId="72" priority="28" operator="greaterThan">
      <formula>0</formula>
    </cfRule>
  </conditionalFormatting>
  <conditionalFormatting sqref="N28">
    <cfRule type="cellIs" dxfId="71" priority="27" operator="greaterThan">
      <formula>0</formula>
    </cfRule>
  </conditionalFormatting>
  <conditionalFormatting sqref="Q28">
    <cfRule type="cellIs" dxfId="70" priority="26" operator="greaterThan">
      <formula>0</formula>
    </cfRule>
  </conditionalFormatting>
  <conditionalFormatting sqref="Q28">
    <cfRule type="cellIs" dxfId="69" priority="25" operator="greaterThan">
      <formula>0</formula>
    </cfRule>
  </conditionalFormatting>
  <conditionalFormatting sqref="C28">
    <cfRule type="cellIs" dxfId="68" priority="24" operator="greaterThan">
      <formula>0</formula>
    </cfRule>
  </conditionalFormatting>
  <conditionalFormatting sqref="C28">
    <cfRule type="cellIs" dxfId="67" priority="23" operator="greaterThan">
      <formula>0</formula>
    </cfRule>
  </conditionalFormatting>
  <conditionalFormatting sqref="S28">
    <cfRule type="cellIs" dxfId="66" priority="22" operator="greaterThan">
      <formula>0</formula>
    </cfRule>
  </conditionalFormatting>
  <conditionalFormatting sqref="S28">
    <cfRule type="cellIs" dxfId="65" priority="21" operator="greaterThan">
      <formula>0</formula>
    </cfRule>
  </conditionalFormatting>
  <conditionalFormatting sqref="V28">
    <cfRule type="cellIs" dxfId="64" priority="20" operator="greaterThan">
      <formula>0</formula>
    </cfRule>
  </conditionalFormatting>
  <conditionalFormatting sqref="V28">
    <cfRule type="cellIs" dxfId="63" priority="19" operator="greaterThan">
      <formula>0</formula>
    </cfRule>
  </conditionalFormatting>
  <conditionalFormatting sqref="L28">
    <cfRule type="cellIs" dxfId="62" priority="18" operator="greaterThan">
      <formula>0</formula>
    </cfRule>
  </conditionalFormatting>
  <conditionalFormatting sqref="L28">
    <cfRule type="cellIs" dxfId="61" priority="17" operator="greaterThan">
      <formula>0</formula>
    </cfRule>
  </conditionalFormatting>
  <conditionalFormatting sqref="G28">
    <cfRule type="cellIs" dxfId="60" priority="16" operator="greaterThan">
      <formula>0</formula>
    </cfRule>
  </conditionalFormatting>
  <conditionalFormatting sqref="G28">
    <cfRule type="cellIs" dxfId="59" priority="15" operator="greaterThan">
      <formula>0</formula>
    </cfRule>
  </conditionalFormatting>
  <conditionalFormatting sqref="M28">
    <cfRule type="cellIs" dxfId="58" priority="14" operator="greaterThan">
      <formula>0</formula>
    </cfRule>
  </conditionalFormatting>
  <conditionalFormatting sqref="M28">
    <cfRule type="cellIs" dxfId="57" priority="13" operator="greaterThan">
      <formula>0</formula>
    </cfRule>
  </conditionalFormatting>
  <conditionalFormatting sqref="D28">
    <cfRule type="cellIs" dxfId="56" priority="12" operator="greaterThan">
      <formula>0</formula>
    </cfRule>
  </conditionalFormatting>
  <conditionalFormatting sqref="D28">
    <cfRule type="cellIs" dxfId="55" priority="11" operator="greaterThan">
      <formula>0</formula>
    </cfRule>
  </conditionalFormatting>
  <conditionalFormatting sqref="H28">
    <cfRule type="cellIs" dxfId="54" priority="10" operator="greaterThan">
      <formula>0</formula>
    </cfRule>
  </conditionalFormatting>
  <conditionalFormatting sqref="H28">
    <cfRule type="cellIs" dxfId="53" priority="9" operator="greaterThan">
      <formula>0</formula>
    </cfRule>
  </conditionalFormatting>
  <conditionalFormatting sqref="W28">
    <cfRule type="cellIs" dxfId="52" priority="8" operator="greaterThan">
      <formula>0</formula>
    </cfRule>
  </conditionalFormatting>
  <conditionalFormatting sqref="W28">
    <cfRule type="cellIs" dxfId="51" priority="7" operator="greaterThan">
      <formula>0</formula>
    </cfRule>
  </conditionalFormatting>
  <conditionalFormatting sqref="F28">
    <cfRule type="cellIs" dxfId="50" priority="6" operator="greaterThan">
      <formula>0</formula>
    </cfRule>
  </conditionalFormatting>
  <conditionalFormatting sqref="F28">
    <cfRule type="cellIs" dxfId="49" priority="5" operator="greaterThan">
      <formula>0</formula>
    </cfRule>
  </conditionalFormatting>
  <conditionalFormatting sqref="F28">
    <cfRule type="cellIs" dxfId="48" priority="4" operator="greaterThan">
      <formula>0</formula>
    </cfRule>
  </conditionalFormatting>
  <conditionalFormatting sqref="F28">
    <cfRule type="cellIs" dxfId="47" priority="3" operator="greaterThan">
      <formula>0</formula>
    </cfRule>
  </conditionalFormatting>
  <conditionalFormatting sqref="G28">
    <cfRule type="cellIs" dxfId="46" priority="2" operator="greaterThan">
      <formula>0</formula>
    </cfRule>
  </conditionalFormatting>
  <conditionalFormatting sqref="G28">
    <cfRule type="cellIs" dxfId="45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pane xSplit="2" ySplit="1" topLeftCell="J11" activePane="bottomRight" state="frozen"/>
      <selection pane="topRight" activeCell="C1" sqref="C1"/>
      <selection pane="bottomLeft" activeCell="A2" sqref="A2"/>
      <selection pane="bottomRight" activeCell="W28" sqref="W28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3.88671875" bestFit="1" customWidth="1"/>
    <col min="4" max="4" width="12.6640625" bestFit="1" customWidth="1"/>
    <col min="5" max="5" width="13.88671875" bestFit="1" customWidth="1"/>
    <col min="6" max="7" width="12.6640625" bestFit="1" customWidth="1"/>
    <col min="8" max="8" width="13.88671875" bestFit="1" customWidth="1"/>
    <col min="9" max="10" width="12.6640625" bestFit="1" customWidth="1"/>
    <col min="11" max="11" width="13.88671875" bestFit="1" customWidth="1"/>
    <col min="12" max="14" width="12.6640625" bestFit="1" customWidth="1"/>
    <col min="15" max="15" width="13.88671875" bestFit="1" customWidth="1"/>
    <col min="16" max="16" width="11.109375" bestFit="1" customWidth="1"/>
    <col min="17" max="17" width="12.6640625" bestFit="1" customWidth="1"/>
    <col min="18" max="19" width="13.88671875" bestFit="1" customWidth="1"/>
    <col min="20" max="20" width="11.109375" bestFit="1" customWidth="1"/>
    <col min="21" max="21" width="12.6640625" bestFit="1" customWidth="1"/>
    <col min="22" max="22" width="13.88671875" bestFit="1" customWidth="1"/>
    <col min="23" max="23" width="12.6640625" bestFit="1" customWidth="1"/>
    <col min="24" max="24" width="14.88671875" bestFit="1" customWidth="1"/>
    <col min="25" max="25" width="13.5546875" bestFit="1" customWidth="1"/>
  </cols>
  <sheetData>
    <row r="1" spans="1:25" x14ac:dyDescent="0.3">
      <c r="C1" s="38" t="s">
        <v>93</v>
      </c>
      <c r="D1" s="38" t="s">
        <v>94</v>
      </c>
      <c r="E1" s="38" t="s">
        <v>95</v>
      </c>
      <c r="F1" s="38" t="s">
        <v>119</v>
      </c>
      <c r="G1" s="38" t="s">
        <v>120</v>
      </c>
      <c r="H1" s="38" t="s">
        <v>96</v>
      </c>
      <c r="I1" s="38" t="s">
        <v>97</v>
      </c>
      <c r="J1" s="38" t="s">
        <v>98</v>
      </c>
      <c r="K1" s="38" t="s">
        <v>99</v>
      </c>
      <c r="L1" s="38" t="s">
        <v>100</v>
      </c>
      <c r="M1" s="38" t="s">
        <v>101</v>
      </c>
      <c r="N1" s="38" t="s">
        <v>102</v>
      </c>
      <c r="O1" s="38" t="s">
        <v>103</v>
      </c>
      <c r="P1" s="38" t="s">
        <v>109</v>
      </c>
      <c r="Q1" s="38" t="s">
        <v>110</v>
      </c>
      <c r="R1" s="38" t="s">
        <v>104</v>
      </c>
      <c r="S1" s="38" t="s">
        <v>105</v>
      </c>
      <c r="T1" s="38" t="s">
        <v>111</v>
      </c>
      <c r="U1" s="38" t="s">
        <v>106</v>
      </c>
      <c r="V1" s="38" t="s">
        <v>107</v>
      </c>
      <c r="W1" s="38" t="s">
        <v>108</v>
      </c>
      <c r="X1" s="38" t="s">
        <v>83</v>
      </c>
    </row>
    <row r="2" spans="1:25" x14ac:dyDescent="0.3">
      <c r="A2" t="s">
        <v>42</v>
      </c>
      <c r="B2" s="6" t="s">
        <v>66</v>
      </c>
      <c r="C2" s="1">
        <v>9910872346.5300007</v>
      </c>
      <c r="D2" s="1">
        <v>1210039224.98</v>
      </c>
      <c r="E2" s="1">
        <v>21142712464</v>
      </c>
      <c r="F2" s="1">
        <v>4725096177.8900003</v>
      </c>
      <c r="G2" s="1">
        <v>4300716461.25</v>
      </c>
      <c r="H2" s="1">
        <v>10325873074.58</v>
      </c>
      <c r="I2" s="1">
        <v>6066398960.6800003</v>
      </c>
      <c r="J2" s="1">
        <v>3353412039.7199998</v>
      </c>
      <c r="K2" s="1">
        <v>9990272775.2000008</v>
      </c>
      <c r="L2" s="1">
        <v>8751049319.4799995</v>
      </c>
      <c r="M2" s="1">
        <v>1753720498.6500001</v>
      </c>
      <c r="N2" s="1">
        <v>3198621871.1100001</v>
      </c>
      <c r="O2" s="1">
        <v>13611016815.030001</v>
      </c>
      <c r="P2" s="1">
        <v>0</v>
      </c>
      <c r="Q2" s="1">
        <v>737055708.62</v>
      </c>
      <c r="R2" s="1">
        <v>7285214783.3299999</v>
      </c>
      <c r="S2" s="1">
        <v>6636645469.5600004</v>
      </c>
      <c r="T2" s="1">
        <v>0</v>
      </c>
      <c r="U2" s="1">
        <v>4360993419.8900003</v>
      </c>
      <c r="V2" s="1">
        <v>11841494291</v>
      </c>
      <c r="W2" s="1">
        <v>7019324183</v>
      </c>
      <c r="X2" s="1">
        <f t="shared" ref="X2:X28" si="0">SUM(C2:W2)</f>
        <v>136220529884.49998</v>
      </c>
    </row>
    <row r="3" spans="1:25" x14ac:dyDescent="0.3">
      <c r="A3" t="s">
        <v>43</v>
      </c>
      <c r="B3" s="6" t="s">
        <v>66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61178536.299999997</v>
      </c>
      <c r="M3" s="1">
        <v>218676370.77000001</v>
      </c>
      <c r="N3" s="1">
        <v>0</v>
      </c>
      <c r="O3" s="1">
        <v>0</v>
      </c>
      <c r="P3" s="1">
        <v>0</v>
      </c>
      <c r="Q3" s="1">
        <v>0</v>
      </c>
      <c r="R3" s="1">
        <v>4776990263</v>
      </c>
      <c r="S3" s="1">
        <v>383727476.01999998</v>
      </c>
      <c r="T3" s="1">
        <v>0</v>
      </c>
      <c r="U3" s="1">
        <v>0</v>
      </c>
      <c r="V3" s="1">
        <v>0</v>
      </c>
      <c r="W3" s="1">
        <v>0</v>
      </c>
      <c r="X3" s="1">
        <f t="shared" si="0"/>
        <v>5440572646.0900002</v>
      </c>
    </row>
    <row r="4" spans="1:25" x14ac:dyDescent="0.3">
      <c r="A4" t="s">
        <v>44</v>
      </c>
      <c r="B4" s="6" t="s">
        <v>66</v>
      </c>
      <c r="C4" s="1">
        <v>1199862364.71</v>
      </c>
      <c r="D4" s="1">
        <v>57121730.020000003</v>
      </c>
      <c r="E4" s="1">
        <v>1712970652</v>
      </c>
      <c r="F4" s="1">
        <v>598074590.62</v>
      </c>
      <c r="G4" s="1">
        <v>384932564.11000001</v>
      </c>
      <c r="H4" s="1">
        <v>987945415.15999997</v>
      </c>
      <c r="I4" s="1">
        <v>510488991.86000001</v>
      </c>
      <c r="J4" s="1">
        <v>710681439.39999998</v>
      </c>
      <c r="K4" s="1">
        <v>1121291354.54</v>
      </c>
      <c r="L4" s="1">
        <v>1027636494.85</v>
      </c>
      <c r="M4" s="1">
        <v>276712861.79000002</v>
      </c>
      <c r="N4" s="1">
        <v>451471708.56</v>
      </c>
      <c r="O4" s="1">
        <v>1603885580.6300001</v>
      </c>
      <c r="P4" s="1">
        <v>0</v>
      </c>
      <c r="Q4" s="1">
        <v>263322481.41999999</v>
      </c>
      <c r="R4" s="1">
        <v>3538790696.6399999</v>
      </c>
      <c r="S4" s="1">
        <v>4650319578.2299995</v>
      </c>
      <c r="T4" s="1">
        <v>0</v>
      </c>
      <c r="U4" s="1">
        <v>1185497435.98</v>
      </c>
      <c r="V4" s="1">
        <v>4392292613</v>
      </c>
      <c r="W4" s="1">
        <v>797386138</v>
      </c>
      <c r="X4" s="1">
        <f t="shared" si="0"/>
        <v>25470684691.52</v>
      </c>
    </row>
    <row r="5" spans="1:25" x14ac:dyDescent="0.3">
      <c r="A5" t="s">
        <v>45</v>
      </c>
      <c r="B5" s="6" t="s">
        <v>66</v>
      </c>
      <c r="C5" s="1">
        <v>321924689.36000001</v>
      </c>
      <c r="D5" s="1">
        <v>30126867.109999999</v>
      </c>
      <c r="E5" s="1">
        <v>1296343107</v>
      </c>
      <c r="F5" s="1">
        <v>79121141.670000002</v>
      </c>
      <c r="G5" s="1">
        <v>71241283.489999995</v>
      </c>
      <c r="H5" s="1">
        <v>426827237.93000001</v>
      </c>
      <c r="I5" s="1">
        <v>142835580.34999999</v>
      </c>
      <c r="J5" s="1">
        <v>173836965.75</v>
      </c>
      <c r="K5" s="1">
        <v>336000018.67000002</v>
      </c>
      <c r="L5" s="1">
        <v>45599204.75</v>
      </c>
      <c r="M5" s="1">
        <v>111061558.94</v>
      </c>
      <c r="N5" s="1">
        <v>145977579</v>
      </c>
      <c r="O5" s="1">
        <v>77251443.810000002</v>
      </c>
      <c r="P5" s="1">
        <v>0</v>
      </c>
      <c r="Q5" s="1">
        <v>1262153.99</v>
      </c>
      <c r="R5" s="1">
        <v>516037693.11000001</v>
      </c>
      <c r="S5" s="1">
        <v>6060338.6799999997</v>
      </c>
      <c r="T5" s="1">
        <v>0</v>
      </c>
      <c r="U5" s="1">
        <v>12143803.59</v>
      </c>
      <c r="V5" s="1">
        <v>154944582</v>
      </c>
      <c r="W5" s="1">
        <v>6107953</v>
      </c>
      <c r="X5" s="1">
        <f t="shared" si="0"/>
        <v>3954703202.1999998</v>
      </c>
    </row>
    <row r="6" spans="1:25" x14ac:dyDescent="0.3">
      <c r="A6" t="s">
        <v>46</v>
      </c>
      <c r="B6" s="6" t="s">
        <v>66</v>
      </c>
      <c r="C6" s="1"/>
      <c r="D6" s="1"/>
      <c r="E6" s="1"/>
      <c r="F6" s="1"/>
      <c r="G6" s="1">
        <v>332784.25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>
        <f t="shared" si="0"/>
        <v>332784.25</v>
      </c>
    </row>
    <row r="7" spans="1:25" x14ac:dyDescent="0.3">
      <c r="A7" t="s">
        <v>47</v>
      </c>
      <c r="B7" s="6" t="s">
        <v>66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>
        <f t="shared" si="0"/>
        <v>0</v>
      </c>
    </row>
    <row r="8" spans="1:25" x14ac:dyDescent="0.3">
      <c r="A8" t="s">
        <v>48</v>
      </c>
      <c r="B8" s="6" t="s">
        <v>66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0</v>
      </c>
      <c r="Q8" s="1"/>
      <c r="R8" s="1"/>
      <c r="S8" s="1"/>
      <c r="T8" s="1">
        <v>0</v>
      </c>
      <c r="U8" s="1"/>
      <c r="V8" s="1"/>
      <c r="W8" s="1"/>
      <c r="X8" s="1">
        <f t="shared" si="0"/>
        <v>0</v>
      </c>
    </row>
    <row r="9" spans="1:25" x14ac:dyDescent="0.3">
      <c r="A9" s="7" t="s">
        <v>49</v>
      </c>
      <c r="B9" s="8" t="s">
        <v>66</v>
      </c>
      <c r="C9" s="9">
        <v>158136130.97999999</v>
      </c>
      <c r="D9" s="9">
        <v>96144961.159999996</v>
      </c>
      <c r="E9" s="9">
        <v>267183886</v>
      </c>
      <c r="F9" s="9">
        <v>142335643.77000001</v>
      </c>
      <c r="G9" s="9">
        <v>98558438.689999998</v>
      </c>
      <c r="H9" s="9">
        <v>39529589.969999999</v>
      </c>
      <c r="I9" s="9">
        <v>67018390.520000003</v>
      </c>
      <c r="J9" s="9">
        <v>43767545.049999997</v>
      </c>
      <c r="K9" s="9">
        <v>21994261.469999999</v>
      </c>
      <c r="L9" s="9">
        <v>74959421.560000002</v>
      </c>
      <c r="M9" s="9">
        <v>34536289.75</v>
      </c>
      <c r="N9" s="9">
        <v>38154681.229999997</v>
      </c>
      <c r="O9" s="9">
        <v>69478935.549999997</v>
      </c>
      <c r="P9" s="1">
        <v>0</v>
      </c>
      <c r="Q9" s="9">
        <v>9596613.4600000009</v>
      </c>
      <c r="R9" s="9">
        <v>256641834.18000001</v>
      </c>
      <c r="S9" s="9">
        <v>73382243.189999998</v>
      </c>
      <c r="T9" s="1">
        <v>0</v>
      </c>
      <c r="U9" s="9">
        <v>130559495.15000001</v>
      </c>
      <c r="V9" s="9">
        <v>538534666</v>
      </c>
      <c r="W9" s="9">
        <v>234217490</v>
      </c>
      <c r="X9" s="9">
        <f t="shared" si="0"/>
        <v>2394730517.6800003</v>
      </c>
    </row>
    <row r="10" spans="1:25" x14ac:dyDescent="0.3">
      <c r="A10" s="10" t="s">
        <v>69</v>
      </c>
      <c r="B10" s="11" t="s">
        <v>66</v>
      </c>
      <c r="C10" s="23">
        <f t="shared" ref="C10" si="1">SUM(C2:C9)</f>
        <v>11590795531.580002</v>
      </c>
      <c r="D10" s="23">
        <f t="shared" ref="D10:O10" si="2">SUM(D2:D9)</f>
        <v>1393432783.27</v>
      </c>
      <c r="E10" s="23">
        <f t="shared" si="2"/>
        <v>24419210109</v>
      </c>
      <c r="F10" s="23">
        <f t="shared" si="2"/>
        <v>5544627553.9500008</v>
      </c>
      <c r="G10" s="23">
        <f t="shared" si="2"/>
        <v>4855781531.789999</v>
      </c>
      <c r="H10" s="23">
        <f t="shared" si="2"/>
        <v>11780175317.639999</v>
      </c>
      <c r="I10" s="23">
        <f t="shared" si="2"/>
        <v>6786741923.4100008</v>
      </c>
      <c r="J10" s="23">
        <f t="shared" si="2"/>
        <v>4281697989.9200001</v>
      </c>
      <c r="K10" s="23">
        <f t="shared" si="2"/>
        <v>11469558409.880001</v>
      </c>
      <c r="L10" s="23">
        <f t="shared" si="2"/>
        <v>9960422976.9399986</v>
      </c>
      <c r="M10" s="23">
        <f t="shared" si="2"/>
        <v>2394707579.9000001</v>
      </c>
      <c r="N10" s="23">
        <f t="shared" si="2"/>
        <v>3834225839.9000001</v>
      </c>
      <c r="O10" s="23">
        <f t="shared" si="2"/>
        <v>15361632775.019999</v>
      </c>
      <c r="P10" s="23">
        <f t="shared" ref="P10:T10" si="3">SUM(P2:P9)</f>
        <v>0</v>
      </c>
      <c r="Q10" s="23">
        <f t="shared" ref="Q10" si="4">SUM(Q2:Q9)</f>
        <v>1011236957.49</v>
      </c>
      <c r="R10" s="23">
        <f t="shared" ref="R10:S10" si="5">SUM(R2:R9)</f>
        <v>16373675270.26</v>
      </c>
      <c r="S10" s="23">
        <f t="shared" si="5"/>
        <v>11750135105.68</v>
      </c>
      <c r="T10" s="23">
        <f t="shared" si="3"/>
        <v>0</v>
      </c>
      <c r="U10" s="23">
        <f t="shared" ref="U10" si="6">SUM(U2:U9)</f>
        <v>5689194154.6100006</v>
      </c>
      <c r="V10" s="23">
        <f t="shared" ref="V10" si="7">SUM(V2:V9)</f>
        <v>16927266152</v>
      </c>
      <c r="W10" s="23">
        <f t="shared" ref="W10" si="8">SUM(W2:W9)</f>
        <v>8057035764</v>
      </c>
      <c r="X10" s="23">
        <f t="shared" si="0"/>
        <v>173481553726.23999</v>
      </c>
    </row>
    <row r="11" spans="1:25" x14ac:dyDescent="0.3">
      <c r="A11" t="s">
        <v>50</v>
      </c>
      <c r="B11" s="6" t="s">
        <v>67</v>
      </c>
      <c r="C11" s="1">
        <v>1579896.09</v>
      </c>
      <c r="D11" s="1">
        <v>3682492.49</v>
      </c>
      <c r="E11" s="1">
        <v>3522335</v>
      </c>
      <c r="F11" s="1">
        <v>18197502.350000001</v>
      </c>
      <c r="G11" s="1">
        <v>11189956.98</v>
      </c>
      <c r="H11" s="1">
        <v>990680.35</v>
      </c>
      <c r="I11" s="1">
        <v>1841819.15</v>
      </c>
      <c r="J11" s="1">
        <v>736903.29</v>
      </c>
      <c r="K11" s="1">
        <v>1751669.89</v>
      </c>
      <c r="L11" s="1">
        <v>17132644.27</v>
      </c>
      <c r="M11" s="1">
        <v>647064.26</v>
      </c>
      <c r="N11" s="1">
        <v>944578.54</v>
      </c>
      <c r="O11" s="1">
        <v>5312777.34</v>
      </c>
      <c r="P11" s="1">
        <v>0</v>
      </c>
      <c r="Q11" s="1">
        <v>461544.81</v>
      </c>
      <c r="R11" s="1">
        <v>2538538.38</v>
      </c>
      <c r="S11" s="1">
        <v>2040908.43</v>
      </c>
      <c r="T11" s="1">
        <v>0</v>
      </c>
      <c r="U11" s="1">
        <v>5724336.7699999996</v>
      </c>
      <c r="V11" s="1">
        <v>7499184</v>
      </c>
      <c r="W11" s="1">
        <v>2757069</v>
      </c>
      <c r="X11" s="1">
        <f t="shared" si="0"/>
        <v>88551901.390000001</v>
      </c>
      <c r="Y11" s="1">
        <f>X11-Conto_economico_2018!X11</f>
        <v>7485417.450000003</v>
      </c>
    </row>
    <row r="12" spans="1:25" x14ac:dyDescent="0.3">
      <c r="A12" t="s">
        <v>51</v>
      </c>
      <c r="B12" s="6" t="s">
        <v>67</v>
      </c>
      <c r="C12" s="1">
        <v>504750513.19999999</v>
      </c>
      <c r="D12" s="1">
        <v>144922784.81</v>
      </c>
      <c r="E12" s="1">
        <v>1433122398</v>
      </c>
      <c r="F12" s="1">
        <v>249972907.91999999</v>
      </c>
      <c r="G12" s="1">
        <v>183260553.31999999</v>
      </c>
      <c r="H12" s="1">
        <v>517835665.29000002</v>
      </c>
      <c r="I12" s="1">
        <v>426072827.01999998</v>
      </c>
      <c r="J12" s="1">
        <v>408173354.52999997</v>
      </c>
      <c r="K12" s="1">
        <v>434217422.41000003</v>
      </c>
      <c r="L12" s="1">
        <v>700400588.97000003</v>
      </c>
      <c r="M12" s="1">
        <v>89751628.170000002</v>
      </c>
      <c r="N12" s="1">
        <v>325748212.27999997</v>
      </c>
      <c r="O12" s="1">
        <v>811983794.91999996</v>
      </c>
      <c r="P12" s="1">
        <v>0</v>
      </c>
      <c r="Q12" s="1">
        <v>177966956.84999999</v>
      </c>
      <c r="R12" s="1">
        <v>1841537141.1300001</v>
      </c>
      <c r="S12" s="1">
        <v>510316624.19</v>
      </c>
      <c r="T12" s="1">
        <v>0</v>
      </c>
      <c r="U12" s="1">
        <v>412331461.86000001</v>
      </c>
      <c r="V12" s="1">
        <v>1446409725</v>
      </c>
      <c r="W12" s="1">
        <v>400783292</v>
      </c>
      <c r="X12" s="1">
        <f t="shared" si="0"/>
        <v>11019557851.870001</v>
      </c>
      <c r="Y12" s="1">
        <f>X12-Conto_economico_2018!X12</f>
        <v>333638391.72000122</v>
      </c>
    </row>
    <row r="13" spans="1:25" x14ac:dyDescent="0.3">
      <c r="A13" t="s">
        <v>52</v>
      </c>
      <c r="B13" s="6" t="s">
        <v>67</v>
      </c>
      <c r="C13" s="1">
        <v>10035630.68</v>
      </c>
      <c r="D13" s="1">
        <v>4405314.68</v>
      </c>
      <c r="E13" s="1">
        <v>2948201</v>
      </c>
      <c r="F13" s="1">
        <v>9589864.0600000005</v>
      </c>
      <c r="G13" s="1">
        <v>12597342.32</v>
      </c>
      <c r="H13" s="1">
        <v>3825283.04</v>
      </c>
      <c r="I13" s="1">
        <v>3347219.12</v>
      </c>
      <c r="J13" s="1">
        <v>1842392.97</v>
      </c>
      <c r="K13" s="1">
        <v>19522907.059999999</v>
      </c>
      <c r="L13" s="1">
        <v>5900655.75</v>
      </c>
      <c r="M13" s="1">
        <v>939997.27</v>
      </c>
      <c r="N13" s="1">
        <v>2622180.7999999998</v>
      </c>
      <c r="O13" s="1">
        <v>15487205.109999999</v>
      </c>
      <c r="P13" s="1">
        <v>0</v>
      </c>
      <c r="Q13" s="1">
        <v>661962.75</v>
      </c>
      <c r="R13" s="1">
        <v>8663289.5099999998</v>
      </c>
      <c r="S13" s="1">
        <v>1564845.85</v>
      </c>
      <c r="T13" s="1">
        <v>0</v>
      </c>
      <c r="U13" s="1">
        <v>3137755.96</v>
      </c>
      <c r="V13" s="1">
        <v>49295286</v>
      </c>
      <c r="W13" s="1">
        <v>3990333</v>
      </c>
      <c r="X13" s="1">
        <f t="shared" si="0"/>
        <v>160377666.92999998</v>
      </c>
      <c r="Y13" s="1">
        <f>X13-Conto_economico_2018!X13</f>
        <v>-2411394.5400000215</v>
      </c>
    </row>
    <row r="14" spans="1:25" x14ac:dyDescent="0.3">
      <c r="A14" t="s">
        <v>53</v>
      </c>
      <c r="B14" s="6" t="s">
        <v>67</v>
      </c>
      <c r="C14" s="1">
        <v>10366564631.889999</v>
      </c>
      <c r="D14" s="1">
        <v>666738895.32000005</v>
      </c>
      <c r="E14" s="1">
        <v>22359588266</v>
      </c>
      <c r="F14" s="1">
        <v>3899742803.77</v>
      </c>
      <c r="G14" s="1">
        <v>3523345730.4400001</v>
      </c>
      <c r="H14" s="1">
        <v>10735050698.530001</v>
      </c>
      <c r="I14" s="1">
        <v>5704054446.5500002</v>
      </c>
      <c r="J14" s="1">
        <v>3657788064.1900001</v>
      </c>
      <c r="K14" s="1">
        <v>10333967229.33</v>
      </c>
      <c r="L14" s="1">
        <v>8569474315.0200005</v>
      </c>
      <c r="M14" s="1">
        <v>2126016432.4300001</v>
      </c>
      <c r="N14" s="1">
        <v>3250771172.0599999</v>
      </c>
      <c r="O14" s="1">
        <v>12946664303.34</v>
      </c>
      <c r="P14" s="1">
        <v>0</v>
      </c>
      <c r="Q14" s="1">
        <v>779064491.98000002</v>
      </c>
      <c r="R14" s="1">
        <v>12756154278.35</v>
      </c>
      <c r="S14" s="1">
        <v>10700741443.08</v>
      </c>
      <c r="T14" s="1">
        <v>0</v>
      </c>
      <c r="U14" s="1">
        <v>4640391070.7200003</v>
      </c>
      <c r="V14" s="1">
        <v>12968407923</v>
      </c>
      <c r="W14" s="1">
        <v>6797963943</v>
      </c>
      <c r="X14" s="1">
        <f t="shared" si="0"/>
        <v>146782490139</v>
      </c>
      <c r="Y14" s="1">
        <f>X14-Conto_economico_2018!X14</f>
        <v>886899477.85998535</v>
      </c>
    </row>
    <row r="15" spans="1:25" x14ac:dyDescent="0.3">
      <c r="A15" t="s">
        <v>54</v>
      </c>
      <c r="B15" s="6" t="s">
        <v>67</v>
      </c>
      <c r="C15" s="1">
        <v>194020673.72</v>
      </c>
      <c r="D15" s="1">
        <v>233854076.83000001</v>
      </c>
      <c r="E15" s="1">
        <v>158182355</v>
      </c>
      <c r="F15" s="1">
        <v>1034316885.45</v>
      </c>
      <c r="G15" s="1">
        <v>728726412.38</v>
      </c>
      <c r="H15" s="1">
        <v>130421265.11</v>
      </c>
      <c r="I15" s="1">
        <v>196728967.63</v>
      </c>
      <c r="J15" s="1">
        <v>67362841.719999999</v>
      </c>
      <c r="K15" s="1">
        <v>175470939.36000001</v>
      </c>
      <c r="L15" s="1">
        <v>162782178.28999999</v>
      </c>
      <c r="M15" s="1">
        <v>63711667.149999999</v>
      </c>
      <c r="N15" s="1">
        <v>88020417.909999996</v>
      </c>
      <c r="O15" s="1">
        <v>256607472.12</v>
      </c>
      <c r="P15" s="1">
        <v>0</v>
      </c>
      <c r="Q15" s="1">
        <v>33618571</v>
      </c>
      <c r="R15" s="1">
        <v>246879632.13</v>
      </c>
      <c r="S15" s="1">
        <v>165064272.22999999</v>
      </c>
      <c r="T15" s="1">
        <v>0</v>
      </c>
      <c r="U15" s="1">
        <v>111407312.45</v>
      </c>
      <c r="V15" s="1">
        <v>716302029</v>
      </c>
      <c r="W15" s="1">
        <v>243665260</v>
      </c>
      <c r="X15" s="1">
        <f t="shared" si="0"/>
        <v>5007143229.4799995</v>
      </c>
      <c r="Y15" s="1">
        <f>X15-Conto_economico_2018!X15</f>
        <v>78091438.059998512</v>
      </c>
    </row>
    <row r="16" spans="1:25" x14ac:dyDescent="0.3">
      <c r="A16" t="s">
        <v>55</v>
      </c>
      <c r="B16" s="6" t="s">
        <v>67</v>
      </c>
      <c r="C16" s="1">
        <v>25295358.460000001</v>
      </c>
      <c r="D16" s="1">
        <v>41566781.780000001</v>
      </c>
      <c r="E16" s="1">
        <v>61397502</v>
      </c>
      <c r="F16" s="1">
        <v>67178770.579999998</v>
      </c>
      <c r="G16" s="1">
        <v>44518194.899999999</v>
      </c>
      <c r="H16" s="1">
        <v>105544290.36</v>
      </c>
      <c r="I16" s="1">
        <v>58157056.57</v>
      </c>
      <c r="J16" s="1">
        <v>17513452.809999999</v>
      </c>
      <c r="K16" s="1">
        <v>96165634.5</v>
      </c>
      <c r="L16" s="1">
        <v>174878954.88999999</v>
      </c>
      <c r="M16" s="1">
        <v>24651771.539999999</v>
      </c>
      <c r="N16" s="1">
        <v>33981260.049999997</v>
      </c>
      <c r="O16" s="1">
        <v>124620153.37</v>
      </c>
      <c r="P16" s="1">
        <v>0</v>
      </c>
      <c r="Q16" s="1">
        <v>21272875.09</v>
      </c>
      <c r="R16" s="1">
        <v>173369661.25</v>
      </c>
      <c r="S16" s="1">
        <v>156663859.97</v>
      </c>
      <c r="T16" s="1">
        <v>0</v>
      </c>
      <c r="U16" s="1">
        <v>144219453.09999999</v>
      </c>
      <c r="V16" s="1">
        <v>630497968</v>
      </c>
      <c r="W16" s="1">
        <v>40404872</v>
      </c>
      <c r="X16" s="1">
        <f t="shared" si="0"/>
        <v>2041897871.2199998</v>
      </c>
      <c r="Y16" s="1">
        <f>X16-Conto_economico_2018!X16</f>
        <v>-25723985.420000076</v>
      </c>
    </row>
    <row r="17" spans="1:25" x14ac:dyDescent="0.3">
      <c r="A17" t="s">
        <v>56</v>
      </c>
      <c r="B17" s="6" t="s">
        <v>67</v>
      </c>
      <c r="C17" s="1">
        <v>24911.29</v>
      </c>
      <c r="D17" s="1">
        <v>660.52</v>
      </c>
      <c r="E17" s="1">
        <v>-7046</v>
      </c>
      <c r="F17" s="1">
        <v>91209.24</v>
      </c>
      <c r="G17" s="1">
        <v>0</v>
      </c>
      <c r="H17" s="1">
        <v>24328.67</v>
      </c>
      <c r="I17" s="1">
        <v>-17458.009999999998</v>
      </c>
      <c r="J17" s="1">
        <v>0</v>
      </c>
      <c r="K17" s="1">
        <v>-25189.29</v>
      </c>
      <c r="L17" s="1">
        <v>-86449.21</v>
      </c>
      <c r="M17" s="1">
        <v>-1311.51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-218562.82</v>
      </c>
      <c r="T17" s="1">
        <v>0</v>
      </c>
      <c r="U17" s="1">
        <v>-103422.05</v>
      </c>
      <c r="V17" s="1">
        <v>0</v>
      </c>
      <c r="W17" s="1">
        <v>7821</v>
      </c>
      <c r="X17" s="1">
        <f t="shared" si="0"/>
        <v>-310508.17</v>
      </c>
      <c r="Y17" s="1">
        <f>X17-Conto_economico_2018!X17</f>
        <v>572587.37000000034</v>
      </c>
    </row>
    <row r="18" spans="1:25" x14ac:dyDescent="0.3">
      <c r="A18" t="s">
        <v>57</v>
      </c>
      <c r="B18" s="6" t="s">
        <v>67</v>
      </c>
      <c r="C18" s="1">
        <v>0</v>
      </c>
      <c r="D18" s="1">
        <v>13434592.07</v>
      </c>
      <c r="E18" s="1">
        <v>14465323</v>
      </c>
      <c r="F18" s="1">
        <v>7745197.21</v>
      </c>
      <c r="G18" s="1">
        <v>1109280.5</v>
      </c>
      <c r="H18" s="1">
        <v>4552752.75</v>
      </c>
      <c r="I18" s="1">
        <v>164675704.96000001</v>
      </c>
      <c r="J18" s="1">
        <v>7100000</v>
      </c>
      <c r="K18" s="1">
        <v>4950252.1900000004</v>
      </c>
      <c r="L18" s="1">
        <v>0</v>
      </c>
      <c r="M18" s="1">
        <v>40375253.869999997</v>
      </c>
      <c r="N18" s="1">
        <v>41144212.799999997</v>
      </c>
      <c r="O18" s="1">
        <v>56973076.439999998</v>
      </c>
      <c r="P18" s="1">
        <v>0</v>
      </c>
      <c r="Q18" s="1">
        <v>6641704.8399999999</v>
      </c>
      <c r="R18" s="1">
        <v>49221420.130000003</v>
      </c>
      <c r="S18" s="1">
        <v>145366426.87</v>
      </c>
      <c r="T18" s="1">
        <v>0</v>
      </c>
      <c r="U18" s="1">
        <v>53330362.140000001</v>
      </c>
      <c r="V18" s="1">
        <v>41763176</v>
      </c>
      <c r="W18" s="1">
        <v>23434162</v>
      </c>
      <c r="X18" s="1">
        <f t="shared" si="0"/>
        <v>676282897.76999998</v>
      </c>
      <c r="Y18" s="1">
        <f>X18-Conto_economico_2018!X18</f>
        <v>367381467.67999995</v>
      </c>
    </row>
    <row r="19" spans="1:25" x14ac:dyDescent="0.3">
      <c r="A19" t="s">
        <v>14</v>
      </c>
      <c r="B19" s="6" t="s">
        <v>67</v>
      </c>
      <c r="C19" s="1">
        <v>206486326.33000001</v>
      </c>
      <c r="D19" s="1">
        <v>21283891</v>
      </c>
      <c r="E19" s="1">
        <v>30808731</v>
      </c>
      <c r="F19" s="1">
        <v>5751887.5999999996</v>
      </c>
      <c r="G19" s="1">
        <v>0</v>
      </c>
      <c r="H19" s="1">
        <v>5292.68</v>
      </c>
      <c r="I19" s="1">
        <v>144178.22</v>
      </c>
      <c r="J19" s="1">
        <v>0</v>
      </c>
      <c r="K19" s="1">
        <v>0</v>
      </c>
      <c r="L19" s="1">
        <v>1832725.76</v>
      </c>
      <c r="M19" s="1">
        <v>0</v>
      </c>
      <c r="N19" s="1">
        <v>0</v>
      </c>
      <c r="O19" s="1">
        <v>0</v>
      </c>
      <c r="P19" s="1">
        <v>0</v>
      </c>
      <c r="Q19" s="1">
        <v>13835075.18</v>
      </c>
      <c r="R19" s="1">
        <v>0</v>
      </c>
      <c r="S19" s="1">
        <v>0</v>
      </c>
      <c r="T19" s="1">
        <v>0</v>
      </c>
      <c r="U19" s="1">
        <v>0</v>
      </c>
      <c r="V19" s="1">
        <v>297357067</v>
      </c>
      <c r="W19" s="1">
        <v>20258246</v>
      </c>
      <c r="X19" s="1">
        <f t="shared" si="0"/>
        <v>597763420.76999998</v>
      </c>
      <c r="Y19" s="1">
        <f>X19-Conto_economico_2018!X19</f>
        <v>39811421.460000038</v>
      </c>
    </row>
    <row r="20" spans="1:25" x14ac:dyDescent="0.3">
      <c r="A20" s="7" t="s">
        <v>58</v>
      </c>
      <c r="B20" s="8" t="s">
        <v>67</v>
      </c>
      <c r="C20" s="9">
        <v>7042934.4500000002</v>
      </c>
      <c r="D20" s="9">
        <v>10492845.48</v>
      </c>
      <c r="E20" s="9">
        <v>118214490</v>
      </c>
      <c r="F20" s="1">
        <v>58044526.530000001</v>
      </c>
      <c r="G20" s="1">
        <v>7564054.7999999998</v>
      </c>
      <c r="H20" s="9">
        <v>44040230.090000004</v>
      </c>
      <c r="I20" s="9">
        <v>10436658.08</v>
      </c>
      <c r="J20" s="9">
        <v>2205270.62</v>
      </c>
      <c r="K20" s="9">
        <v>5360620.5999999996</v>
      </c>
      <c r="L20" s="9">
        <v>13853035.380000001</v>
      </c>
      <c r="M20" s="9">
        <v>6560554.1399999997</v>
      </c>
      <c r="N20" s="9">
        <v>4305865.75</v>
      </c>
      <c r="O20" s="9">
        <v>28229807.43</v>
      </c>
      <c r="P20" s="1">
        <v>0</v>
      </c>
      <c r="Q20" s="9">
        <v>16622945.470000001</v>
      </c>
      <c r="R20" s="9">
        <v>96718514.599999994</v>
      </c>
      <c r="S20" s="9">
        <v>31615301.059999999</v>
      </c>
      <c r="T20" s="1">
        <v>0</v>
      </c>
      <c r="U20" s="9">
        <v>66860577.530000001</v>
      </c>
      <c r="V20" s="9">
        <v>449263055</v>
      </c>
      <c r="W20" s="9">
        <v>118445392</v>
      </c>
      <c r="X20" s="9">
        <f t="shared" si="0"/>
        <v>1095876679.0100002</v>
      </c>
      <c r="Y20" s="1">
        <f>X20-Conto_economico_2018!X20</f>
        <v>119866285.0400002</v>
      </c>
    </row>
    <row r="21" spans="1:25" x14ac:dyDescent="0.3">
      <c r="A21" s="10" t="s">
        <v>70</v>
      </c>
      <c r="B21" s="11" t="s">
        <v>67</v>
      </c>
      <c r="C21" s="23">
        <f t="shared" ref="C21" si="9">SUM(C11:C20)</f>
        <v>11315800876.109999</v>
      </c>
      <c r="D21" s="23">
        <f t="shared" ref="D21:O21" si="10">SUM(D11:D20)</f>
        <v>1140382334.98</v>
      </c>
      <c r="E21" s="23">
        <f t="shared" si="10"/>
        <v>24182242555</v>
      </c>
      <c r="F21" s="23">
        <f t="shared" si="10"/>
        <v>5350631554.71</v>
      </c>
      <c r="G21" s="23">
        <f t="shared" si="10"/>
        <v>4512311525.6399994</v>
      </c>
      <c r="H21" s="23">
        <f t="shared" si="10"/>
        <v>11542290486.870003</v>
      </c>
      <c r="I21" s="23">
        <f t="shared" si="10"/>
        <v>6565441419.29</v>
      </c>
      <c r="J21" s="23">
        <f t="shared" si="10"/>
        <v>4162722280.1299996</v>
      </c>
      <c r="K21" s="23">
        <f t="shared" si="10"/>
        <v>11071381486.050001</v>
      </c>
      <c r="L21" s="23">
        <f t="shared" si="10"/>
        <v>9646168649.1200008</v>
      </c>
      <c r="M21" s="23">
        <f t="shared" si="10"/>
        <v>2352653057.3199997</v>
      </c>
      <c r="N21" s="23">
        <f t="shared" si="10"/>
        <v>3747537900.1900001</v>
      </c>
      <c r="O21" s="23">
        <f t="shared" si="10"/>
        <v>14245878590.070004</v>
      </c>
      <c r="P21" s="5">
        <f t="shared" ref="P21:T21" si="11">SUM(P11:P20)</f>
        <v>0</v>
      </c>
      <c r="Q21" s="23">
        <f t="shared" ref="Q21" si="12">SUM(Q11:Q20)</f>
        <v>1050146127.97</v>
      </c>
      <c r="R21" s="23">
        <f t="shared" ref="R21:S21" si="13">SUM(R11:R20)</f>
        <v>15175082475.48</v>
      </c>
      <c r="S21" s="23">
        <f t="shared" si="13"/>
        <v>11713155118.859999</v>
      </c>
      <c r="T21" s="5">
        <f t="shared" si="11"/>
        <v>0</v>
      </c>
      <c r="U21" s="23">
        <f t="shared" ref="U21" si="14">SUM(U11:U20)</f>
        <v>5437298908.4800005</v>
      </c>
      <c r="V21" s="23">
        <f t="shared" ref="V21" si="15">SUM(V11:V20)</f>
        <v>16606795413</v>
      </c>
      <c r="W21" s="23">
        <f t="shared" ref="W21" si="16">SUM(W11:W20)</f>
        <v>7651710390</v>
      </c>
      <c r="X21" s="23">
        <f t="shared" si="0"/>
        <v>167469631149.27002</v>
      </c>
      <c r="Y21" s="1">
        <f>X21-Conto_economico_2018!X21</f>
        <v>1805611106.6800232</v>
      </c>
    </row>
    <row r="22" spans="1:25" x14ac:dyDescent="0.3">
      <c r="A22" t="s">
        <v>59</v>
      </c>
      <c r="B22" s="6" t="s">
        <v>66</v>
      </c>
      <c r="C22" s="1">
        <v>8002981.1299999999</v>
      </c>
      <c r="D22" s="1">
        <v>8689568.8100000005</v>
      </c>
      <c r="E22" s="1">
        <v>36606638</v>
      </c>
      <c r="F22" s="1">
        <v>15419232.060000001</v>
      </c>
      <c r="G22" s="1">
        <v>19373984.68</v>
      </c>
      <c r="H22" s="1">
        <v>1110800.06</v>
      </c>
      <c r="I22" s="1">
        <v>1860312.12</v>
      </c>
      <c r="J22" s="1">
        <v>8419026.8100000005</v>
      </c>
      <c r="K22" s="1">
        <v>4490875.58</v>
      </c>
      <c r="L22" s="1">
        <v>5988631.8700000001</v>
      </c>
      <c r="M22" s="1">
        <v>16878232.039999999</v>
      </c>
      <c r="N22" s="1">
        <v>11560892.67</v>
      </c>
      <c r="O22" s="1">
        <v>38056942.030000001</v>
      </c>
      <c r="P22" s="1">
        <v>0</v>
      </c>
      <c r="Q22" s="1">
        <v>4295219.04</v>
      </c>
      <c r="R22" s="1">
        <v>29596118.989999998</v>
      </c>
      <c r="S22" s="1">
        <v>14430186.59</v>
      </c>
      <c r="T22" s="1">
        <v>0</v>
      </c>
      <c r="U22" s="1">
        <v>4171132.05</v>
      </c>
      <c r="V22" s="1">
        <v>6707565</v>
      </c>
      <c r="W22" s="1">
        <v>1495066</v>
      </c>
      <c r="X22" s="1">
        <f t="shared" si="0"/>
        <v>237153405.53000003</v>
      </c>
    </row>
    <row r="23" spans="1:25" x14ac:dyDescent="0.3">
      <c r="A23" t="s">
        <v>60</v>
      </c>
      <c r="B23" s="6" t="s">
        <v>67</v>
      </c>
      <c r="C23" s="1">
        <v>103464841.97</v>
      </c>
      <c r="D23" s="1">
        <v>24328782.32</v>
      </c>
      <c r="E23" s="1">
        <v>86611190</v>
      </c>
      <c r="F23" s="1">
        <v>1213017.1000000001</v>
      </c>
      <c r="G23" s="1">
        <v>53258.05</v>
      </c>
      <c r="H23" s="1">
        <v>60601046.789999999</v>
      </c>
      <c r="I23" s="1">
        <v>13948512.550000001</v>
      </c>
      <c r="J23" s="1">
        <v>23832183.649999999</v>
      </c>
      <c r="K23" s="1">
        <v>50134505.25</v>
      </c>
      <c r="L23" s="1">
        <v>63938194</v>
      </c>
      <c r="M23" s="1">
        <v>36435946.280000001</v>
      </c>
      <c r="N23" s="1">
        <v>33679515.969999999</v>
      </c>
      <c r="O23" s="1">
        <v>684024285.70000005</v>
      </c>
      <c r="P23" s="1">
        <v>0</v>
      </c>
      <c r="Q23" s="1">
        <v>12313019.800000001</v>
      </c>
      <c r="R23" s="1">
        <v>210773601.28999999</v>
      </c>
      <c r="S23" s="1">
        <v>43679537.25</v>
      </c>
      <c r="T23" s="1">
        <v>0</v>
      </c>
      <c r="U23" s="1">
        <v>56992670.659999996</v>
      </c>
      <c r="V23" s="1">
        <v>218906870</v>
      </c>
      <c r="W23" s="1">
        <v>46898678</v>
      </c>
      <c r="X23" s="1">
        <f t="shared" si="0"/>
        <v>1771829656.6300001</v>
      </c>
    </row>
    <row r="24" spans="1:25" x14ac:dyDescent="0.3">
      <c r="A24" t="s">
        <v>61</v>
      </c>
      <c r="B24" s="6" t="s">
        <v>66</v>
      </c>
      <c r="C24" s="1">
        <v>-380627.34</v>
      </c>
      <c r="D24" s="1">
        <v>28087972.050000001</v>
      </c>
      <c r="E24" s="1">
        <v>102238996</v>
      </c>
      <c r="F24" s="1">
        <v>-2714905.13</v>
      </c>
      <c r="G24" s="1">
        <v>26819249.960000001</v>
      </c>
      <c r="H24" s="1">
        <v>94321104.430000007</v>
      </c>
      <c r="I24" s="1">
        <v>-9840283.9800000004</v>
      </c>
      <c r="J24" s="1">
        <v>814561.37</v>
      </c>
      <c r="K24" s="1">
        <v>19439596.170000002</v>
      </c>
      <c r="L24" s="1">
        <v>-14278805.59</v>
      </c>
      <c r="M24" s="1">
        <v>-990862.65</v>
      </c>
      <c r="N24" s="1">
        <v>-170193.83</v>
      </c>
      <c r="O24" s="1">
        <v>43816355.630000003</v>
      </c>
      <c r="P24" s="1">
        <v>0</v>
      </c>
      <c r="Q24" s="1">
        <v>0</v>
      </c>
      <c r="R24" s="1">
        <v>-66642</v>
      </c>
      <c r="S24" s="1">
        <v>-1841267.76</v>
      </c>
      <c r="T24" s="1">
        <v>0</v>
      </c>
      <c r="U24" s="1">
        <v>-9702109.5099999998</v>
      </c>
      <c r="V24" s="1">
        <v>-110962368</v>
      </c>
      <c r="W24" s="1">
        <v>-40089473</v>
      </c>
      <c r="X24" s="1">
        <f t="shared" si="0"/>
        <v>124500296.82000005</v>
      </c>
    </row>
    <row r="25" spans="1:25" x14ac:dyDescent="0.3">
      <c r="A25" t="s">
        <v>62</v>
      </c>
      <c r="B25" s="6" t="s">
        <v>66</v>
      </c>
      <c r="C25" s="1">
        <v>237458119.53999999</v>
      </c>
      <c r="D25" s="1">
        <v>20182597</v>
      </c>
      <c r="E25" s="1">
        <v>255718102</v>
      </c>
      <c r="F25" s="1">
        <v>148624727.66</v>
      </c>
      <c r="G25" s="1">
        <v>16372253.619999999</v>
      </c>
      <c r="H25" s="1">
        <v>132954854.47</v>
      </c>
      <c r="I25" s="1">
        <v>155366882.09999999</v>
      </c>
      <c r="J25" s="1">
        <v>61754423.590000004</v>
      </c>
      <c r="K25" s="1">
        <v>54476876.090000004</v>
      </c>
      <c r="L25" s="1">
        <v>156725890.97</v>
      </c>
      <c r="M25" s="1">
        <v>22152001.609999999</v>
      </c>
      <c r="N25" s="1">
        <v>38334099.969999999</v>
      </c>
      <c r="O25" s="1">
        <v>111590715.75</v>
      </c>
      <c r="P25" s="1">
        <v>0</v>
      </c>
      <c r="Q25" s="1">
        <v>5611635.6900000004</v>
      </c>
      <c r="R25" s="1">
        <v>2681559750.2600002</v>
      </c>
      <c r="S25" s="1">
        <v>248012225.44</v>
      </c>
      <c r="T25" s="1">
        <v>0</v>
      </c>
      <c r="U25" s="1">
        <v>524662999.13999999</v>
      </c>
      <c r="V25" s="1">
        <v>1429850265</v>
      </c>
      <c r="W25" s="1">
        <v>708039700</v>
      </c>
      <c r="X25" s="1">
        <f t="shared" si="0"/>
        <v>7009448119.9000006</v>
      </c>
    </row>
    <row r="26" spans="1:25" x14ac:dyDescent="0.3">
      <c r="A26" t="s">
        <v>63</v>
      </c>
      <c r="B26" s="6" t="s">
        <v>67</v>
      </c>
      <c r="C26" s="1">
        <v>174889366.25</v>
      </c>
      <c r="D26" s="1">
        <v>6328033.4800000004</v>
      </c>
      <c r="E26" s="1">
        <v>142924317</v>
      </c>
      <c r="F26" s="1">
        <v>121007980.95999999</v>
      </c>
      <c r="G26" s="1">
        <v>19584275.780000001</v>
      </c>
      <c r="H26" s="1">
        <v>139965055.72999999</v>
      </c>
      <c r="I26" s="1">
        <v>68384996.519999996</v>
      </c>
      <c r="J26" s="1">
        <v>89321051.280000001</v>
      </c>
      <c r="K26" s="1">
        <v>36387369.369999997</v>
      </c>
      <c r="L26" s="1">
        <v>73498466.659999996</v>
      </c>
      <c r="M26" s="1">
        <v>11654474.560000001</v>
      </c>
      <c r="N26" s="1">
        <v>42195035.75</v>
      </c>
      <c r="O26" s="1">
        <v>112068775.78</v>
      </c>
      <c r="P26" s="1">
        <v>0</v>
      </c>
      <c r="Q26" s="1">
        <v>47615414.899999999</v>
      </c>
      <c r="R26" s="1">
        <v>1290580417.6400001</v>
      </c>
      <c r="S26" s="1">
        <v>193830483.86000001</v>
      </c>
      <c r="T26" s="1">
        <v>0</v>
      </c>
      <c r="U26" s="1">
        <v>591659476.97000003</v>
      </c>
      <c r="V26" s="1">
        <v>778799758</v>
      </c>
      <c r="W26" s="1">
        <v>419386717</v>
      </c>
      <c r="X26" s="1">
        <f t="shared" si="0"/>
        <v>4360081467.4899998</v>
      </c>
    </row>
    <row r="27" spans="1:25" x14ac:dyDescent="0.3">
      <c r="A27" t="s">
        <v>64</v>
      </c>
      <c r="B27" s="6" t="s">
        <v>67</v>
      </c>
      <c r="C27" s="1">
        <v>12250932.33</v>
      </c>
      <c r="D27" s="1">
        <v>15076993.32</v>
      </c>
      <c r="E27" s="1">
        <v>10252732</v>
      </c>
      <c r="F27" s="1">
        <v>66993106.119999997</v>
      </c>
      <c r="G27" s="1">
        <v>43899293.259999998</v>
      </c>
      <c r="H27" s="1">
        <v>8962394.1300000008</v>
      </c>
      <c r="I27" s="1">
        <v>13118557.76</v>
      </c>
      <c r="J27" s="1">
        <v>4263689.09</v>
      </c>
      <c r="K27" s="1">
        <v>11528799.01</v>
      </c>
      <c r="L27" s="1">
        <v>10415239.359999999</v>
      </c>
      <c r="M27" s="1">
        <v>4318686.1399999997</v>
      </c>
      <c r="N27" s="1">
        <v>5634596.0099999998</v>
      </c>
      <c r="O27" s="1">
        <v>14960669.109999999</v>
      </c>
      <c r="P27" s="1">
        <v>0</v>
      </c>
      <c r="Q27" s="1">
        <v>2830187.24</v>
      </c>
      <c r="R27" s="1">
        <v>25056196.390000001</v>
      </c>
      <c r="S27" s="1">
        <v>10341899.73</v>
      </c>
      <c r="T27" s="1">
        <v>0</v>
      </c>
      <c r="U27" s="1">
        <v>8349671.1699999999</v>
      </c>
      <c r="V27" s="1">
        <v>66110418</v>
      </c>
      <c r="W27" s="1">
        <v>16237275</v>
      </c>
      <c r="X27" s="1">
        <f t="shared" si="0"/>
        <v>350601335.16999996</v>
      </c>
    </row>
    <row r="28" spans="1:25" x14ac:dyDescent="0.3">
      <c r="A28" s="4" t="s">
        <v>65</v>
      </c>
      <c r="B28" s="11" t="s">
        <v>68</v>
      </c>
      <c r="C28" s="12">
        <f t="shared" ref="C28:O28" si="17">C10-C21+C22-C23+C24+C25-C26-C27</f>
        <v>229469988.25000313</v>
      </c>
      <c r="D28" s="12">
        <f t="shared" si="17"/>
        <v>264276777.02999997</v>
      </c>
      <c r="E28" s="12">
        <f t="shared" si="17"/>
        <v>391743051</v>
      </c>
      <c r="F28" s="12">
        <f t="shared" si="17"/>
        <v>166110949.65000075</v>
      </c>
      <c r="G28" s="12">
        <f t="shared" si="17"/>
        <v>342498667.31999958</v>
      </c>
      <c r="H28" s="12">
        <f t="shared" si="17"/>
        <v>256743093.07999673</v>
      </c>
      <c r="I28" s="12">
        <f t="shared" si="17"/>
        <v>273235347.53000087</v>
      </c>
      <c r="J28" s="12">
        <f t="shared" si="17"/>
        <v>72546797.540000439</v>
      </c>
      <c r="K28" s="12">
        <f t="shared" si="17"/>
        <v>378533598.03999996</v>
      </c>
      <c r="L28" s="12">
        <f t="shared" si="17"/>
        <v>314838145.04999781</v>
      </c>
      <c r="M28" s="12">
        <f t="shared" si="17"/>
        <v>27684786.600000396</v>
      </c>
      <c r="N28" s="12">
        <f t="shared" si="17"/>
        <v>54903590.790000044</v>
      </c>
      <c r="O28" s="12">
        <f t="shared" si="17"/>
        <v>498164467.76999497</v>
      </c>
      <c r="P28" s="12">
        <f t="shared" ref="P28:T28" si="18">SUM(P22:P27)</f>
        <v>0</v>
      </c>
      <c r="Q28" s="12">
        <f t="shared" ref="Q28" si="19">Q10-Q21+Q22-Q23+Q24+Q25-Q26-Q27</f>
        <v>-91760937.690000013</v>
      </c>
      <c r="R28" s="12">
        <f t="shared" ref="R28:S28" si="20">R10-R21+R22-R23+R24+R25-R26-R27</f>
        <v>2383271806.7100005</v>
      </c>
      <c r="S28" s="12">
        <f t="shared" si="20"/>
        <v>49729210.250001594</v>
      </c>
      <c r="T28" s="12">
        <f t="shared" si="18"/>
        <v>0</v>
      </c>
      <c r="U28" s="12">
        <f t="shared" ref="U28:W28" si="21">U10-U21+U22-U23+U24+U25-U26-U27</f>
        <v>114025449.01000006</v>
      </c>
      <c r="V28" s="12">
        <f t="shared" si="21"/>
        <v>582249155</v>
      </c>
      <c r="W28" s="12">
        <f t="shared" si="21"/>
        <v>592247997</v>
      </c>
      <c r="X28" s="12">
        <f t="shared" si="0"/>
        <v>6900511939.9299974</v>
      </c>
    </row>
    <row r="29" spans="1:25" x14ac:dyDescent="0.3">
      <c r="C29" s="1"/>
      <c r="D29" s="1"/>
    </row>
  </sheetData>
  <conditionalFormatting sqref="P28 T28">
    <cfRule type="cellIs" dxfId="44" priority="83" operator="greaterThan">
      <formula>0</formula>
    </cfRule>
  </conditionalFormatting>
  <conditionalFormatting sqref="X28">
    <cfRule type="cellIs" dxfId="43" priority="82" operator="greaterThan">
      <formula>0</formula>
    </cfRule>
  </conditionalFormatting>
  <conditionalFormatting sqref="X28">
    <cfRule type="cellIs" dxfId="42" priority="81" operator="greaterThan">
      <formula>0</formula>
    </cfRule>
  </conditionalFormatting>
  <conditionalFormatting sqref="C28">
    <cfRule type="cellIs" dxfId="41" priority="36" operator="greaterThan">
      <formula>0</formula>
    </cfRule>
  </conditionalFormatting>
  <conditionalFormatting sqref="C28">
    <cfRule type="cellIs" dxfId="40" priority="35" operator="greaterThan">
      <formula>0</formula>
    </cfRule>
  </conditionalFormatting>
  <conditionalFormatting sqref="D28">
    <cfRule type="cellIs" dxfId="39" priority="34" operator="greaterThan">
      <formula>0</formula>
    </cfRule>
  </conditionalFormatting>
  <conditionalFormatting sqref="E28">
    <cfRule type="cellIs" dxfId="38" priority="33" operator="greaterThan">
      <formula>0</formula>
    </cfRule>
  </conditionalFormatting>
  <conditionalFormatting sqref="E28">
    <cfRule type="cellIs" dxfId="37" priority="32" operator="greaterThan">
      <formula>0</formula>
    </cfRule>
  </conditionalFormatting>
  <conditionalFormatting sqref="E28">
    <cfRule type="cellIs" dxfId="36" priority="31" operator="greaterThan">
      <formula>0</formula>
    </cfRule>
  </conditionalFormatting>
  <conditionalFormatting sqref="E28">
    <cfRule type="cellIs" dxfId="35" priority="30" operator="greaterThan">
      <formula>0</formula>
    </cfRule>
  </conditionalFormatting>
  <conditionalFormatting sqref="F28">
    <cfRule type="cellIs" dxfId="34" priority="29" operator="greaterThan">
      <formula>0</formula>
    </cfRule>
  </conditionalFormatting>
  <conditionalFormatting sqref="G28">
    <cfRule type="cellIs" dxfId="33" priority="28" operator="greaterThan">
      <formula>0</formula>
    </cfRule>
  </conditionalFormatting>
  <conditionalFormatting sqref="H28">
    <cfRule type="cellIs" dxfId="32" priority="27" operator="greaterThan">
      <formula>0</formula>
    </cfRule>
  </conditionalFormatting>
  <conditionalFormatting sqref="H28">
    <cfRule type="cellIs" dxfId="31" priority="26" operator="greaterThan">
      <formula>0</formula>
    </cfRule>
  </conditionalFormatting>
  <conditionalFormatting sqref="I28">
    <cfRule type="cellIs" dxfId="30" priority="25" operator="greaterThan">
      <formula>0</formula>
    </cfRule>
  </conditionalFormatting>
  <conditionalFormatting sqref="J28">
    <cfRule type="cellIs" dxfId="29" priority="24" operator="greaterThan">
      <formula>0</formula>
    </cfRule>
  </conditionalFormatting>
  <conditionalFormatting sqref="J28">
    <cfRule type="cellIs" dxfId="28" priority="23" operator="greaterThan">
      <formula>0</formula>
    </cfRule>
  </conditionalFormatting>
  <conditionalFormatting sqref="K28">
    <cfRule type="cellIs" dxfId="27" priority="22" operator="greaterThan">
      <formula>0</formula>
    </cfRule>
  </conditionalFormatting>
  <conditionalFormatting sqref="K28">
    <cfRule type="cellIs" dxfId="26" priority="21" operator="greaterThan">
      <formula>0</formula>
    </cfRule>
  </conditionalFormatting>
  <conditionalFormatting sqref="L28">
    <cfRule type="cellIs" dxfId="25" priority="20" operator="greaterThan">
      <formula>0</formula>
    </cfRule>
  </conditionalFormatting>
  <conditionalFormatting sqref="L28">
    <cfRule type="cellIs" dxfId="24" priority="19" operator="greaterThan">
      <formula>0</formula>
    </cfRule>
  </conditionalFormatting>
  <conditionalFormatting sqref="M28">
    <cfRule type="cellIs" dxfId="23" priority="18" operator="greaterThan">
      <formula>0</formula>
    </cfRule>
  </conditionalFormatting>
  <conditionalFormatting sqref="M28">
    <cfRule type="cellIs" dxfId="22" priority="17" operator="greaterThan">
      <formula>0</formula>
    </cfRule>
  </conditionalFormatting>
  <conditionalFormatting sqref="N28">
    <cfRule type="cellIs" dxfId="21" priority="16" operator="greaterThan">
      <formula>0</formula>
    </cfRule>
  </conditionalFormatting>
  <conditionalFormatting sqref="N28">
    <cfRule type="cellIs" dxfId="20" priority="15" operator="greaterThan">
      <formula>0</formula>
    </cfRule>
  </conditionalFormatting>
  <conditionalFormatting sqref="O28">
    <cfRule type="cellIs" dxfId="19" priority="14" operator="greaterThan">
      <formula>0</formula>
    </cfRule>
  </conditionalFormatting>
  <conditionalFormatting sqref="O28">
    <cfRule type="cellIs" dxfId="18" priority="13" operator="greaterThan">
      <formula>0</formula>
    </cfRule>
  </conditionalFormatting>
  <conditionalFormatting sqref="R28">
    <cfRule type="cellIs" dxfId="17" priority="12" operator="greaterThan">
      <formula>0</formula>
    </cfRule>
  </conditionalFormatting>
  <conditionalFormatting sqref="R28">
    <cfRule type="cellIs" dxfId="16" priority="11" operator="greaterThan">
      <formula>0</formula>
    </cfRule>
  </conditionalFormatting>
  <conditionalFormatting sqref="S28">
    <cfRule type="cellIs" dxfId="15" priority="10" operator="greaterThan">
      <formula>0</formula>
    </cfRule>
  </conditionalFormatting>
  <conditionalFormatting sqref="S28">
    <cfRule type="cellIs" dxfId="14" priority="9" operator="greaterThan">
      <formula>0</formula>
    </cfRule>
  </conditionalFormatting>
  <conditionalFormatting sqref="U28">
    <cfRule type="cellIs" dxfId="13" priority="8" operator="greaterThan">
      <formula>0</formula>
    </cfRule>
  </conditionalFormatting>
  <conditionalFormatting sqref="U28">
    <cfRule type="cellIs" dxfId="12" priority="7" operator="greaterThan">
      <formula>0</formula>
    </cfRule>
  </conditionalFormatting>
  <conditionalFormatting sqref="V28">
    <cfRule type="cellIs" dxfId="11" priority="6" operator="greaterThan">
      <formula>0</formula>
    </cfRule>
  </conditionalFormatting>
  <conditionalFormatting sqref="V28">
    <cfRule type="cellIs" dxfId="10" priority="5" operator="greaterThan">
      <formula>0</formula>
    </cfRule>
  </conditionalFormatting>
  <conditionalFormatting sqref="W28">
    <cfRule type="cellIs" dxfId="9" priority="4" operator="greaterThan">
      <formula>0</formula>
    </cfRule>
  </conditionalFormatting>
  <conditionalFormatting sqref="W28">
    <cfRule type="cellIs" dxfId="8" priority="3" operator="greaterThan">
      <formula>0</formula>
    </cfRule>
  </conditionalFormatting>
  <conditionalFormatting sqref="Q28">
    <cfRule type="cellIs" dxfId="7" priority="2" operator="greaterThan">
      <formula>0</formula>
    </cfRule>
  </conditionalFormatting>
  <conditionalFormatting sqref="Q28">
    <cfRule type="cellIs" dxfId="6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Risultato_amministrazione_2016</vt:lpstr>
      <vt:lpstr>Risultato_amministrazione_2017</vt:lpstr>
      <vt:lpstr>Risultato_amministrazione_2018</vt:lpstr>
      <vt:lpstr>Risultato_amministrazione_2019</vt:lpstr>
      <vt:lpstr>Risultato_amministrazione</vt:lpstr>
      <vt:lpstr>Conto_economico_2016</vt:lpstr>
      <vt:lpstr>Conto_economico_2017</vt:lpstr>
      <vt:lpstr>Conto_economico_2018</vt:lpstr>
      <vt:lpstr>Conto_economico_2019</vt:lpstr>
      <vt:lpstr>Tav_contoeconomico</vt:lpstr>
      <vt:lpstr>Stato_patrimoniale_2016</vt:lpstr>
      <vt:lpstr>Stato_patrimoniale_2017</vt:lpstr>
      <vt:lpstr>Stato_patrimoniale_2018</vt:lpstr>
      <vt:lpstr>Stato_patrimoniale_2019</vt:lpstr>
      <vt:lpstr>Tav_Stato_Patrimoniale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2021-12-26T11:52:15Z</dcterms:modified>
</cp:coreProperties>
</file>