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Regioni\"/>
    </mc:Choice>
  </mc:AlternateContent>
  <bookViews>
    <workbookView xWindow="240" yWindow="45" windowWidth="20115" windowHeight="7995" activeTab="3"/>
  </bookViews>
  <sheets>
    <sheet name="Entrate_Uscite" sheetId="2" r:id="rId1"/>
    <sheet name="Tav_Entrate" sheetId="7" r:id="rId2"/>
    <sheet name="Tav_Uscite" sheetId="8" r:id="rId3"/>
    <sheet name="Tav_UsciteMissione" sheetId="14" r:id="rId4"/>
    <sheet name="Tav_Saldi" sheetId="9" r:id="rId5"/>
    <sheet name="Risultato_amministrazione" sheetId="1" r:id="rId6"/>
    <sheet name="Conto_economico" sheetId="6" r:id="rId7"/>
    <sheet name="Tav_contoeconomico" sheetId="10" r:id="rId8"/>
    <sheet name="Stato_patrimoniale" sheetId="5" r:id="rId9"/>
    <sheet name="Piano_indicatori" sheetId="4" r:id="rId10"/>
    <sheet name="Tav_indicatori" sheetId="12" r:id="rId11"/>
    <sheet name="Popolazione" sheetId="13" r:id="rId12"/>
  </sheets>
  <calcPr calcId="162913"/>
</workbook>
</file>

<file path=xl/calcChain.xml><?xml version="1.0" encoding="utf-8"?>
<calcChain xmlns="http://schemas.openxmlformats.org/spreadsheetml/2006/main">
  <c r="I25" i="14" l="1"/>
  <c r="I26" i="14" s="1"/>
  <c r="H25" i="14"/>
  <c r="H26" i="14" s="1"/>
  <c r="J2" i="14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H30" i="8"/>
  <c r="H31" i="8" s="1"/>
  <c r="H21" i="8"/>
  <c r="G30" i="8"/>
  <c r="G31" i="8" s="1"/>
  <c r="G21" i="8"/>
  <c r="H15" i="7"/>
  <c r="H5" i="7"/>
  <c r="G15" i="7"/>
  <c r="G5" i="7"/>
  <c r="F52" i="1"/>
  <c r="F24" i="1"/>
  <c r="F20" i="1"/>
  <c r="F22" i="1" s="1"/>
  <c r="F14" i="1"/>
  <c r="F7" i="1"/>
  <c r="F15" i="7"/>
  <c r="F6" i="7"/>
  <c r="F11" i="7" s="1"/>
  <c r="F5" i="7"/>
  <c r="F30" i="8" l="1"/>
  <c r="F31" i="8" s="1"/>
  <c r="F21" i="8"/>
  <c r="F16" i="7"/>
  <c r="F20" i="7"/>
  <c r="F21" i="7" s="1"/>
  <c r="G25" i="14"/>
  <c r="F25" i="14"/>
  <c r="F26" i="14" s="1"/>
  <c r="E25" i="14"/>
  <c r="E26" i="14" s="1"/>
  <c r="D25" i="14"/>
  <c r="C25" i="14"/>
  <c r="F3" i="13"/>
  <c r="C2" i="13"/>
  <c r="G26" i="14" l="1"/>
  <c r="J26" i="14" s="1"/>
  <c r="J25" i="14"/>
  <c r="C26" i="14"/>
  <c r="D26" i="14"/>
  <c r="G9" i="12"/>
  <c r="G8" i="12"/>
  <c r="G7" i="12"/>
  <c r="G6" i="12"/>
  <c r="G5" i="12"/>
  <c r="G4" i="12"/>
  <c r="G3" i="12"/>
  <c r="G2" i="12"/>
  <c r="D4" i="9"/>
  <c r="J28" i="8"/>
  <c r="D29" i="8"/>
  <c r="D28" i="8"/>
  <c r="D26" i="8"/>
  <c r="J26" i="8" s="1"/>
  <c r="D25" i="8"/>
  <c r="D24" i="8"/>
  <c r="D23" i="8"/>
  <c r="J23" i="8" s="1"/>
  <c r="D22" i="8"/>
  <c r="D19" i="8"/>
  <c r="D18" i="8"/>
  <c r="D17" i="8"/>
  <c r="J17" i="8" s="1"/>
  <c r="D16" i="8"/>
  <c r="D14" i="8"/>
  <c r="D13" i="8"/>
  <c r="D12" i="8"/>
  <c r="D11" i="8"/>
  <c r="D9" i="8"/>
  <c r="D8" i="8"/>
  <c r="D7" i="8"/>
  <c r="J7" i="8" s="1"/>
  <c r="D6" i="8"/>
  <c r="D5" i="8"/>
  <c r="D4" i="8"/>
  <c r="D3" i="8"/>
  <c r="D2" i="8"/>
  <c r="D19" i="7"/>
  <c r="D18" i="7"/>
  <c r="J18" i="7" s="1"/>
  <c r="D17" i="7"/>
  <c r="J17" i="7" s="1"/>
  <c r="D14" i="7"/>
  <c r="D13" i="7"/>
  <c r="D12" i="7"/>
  <c r="J12" i="7" s="1"/>
  <c r="D10" i="7"/>
  <c r="D9" i="7"/>
  <c r="D8" i="7"/>
  <c r="D7" i="7"/>
  <c r="D6" i="7"/>
  <c r="J6" i="7" s="1"/>
  <c r="D4" i="7"/>
  <c r="D3" i="7"/>
  <c r="D2" i="7"/>
  <c r="I63" i="2"/>
  <c r="I62" i="2"/>
  <c r="I60" i="2"/>
  <c r="H60" i="2"/>
  <c r="N60" i="2" s="1"/>
  <c r="I59" i="2"/>
  <c r="O59" i="2" s="1"/>
  <c r="H59" i="2"/>
  <c r="N59" i="2" s="1"/>
  <c r="I58" i="2"/>
  <c r="H58" i="2"/>
  <c r="D2" i="9" s="1"/>
  <c r="O55" i="2"/>
  <c r="O54" i="2"/>
  <c r="N54" i="2"/>
  <c r="O52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19" i="2"/>
  <c r="N19" i="2"/>
  <c r="O18" i="2"/>
  <c r="N18" i="2"/>
  <c r="O17" i="2"/>
  <c r="N17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H6" i="7" s="1"/>
  <c r="H11" i="7" s="1"/>
  <c r="O5" i="2"/>
  <c r="N5" i="2"/>
  <c r="O4" i="2"/>
  <c r="N4" i="2"/>
  <c r="O3" i="2"/>
  <c r="N3" i="2"/>
  <c r="K55" i="2"/>
  <c r="N55" i="2" s="1"/>
  <c r="L54" i="2"/>
  <c r="K54" i="2"/>
  <c r="L53" i="2"/>
  <c r="O53" i="2" s="1"/>
  <c r="K53" i="2"/>
  <c r="N53" i="2" s="1"/>
  <c r="L52" i="2"/>
  <c r="K52" i="2"/>
  <c r="N52" i="2" s="1"/>
  <c r="L51" i="2"/>
  <c r="O51" i="2" s="1"/>
  <c r="K51" i="2"/>
  <c r="K59" i="2" s="1"/>
  <c r="E3" i="9" s="1"/>
  <c r="L50" i="2"/>
  <c r="K50" i="2"/>
  <c r="N50" i="2" s="1"/>
  <c r="L16" i="2"/>
  <c r="G4" i="9" s="1"/>
  <c r="K16" i="2"/>
  <c r="N16" i="2" s="1"/>
  <c r="L15" i="2"/>
  <c r="K15" i="2"/>
  <c r="N15" i="2" s="1"/>
  <c r="L14" i="2"/>
  <c r="L60" i="2" s="1"/>
  <c r="K14" i="2"/>
  <c r="K20" i="2" s="1"/>
  <c r="I56" i="2"/>
  <c r="I57" i="2" s="1"/>
  <c r="H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N51" i="2" l="1"/>
  <c r="L59" i="2"/>
  <c r="G3" i="9" s="1"/>
  <c r="L63" i="2"/>
  <c r="H20" i="7"/>
  <c r="H21" i="7" s="1"/>
  <c r="H16" i="7"/>
  <c r="D10" i="8"/>
  <c r="D27" i="8"/>
  <c r="K21" i="2"/>
  <c r="N20" i="2"/>
  <c r="L62" i="2"/>
  <c r="H57" i="2"/>
  <c r="O50" i="2"/>
  <c r="D5" i="9"/>
  <c r="O14" i="2"/>
  <c r="G5" i="9"/>
  <c r="O60" i="2"/>
  <c r="I61" i="2"/>
  <c r="J22" i="8"/>
  <c r="E4" i="9"/>
  <c r="F4" i="9" s="1"/>
  <c r="K58" i="2"/>
  <c r="K60" i="2"/>
  <c r="E5" i="9" s="1"/>
  <c r="F5" i="9" s="1"/>
  <c r="N14" i="2"/>
  <c r="O15" i="2"/>
  <c r="L20" i="2"/>
  <c r="O16" i="2"/>
  <c r="L58" i="2"/>
  <c r="D3" i="9"/>
  <c r="F3" i="9" s="1"/>
  <c r="D15" i="8"/>
  <c r="D20" i="8"/>
  <c r="D5" i="7"/>
  <c r="D11" i="7"/>
  <c r="D15" i="7"/>
  <c r="J56" i="2"/>
  <c r="J57" i="2"/>
  <c r="D21" i="8" l="1"/>
  <c r="D20" i="7"/>
  <c r="N21" i="2"/>
  <c r="N58" i="2"/>
  <c r="E2" i="9"/>
  <c r="F2" i="9" s="1"/>
  <c r="O58" i="2"/>
  <c r="G2" i="9"/>
  <c r="L21" i="2"/>
  <c r="O20" i="2"/>
  <c r="H61" i="2"/>
  <c r="D6" i="9" s="1"/>
  <c r="D30" i="8"/>
  <c r="D16" i="7"/>
  <c r="O21" i="2" l="1"/>
  <c r="D21" i="7"/>
  <c r="D31" i="8"/>
  <c r="F28" i="5"/>
  <c r="F27" i="5"/>
  <c r="F15" i="5"/>
  <c r="E14" i="10"/>
  <c r="E12" i="10"/>
  <c r="E11" i="10"/>
  <c r="E10" i="10"/>
  <c r="E8" i="10"/>
  <c r="E7" i="10"/>
  <c r="E6" i="10"/>
  <c r="E4" i="10"/>
  <c r="E3" i="10"/>
  <c r="F29" i="5" l="1"/>
  <c r="G27" i="6"/>
  <c r="G26" i="6"/>
  <c r="G25" i="6"/>
  <c r="G24" i="6"/>
  <c r="G23" i="6"/>
  <c r="G22" i="6"/>
  <c r="G20" i="6"/>
  <c r="G19" i="6"/>
  <c r="G18" i="6"/>
  <c r="G17" i="6"/>
  <c r="G16" i="6"/>
  <c r="G15" i="6"/>
  <c r="G14" i="6"/>
  <c r="G13" i="6"/>
  <c r="G12" i="6"/>
  <c r="G11" i="6"/>
  <c r="G9" i="6"/>
  <c r="G8" i="6"/>
  <c r="G7" i="6"/>
  <c r="G6" i="6"/>
  <c r="G5" i="6"/>
  <c r="G4" i="6"/>
  <c r="G3" i="6"/>
  <c r="G2" i="6"/>
  <c r="F21" i="6"/>
  <c r="E5" i="10" s="1"/>
  <c r="F10" i="6"/>
  <c r="E2" i="10" s="1"/>
  <c r="E9" i="10" s="1"/>
  <c r="E13" i="10" s="1"/>
  <c r="E52" i="1"/>
  <c r="E24" i="1"/>
  <c r="E20" i="1"/>
  <c r="E14" i="1"/>
  <c r="E7" i="1"/>
  <c r="F4" i="13"/>
  <c r="C3" i="13"/>
  <c r="D52" i="1"/>
  <c r="C52" i="1"/>
  <c r="B52" i="1"/>
  <c r="D24" i="1"/>
  <c r="C24" i="1"/>
  <c r="B24" i="1"/>
  <c r="F8" i="13"/>
  <c r="F7" i="13"/>
  <c r="C7" i="13"/>
  <c r="F6" i="13"/>
  <c r="C6" i="13"/>
  <c r="F5" i="13"/>
  <c r="C5" i="13"/>
  <c r="C4" i="13"/>
  <c r="B19" i="1"/>
  <c r="B2" i="1"/>
  <c r="B6" i="1"/>
  <c r="B55" i="2"/>
  <c r="C54" i="2"/>
  <c r="B54" i="2"/>
  <c r="C53" i="2"/>
  <c r="B53" i="2"/>
  <c r="C52" i="2"/>
  <c r="B52" i="2"/>
  <c r="C51" i="2"/>
  <c r="B51" i="2"/>
  <c r="C50" i="2"/>
  <c r="B50" i="2"/>
  <c r="C15" i="2"/>
  <c r="B15" i="2"/>
  <c r="B59" i="2" s="1"/>
  <c r="B3" i="9" s="1"/>
  <c r="C14" i="2"/>
  <c r="B14" i="2"/>
  <c r="C12" i="2"/>
  <c r="C16" i="2" s="1"/>
  <c r="B12" i="2"/>
  <c r="B16" i="2" s="1"/>
  <c r="B4" i="9" s="1"/>
  <c r="C63" i="2" l="1"/>
  <c r="B60" i="2"/>
  <c r="B5" i="9" s="1"/>
  <c r="B58" i="2"/>
  <c r="B2" i="9" s="1"/>
  <c r="C62" i="2"/>
  <c r="C60" i="2"/>
  <c r="C58" i="2"/>
  <c r="C59" i="2"/>
  <c r="E15" i="10"/>
  <c r="F28" i="6"/>
  <c r="E22" i="1"/>
  <c r="C20" i="2"/>
  <c r="C21" i="2" s="1"/>
  <c r="B20" i="2"/>
  <c r="B21" i="2" s="1"/>
  <c r="E55" i="2" l="1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E59" i="2" s="1"/>
  <c r="C3" i="9" s="1"/>
  <c r="F14" i="2"/>
  <c r="E14" i="2"/>
  <c r="C20" i="1"/>
  <c r="B27" i="5"/>
  <c r="C27" i="5"/>
  <c r="D27" i="5"/>
  <c r="E27" i="5"/>
  <c r="F63" i="2" l="1"/>
  <c r="C4" i="9"/>
  <c r="F20" i="2"/>
  <c r="F21" i="2" s="1"/>
  <c r="F60" i="2"/>
  <c r="F58" i="2"/>
  <c r="F62" i="2"/>
  <c r="F59" i="2"/>
  <c r="E58" i="2"/>
  <c r="C2" i="9" s="1"/>
  <c r="E60" i="2"/>
  <c r="C5" i="9" s="1"/>
  <c r="E20" i="2"/>
  <c r="E21" i="2" s="1"/>
  <c r="B15" i="5"/>
  <c r="C15" i="5"/>
  <c r="D15" i="5"/>
  <c r="E15" i="5"/>
  <c r="C7" i="1" l="1"/>
  <c r="C28" i="5"/>
  <c r="B7" i="1"/>
  <c r="D7" i="1"/>
  <c r="C10" i="6"/>
  <c r="C21" i="6"/>
  <c r="F56" i="2"/>
  <c r="F57" i="2" s="1"/>
  <c r="F61" i="2" s="1"/>
  <c r="E56" i="2"/>
  <c r="E57" i="2" s="1"/>
  <c r="E61" i="2" s="1"/>
  <c r="C6" i="9" s="1"/>
  <c r="C28" i="6" l="1"/>
  <c r="D21" i="6" l="1"/>
  <c r="E21" i="6"/>
  <c r="G21" i="6" s="1"/>
  <c r="E10" i="6"/>
  <c r="G10" i="6" s="1"/>
  <c r="D10" i="6"/>
  <c r="B28" i="5" l="1"/>
  <c r="B20" i="1"/>
  <c r="D20" i="1"/>
  <c r="B14" i="1"/>
  <c r="C14" i="1"/>
  <c r="D14" i="1"/>
  <c r="E28" i="5" l="1"/>
  <c r="D28" i="5"/>
  <c r="D28" i="6"/>
  <c r="E28" i="6"/>
  <c r="G28" i="6" s="1"/>
  <c r="E29" i="5" l="1"/>
  <c r="B22" i="1"/>
  <c r="C22" i="1"/>
  <c r="D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F4" i="10" l="1"/>
  <c r="F3" i="10"/>
  <c r="F7" i="10"/>
  <c r="F6" i="10"/>
  <c r="F8" i="10"/>
  <c r="H6" i="12"/>
  <c r="F2" i="12"/>
  <c r="H2" i="12"/>
  <c r="F3" i="12"/>
  <c r="H3" i="12"/>
  <c r="F4" i="12"/>
  <c r="H4" i="12"/>
  <c r="F5" i="12"/>
  <c r="H5" i="12"/>
  <c r="F6" i="12"/>
  <c r="F7" i="12"/>
  <c r="H7" i="12"/>
  <c r="F8" i="12"/>
  <c r="H8" i="12"/>
  <c r="F9" i="12"/>
  <c r="H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F11" i="10" l="1"/>
  <c r="F14" i="10"/>
  <c r="F12" i="10"/>
  <c r="F10" i="10"/>
  <c r="K2" i="8"/>
  <c r="K3" i="8"/>
  <c r="K4" i="8"/>
  <c r="K5" i="8"/>
  <c r="K6" i="8"/>
  <c r="K7" i="8"/>
  <c r="K8" i="8"/>
  <c r="K9" i="8"/>
  <c r="K11" i="8"/>
  <c r="K12" i="8"/>
  <c r="K13" i="8"/>
  <c r="K14" i="8"/>
  <c r="K16" i="8"/>
  <c r="K17" i="8"/>
  <c r="K18" i="8"/>
  <c r="K19" i="8"/>
  <c r="K22" i="8"/>
  <c r="K23" i="8"/>
  <c r="K24" i="8"/>
  <c r="K25" i="8"/>
  <c r="K26" i="8"/>
  <c r="K29" i="8"/>
  <c r="E26" i="8"/>
  <c r="L26" i="8" s="1"/>
  <c r="E25" i="8"/>
  <c r="J25" i="8" s="1"/>
  <c r="E24" i="8"/>
  <c r="J24" i="8" s="1"/>
  <c r="E23" i="8"/>
  <c r="E22" i="8"/>
  <c r="E19" i="8"/>
  <c r="J19" i="8" s="1"/>
  <c r="E18" i="8"/>
  <c r="J18" i="8" s="1"/>
  <c r="E17" i="8"/>
  <c r="L17" i="8" s="1"/>
  <c r="E16" i="8"/>
  <c r="J16" i="8" s="1"/>
  <c r="E14" i="8"/>
  <c r="J14" i="8" s="1"/>
  <c r="E13" i="8"/>
  <c r="J13" i="8" s="1"/>
  <c r="E12" i="8"/>
  <c r="J12" i="8" s="1"/>
  <c r="E11" i="8"/>
  <c r="J11" i="8" s="1"/>
  <c r="E9" i="8"/>
  <c r="J9" i="8" s="1"/>
  <c r="E8" i="8"/>
  <c r="J8" i="8" s="1"/>
  <c r="E7" i="8"/>
  <c r="L7" i="8" s="1"/>
  <c r="E6" i="8"/>
  <c r="J6" i="8" s="1"/>
  <c r="E5" i="8"/>
  <c r="J5" i="8" s="1"/>
  <c r="E4" i="8"/>
  <c r="J4" i="8" s="1"/>
  <c r="E3" i="8"/>
  <c r="J3" i="8" s="1"/>
  <c r="E2" i="8"/>
  <c r="J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K2" i="7"/>
  <c r="K3" i="7"/>
  <c r="K4" i="7"/>
  <c r="K6" i="7"/>
  <c r="K7" i="7"/>
  <c r="K8" i="7"/>
  <c r="K9" i="7"/>
  <c r="K10" i="7"/>
  <c r="K12" i="7"/>
  <c r="K13" i="7"/>
  <c r="K14" i="7"/>
  <c r="K17" i="7"/>
  <c r="K18" i="7"/>
  <c r="K19" i="7"/>
  <c r="E19" i="7"/>
  <c r="J19" i="7" s="1"/>
  <c r="E18" i="7"/>
  <c r="E17" i="7"/>
  <c r="E14" i="7"/>
  <c r="J14" i="7" s="1"/>
  <c r="E13" i="7"/>
  <c r="J13" i="7" s="1"/>
  <c r="E12" i="7"/>
  <c r="E10" i="7"/>
  <c r="J10" i="7" s="1"/>
  <c r="E9" i="7"/>
  <c r="J9" i="7" s="1"/>
  <c r="E8" i="7"/>
  <c r="J8" i="7" s="1"/>
  <c r="E7" i="7"/>
  <c r="J7" i="7" s="1"/>
  <c r="E6" i="7"/>
  <c r="E4" i="7"/>
  <c r="J4" i="7" s="1"/>
  <c r="E3" i="7"/>
  <c r="J3" i="7" s="1"/>
  <c r="E2" i="7"/>
  <c r="J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L9" i="8" l="1"/>
  <c r="L19" i="8"/>
  <c r="L5" i="8"/>
  <c r="L25" i="8"/>
  <c r="L13" i="8"/>
  <c r="L8" i="7"/>
  <c r="L13" i="7"/>
  <c r="L6" i="7"/>
  <c r="L18" i="8"/>
  <c r="L6" i="8"/>
  <c r="L22" i="8"/>
  <c r="K20" i="8"/>
  <c r="L10" i="7"/>
  <c r="L9" i="7"/>
  <c r="L19" i="7"/>
  <c r="K11" i="7"/>
  <c r="E15" i="8"/>
  <c r="J15" i="8" s="1"/>
  <c r="L23" i="8"/>
  <c r="B5" i="7"/>
  <c r="L4" i="8"/>
  <c r="L8" i="8"/>
  <c r="L24" i="8"/>
  <c r="K15" i="7"/>
  <c r="L14" i="7"/>
  <c r="B11" i="7"/>
  <c r="L4" i="7"/>
  <c r="B27" i="8"/>
  <c r="B15" i="7"/>
  <c r="E27" i="8"/>
  <c r="J27" i="8" s="1"/>
  <c r="K27" i="8"/>
  <c r="K15" i="8"/>
  <c r="C27" i="8"/>
  <c r="K10" i="8"/>
  <c r="E10" i="8"/>
  <c r="J10" i="8" s="1"/>
  <c r="E20" i="8"/>
  <c r="J20" i="8" s="1"/>
  <c r="C10" i="8"/>
  <c r="C15" i="8"/>
  <c r="C20" i="8"/>
  <c r="L14" i="8"/>
  <c r="L3" i="8"/>
  <c r="L12" i="8"/>
  <c r="B20" i="8"/>
  <c r="B15" i="8"/>
  <c r="B10" i="8"/>
  <c r="L2" i="8"/>
  <c r="L11" i="8"/>
  <c r="L16" i="8"/>
  <c r="L2" i="7"/>
  <c r="K5" i="7"/>
  <c r="L17" i="7"/>
  <c r="C15" i="7"/>
  <c r="C11" i="7"/>
  <c r="L7" i="7"/>
  <c r="L12" i="7"/>
  <c r="L18" i="7"/>
  <c r="E11" i="7"/>
  <c r="J11" i="7" s="1"/>
  <c r="E5" i="7"/>
  <c r="J5" i="7" s="1"/>
  <c r="E15" i="7"/>
  <c r="J15" i="7" s="1"/>
  <c r="L3" i="7"/>
  <c r="C5" i="7"/>
  <c r="E21" i="8" l="1"/>
  <c r="J21" i="8" s="1"/>
  <c r="B21" i="8"/>
  <c r="C21" i="8"/>
  <c r="K21" i="8"/>
  <c r="C16" i="7"/>
  <c r="K16" i="7"/>
  <c r="E16" i="7"/>
  <c r="J16" i="7" s="1"/>
  <c r="B16" i="7"/>
  <c r="B20" i="7"/>
  <c r="B21" i="7" s="1"/>
  <c r="K20" i="7"/>
  <c r="K21" i="7" s="1"/>
  <c r="L11" i="7"/>
  <c r="L20" i="8"/>
  <c r="L15" i="7"/>
  <c r="C30" i="8"/>
  <c r="C31" i="8" s="1"/>
  <c r="L27" i="8"/>
  <c r="B30" i="8"/>
  <c r="B31" i="8" s="1"/>
  <c r="L15" i="8"/>
  <c r="L10" i="8"/>
  <c r="C20" i="7"/>
  <c r="C21" i="7" s="1"/>
  <c r="E20" i="7"/>
  <c r="L5" i="7"/>
  <c r="E21" i="7" l="1"/>
  <c r="I18" i="7" s="1"/>
  <c r="J20" i="7"/>
  <c r="L21" i="8"/>
  <c r="I16" i="7"/>
  <c r="L16" i="7"/>
  <c r="I21" i="7"/>
  <c r="I3" i="7"/>
  <c r="I7" i="7"/>
  <c r="I2" i="7"/>
  <c r="I8" i="7"/>
  <c r="I17" i="7"/>
  <c r="I13" i="7"/>
  <c r="I10" i="7"/>
  <c r="I6" i="7"/>
  <c r="I14" i="7"/>
  <c r="I12" i="7"/>
  <c r="I9" i="7"/>
  <c r="I4" i="7"/>
  <c r="I15" i="7"/>
  <c r="I5" i="7"/>
  <c r="L20" i="7"/>
  <c r="L21" i="7"/>
  <c r="K28" i="8"/>
  <c r="K30" i="8" s="1"/>
  <c r="K31" i="8" s="1"/>
  <c r="I11" i="7" l="1"/>
  <c r="J21" i="7"/>
  <c r="C5" i="10"/>
  <c r="D5" i="10"/>
  <c r="B5" i="10"/>
  <c r="C2" i="10"/>
  <c r="D2" i="10"/>
  <c r="B2" i="10"/>
  <c r="F2" i="10" l="1"/>
  <c r="F5" i="10"/>
  <c r="C9" i="10"/>
  <c r="C13" i="10" s="1"/>
  <c r="C15" i="10" s="1"/>
  <c r="B9" i="10"/>
  <c r="B13" i="10" s="1"/>
  <c r="B15" i="10" s="1"/>
  <c r="D9" i="10"/>
  <c r="F9" i="10" l="1"/>
  <c r="D13" i="10"/>
  <c r="F13" i="10" l="1"/>
  <c r="D15" i="10"/>
  <c r="F15" i="10" l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M13" i="2"/>
  <c r="M12" i="2"/>
  <c r="M11" i="2"/>
  <c r="M10" i="2"/>
  <c r="M9" i="2"/>
  <c r="M8" i="2"/>
  <c r="M7" i="2"/>
  <c r="M6" i="2"/>
  <c r="G6" i="7" s="1"/>
  <c r="G11" i="7" s="1"/>
  <c r="M5" i="2"/>
  <c r="M4" i="2"/>
  <c r="M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G16" i="7" l="1"/>
  <c r="G20" i="7"/>
  <c r="G21" i="7" s="1"/>
  <c r="E28" i="8"/>
  <c r="M55" i="2" l="1"/>
  <c r="E29" i="8"/>
  <c r="L28" i="8"/>
  <c r="M51" i="2"/>
  <c r="M54" i="2"/>
  <c r="M53" i="2"/>
  <c r="M52" i="2"/>
  <c r="M50" i="2"/>
  <c r="M16" i="2"/>
  <c r="M14" i="2"/>
  <c r="M15" i="2"/>
  <c r="L56" i="2"/>
  <c r="K56" i="2"/>
  <c r="N56" i="2" s="1"/>
  <c r="L57" i="2" l="1"/>
  <c r="O56" i="2"/>
  <c r="E30" i="8"/>
  <c r="J30" i="8" s="1"/>
  <c r="J29" i="8"/>
  <c r="L29" i="8"/>
  <c r="M21" i="2"/>
  <c r="M20" i="2"/>
  <c r="K57" i="2"/>
  <c r="M56" i="2"/>
  <c r="G12" i="2"/>
  <c r="D55" i="2"/>
  <c r="D54" i="2"/>
  <c r="L30" i="8" l="1"/>
  <c r="E31" i="8"/>
  <c r="I18" i="8" s="1"/>
  <c r="I21" i="8"/>
  <c r="J31" i="8"/>
  <c r="M57" i="2"/>
  <c r="K61" i="2"/>
  <c r="E6" i="9" s="1"/>
  <c r="F6" i="9" s="1"/>
  <c r="N57" i="2"/>
  <c r="O57" i="2"/>
  <c r="L61" i="2"/>
  <c r="G6" i="9" s="1"/>
  <c r="I17" i="8"/>
  <c r="I13" i="8"/>
  <c r="I23" i="8"/>
  <c r="I14" i="8"/>
  <c r="I31" i="8"/>
  <c r="I16" i="8"/>
  <c r="I8" i="8"/>
  <c r="I9" i="8"/>
  <c r="I24" i="8"/>
  <c r="I11" i="8"/>
  <c r="I3" i="8"/>
  <c r="I6" i="8"/>
  <c r="I25" i="8"/>
  <c r="I22" i="8"/>
  <c r="I7" i="8"/>
  <c r="I15" i="8"/>
  <c r="I4" i="8"/>
  <c r="I19" i="8"/>
  <c r="I10" i="8"/>
  <c r="I27" i="8"/>
  <c r="L31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I28" i="8" l="1"/>
  <c r="I20" i="8"/>
  <c r="I2" i="8"/>
  <c r="I5" i="8"/>
  <c r="I26" i="8"/>
  <c r="I12" i="8"/>
  <c r="G20" i="2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<sst xmlns="http://schemas.openxmlformats.org/spreadsheetml/2006/main" count="558" uniqueCount="457">
  <si>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</si>
  <si>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</si>
  <si>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</si>
  <si>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</si>
  <si>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</si>
  <si>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</si>
  <si>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</si>
  <si>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</si>
  <si>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</si>
  <si>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</si>
  <si>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</si>
  <si>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</si>
  <si>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</si>
  <si>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</si>
  <si>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</si>
  <si>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</si>
  <si>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</si>
  <si>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</si>
  <si>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</si>
  <si>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</si>
  <si>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</si>
  <si>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</si>
  <si>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</si>
  <si>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</si>
  <si>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</si>
  <si>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</si>
  <si>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</si>
  <si>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</si>
  <si>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</si>
  <si>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</si>
  <si>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</si>
  <si>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</si>
  <si>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</si>
  <si>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</si>
  <si>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</si>
  <si>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</si>
  <si>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</si>
  <si>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</si>
  <si>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</si>
  <si>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</si>
  <si>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</si>
  <si>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</si>
  <si>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</si>
  <si>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</si>
  <si>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</si>
  <si>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</si>
  <si>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</si>
  <si>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</si>
  <si>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</si>
  <si>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</si>
  <si>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</si>
  <si>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</si>
  <si>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</si>
  <si>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</si>
  <si>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</si>
  <si>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</si>
  <si>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</si>
  <si>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</si>
  <si>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</si>
  <si>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</si>
  <si>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</si>
  <si>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</si>
  <si>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</si>
  <si>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</si>
  <si>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</si>
  <si>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</si>
  <si>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</si>
  <si>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</si>
  <si>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</si>
  <si>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</si>
  <si>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</si>
  <si>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</si>
  <si>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</si>
  <si>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</si>
  <si>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</si>
  <si>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</si>
  <si>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</si>
  <si>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</si>
  <si>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</si>
  <si>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</si>
  <si>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</si>
  <si>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</si>
  <si>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</si>
  <si>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</si>
  <si>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</si>
  <si>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</si>
  <si>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</si>
  <si>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</si>
  <si>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</si>
  <si>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</si>
  <si>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</si>
  <si>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</si>
  <si>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</si>
  <si>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</si>
  <si>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</si>
  <si>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</si>
  <si>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</si>
  <si>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</si>
  <si>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</si>
  <si>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</si>
  <si>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</si>
  <si>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</si>
  <si>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</si>
  <si>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</si>
  <si>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</si>
  <si>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</si>
  <si>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</si>
  <si>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</si>
  <si>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</si>
  <si>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</si>
  <si>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</si>
  <si>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</si>
  <si>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</si>
  <si>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</si>
  <si>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</si>
  <si>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</si>
  <si>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</si>
  <si>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</si>
  <si>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</si>
  <si>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</si>
  <si>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</si>
  <si>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</si>
  <si>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</si>
  <si>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</si>
  <si>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</si>
  <si>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</si>
  <si>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</si>
  <si>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</si>
  <si>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</si>
  <si>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</si>
  <si>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</si>
  <si>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</si>
  <si>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</si>
  <si>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</si>
  <si>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</si>
  <si>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</si>
  <si>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</si>
  <si>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</si>
  <si>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</si>
  <si>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</si>
  <si>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</si>
  <si>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</si>
  <si>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</si>
  <si>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</si>
  <si>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</si>
  <si>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</si>
  <si>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</si>
  <si>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</si>
  <si>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</si>
  <si>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</si>
  <si>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</si>
  <si>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</si>
  <si>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</si>
  <si>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</si>
  <si>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</si>
  <si>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</si>
  <si>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</si>
  <si>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</si>
  <si>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</si>
  <si>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</si>
  <si>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</si>
  <si>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</si>
  <si>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</si>
  <si>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</si>
  <si>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</si>
  <si>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</si>
  <si>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</si>
  <si>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</si>
  <si>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</si>
  <si>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</si>
  <si>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</si>
  <si>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</si>
  <si>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</si>
  <si>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</si>
  <si>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</si>
  <si>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</si>
  <si>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</si>
  <si>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</si>
  <si>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</si>
  <si>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</si>
  <si>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</si>
  <si>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</si>
  <si>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</si>
  <si>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</si>
  <si>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</si>
  <si>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</si>
  <si>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</si>
  <si>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</si>
  <si>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</si>
  <si>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</si>
  <si>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</si>
  <si>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</si>
  <si>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</si>
  <si>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</si>
  <si>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</si>
  <si>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</si>
  <si>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</si>
  <si>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</si>
  <si>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</si>
  <si>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</si>
  <si>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</si>
  <si>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</si>
  <si>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</si>
  <si>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</si>
  <si>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</si>
  <si>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</si>
  <si>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</si>
  <si>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</si>
  <si>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</si>
  <si>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</si>
  <si>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</si>
  <si>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</si>
  <si>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</si>
  <si>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</si>
  <si>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</si>
  <si>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</si>
  <si>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</si>
  <si>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</si>
  <si>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</si>
  <si>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</si>
  <si>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</si>
  <si>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</si>
  <si>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</si>
  <si>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</si>
  <si>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</si>
  <si>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</si>
  <si>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</si>
  <si>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</si>
  <si>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</si>
  <si>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</si>
  <si>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</si>
  <si>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</si>
  <si>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</si>
  <si>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</si>
  <si>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</si>
  <si>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</si>
  <si>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</si>
  <si>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</si>
  <si>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</si>
  <si>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</si>
  <si>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</si>
  <si>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</si>
  <si>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</si>
  <si>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</si>
  <si>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</si>
  <si>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</si>
  <si>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</si>
  <si>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</si>
  <si>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</si>
  <si>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</si>
  <si>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</si>
  <si>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</si>
  <si>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</si>
  <si>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</si>
  <si>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</si>
  <si>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</si>
  <si>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</si>
  <si>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</si>
  <si>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</si>
  <si>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</si>
  <si>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</si>
  <si>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</si>
  <si>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</si>
  <si>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</si>
  <si>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</si>
  <si>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</si>
  <si>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</si>
  <si>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</si>
  <si>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</si>
  <si>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</si>
  <si>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</si>
  <si>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</si>
  <si>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</si>
  <si>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</si>
  <si>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</si>
  <si>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</si>
  <si>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</si>
  <si>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</si>
  <si>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</si>
  <si>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</si>
  <si>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</si>
  <si>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</si>
  <si>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</si>
  <si>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</si>
  <si>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</si>
  <si>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</si>
  <si>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</si>
  <si>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</si>
  <si>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</si>
  <si>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</si>
  <si>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</si>
  <si>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</si>
  <si>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</si>
  <si>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</si>
  <si>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</si>
  <si>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</si>
  <si>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</si>
  <si>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</si>
  <si>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</si>
  <si>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</si>
  <si>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</si>
  <si>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</si>
  <si>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</si>
  <si>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</si>
  <si>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</si>
  <si>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</si>
  <si>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</si>
  <si>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</si>
  <si>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</si>
  <si>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</si>
  <si>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</si>
  <si>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</si>
  <si>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</si>
  <si>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</si>
  <si>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</si>
  <si>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</si>
  <si>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</si>
  <si>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</si>
  <si>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</si>
  <si>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</si>
  <si>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</si>
  <si>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</si>
  <si>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</si>
  <si>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</si>
  <si>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</si>
  <si>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</si>
  <si>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</si>
  <si>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</si>
  <si>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</si>
  <si>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</si>
  <si>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</si>
  <si>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</si>
  <si>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</si>
  <si>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</si>
  <si>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</si>
  <si>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</si>
  <si>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</si>
  <si>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</si>
  <si>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</si>
  <si>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</si>
  <si>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</si>
  <si>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</si>
  <si>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</si>
  <si>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</si>
  <si>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</si>
  <si>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</si>
  <si>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</si>
  <si>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</si>
  <si>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</si>
  <si>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</si>
  <si>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</si>
  <si>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</si>
  <si>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</si>
  <si>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</si>
  <si>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</si>
  <si>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</si>
  <si>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</si>
  <si>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</si>
  <si>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</si>
  <si>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</si>
  <si>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</si>
  <si>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Il Fondo cassa include i debiti di tesoreria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</si>
  <si>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</si>
  <si>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</si>
  <si>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</si>
  <si>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</si>
  <si>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</si>
  <si>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</si>
  <si>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</si>
  <si>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</si>
  <si>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</si>
  <si>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2019</t>
  </si>
  <si>
    <t>Pagamenti 2019</t>
  </si>
  <si>
    <t>Denominazione</t>
  </si>
  <si>
    <t xml:space="preserve">Var% </t>
  </si>
  <si>
    <t>Servizi istituzionali, generali e di gestione</t>
  </si>
  <si>
    <t>Giustizia</t>
  </si>
  <si>
    <t>Ordine pubblico e sicurezza</t>
  </si>
  <si>
    <t>Tutela e valorizzazione dei beni e attività culturali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</si>
  <si>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</si>
  <si>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</si>
  <si>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</si>
  <si>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</si>
  <si>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Soccorso civile</t>
  </si>
  <si>
    <t>Tutela della salute</t>
  </si>
  <si>
    <t>Sviluppo economico e competitività</t>
  </si>
  <si>
    <t>Politiche per il lavoro e la formazione professionale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</si>
  <si>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</si>
  <si>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</si>
  <si>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</si>
  <si>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</si>
  <si>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ed accantonamenti</t>
  </si>
  <si>
    <t>Debito pubblico</t>
  </si>
  <si>
    <t>Anticipazioni finanziarie</t>
  </si>
  <si>
    <t>Servizi per conto terzi</t>
  </si>
  <si>
    <t>Impegni di spesa totali</t>
  </si>
  <si>
    <t>Impegni di spesa al netto delle missioni 60 e 99</t>
  </si>
  <si>
    <t>Organi istituzionali</t>
  </si>
  <si>
    <t>1_1</t>
  </si>
  <si>
    <t>1_2</t>
  </si>
  <si>
    <t>1_3</t>
  </si>
  <si>
    <t>1_4</t>
  </si>
  <si>
    <t>1_5</t>
  </si>
  <si>
    <t>1_6</t>
  </si>
  <si>
    <t>1_7</t>
  </si>
  <si>
    <t>Segreteria generale</t>
  </si>
  <si>
    <t>Gestione economica, finanziaria, programmazione e provveditorato</t>
  </si>
  <si>
    <t>Gestione delle entrate tributarie e servizi fiscali</t>
  </si>
  <si>
    <t>Gestione dei beni demaniali e patrimoniali</t>
  </si>
  <si>
    <t>Ufficio tecnico</t>
  </si>
  <si>
    <t>Elezioni e consultazioni popolari - Anagrafe e stato civile</t>
  </si>
  <si>
    <t>Statistica e sistemi informativi</t>
  </si>
  <si>
    <t>1_8</t>
  </si>
  <si>
    <t>1_10</t>
  </si>
  <si>
    <t>Risorse umane</t>
  </si>
  <si>
    <t>Altri servizi generali</t>
  </si>
  <si>
    <t>1_11</t>
  </si>
  <si>
    <t>1_12</t>
  </si>
  <si>
    <t>Politica regionale unitaria per i servizi istituzionali, generali e di gestione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</si>
  <si>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</si>
  <si>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</si>
  <si>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</si>
  <si>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</si>
  <si>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</si>
  <si>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</si>
  <si>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</si>
  <si>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12_2</t>
  </si>
  <si>
    <t>12_3</t>
  </si>
  <si>
    <t>12_4</t>
  </si>
  <si>
    <t>12_5</t>
  </si>
  <si>
    <t>12_6</t>
  </si>
  <si>
    <t>12_7</t>
  </si>
  <si>
    <t>12_8</t>
  </si>
  <si>
    <t>12_10</t>
  </si>
  <si>
    <t>Politica regionale unitaria per i diritti sociali e la famiglia</t>
  </si>
  <si>
    <t>13_1</t>
  </si>
  <si>
    <t>13_2</t>
  </si>
  <si>
    <t>13_3</t>
  </si>
  <si>
    <t>13_4</t>
  </si>
  <si>
    <t>13_5</t>
  </si>
  <si>
    <t>13_6</t>
  </si>
  <si>
    <t>13_7</t>
  </si>
  <si>
    <t>13_8</t>
  </si>
  <si>
    <t>Ssr - finanziamento ordinario corrente per la garanzia dei LEA</t>
  </si>
  <si>
    <t>Ssr - finanziamento aggiuntivo corrente per livelli di assistenza superiori ai LEA</t>
  </si>
  <si>
    <t>Ssr - finanziamento aggiuntivo corrente per la copertura dello squilibrio di bilancio corrente</t>
  </si>
  <si>
    <t>Ssr - ripiano di disavanzi sanitari relativi ad esercizi pregressi</t>
  </si>
  <si>
    <t>Ssr - investimenti sanitari</t>
  </si>
  <si>
    <t>Ssr - restituzione maggiori gettiti SSN</t>
  </si>
  <si>
    <t>Ulteriori spese in materia sanitaria</t>
  </si>
  <si>
    <t>Politica regionale unitaria per la tutela della salute</t>
  </si>
  <si>
    <t>12_1</t>
  </si>
  <si>
    <t>Interventi per l'infanzia e i minori e per asili nido</t>
  </si>
  <si>
    <t>1_9</t>
  </si>
  <si>
    <t>Assistenza tecnico-amministrativa agli enti locali</t>
  </si>
  <si>
    <t>Lombardia</t>
  </si>
  <si>
    <t>Missione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</si>
</sst>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  <numFmt numFmtId="168" formatCode="#,##0.0"/>
    <numFmt numFmtId="169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2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1" fillId="2" borderId="0" xfId="0" applyFont="1" applyFill="1"/>
    <xf numFmtId="3" fontId="0" fillId="2" borderId="0" xfId="0" applyNumberFormat="1" applyFill="1"/>
    <xf numFmtId="0" fontId="0" fillId="0" borderId="6" xfId="0" applyBorder="1" applyAlignment="1">
      <alignment horizontal="center" vertical="center" wrapText="1"/>
    </xf>
    <xf numFmtId="168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2" xfId="0" applyBorder="1"/>
    <xf numFmtId="168" fontId="0" fillId="4" borderId="0" xfId="0" applyNumberFormat="1" applyFill="1" applyAlignment="1">
      <alignment horizontal="center"/>
    </xf>
    <xf numFmtId="169" fontId="9" fillId="6" borderId="0" xfId="1" applyNumberFormat="1" applyFont="1" applyFill="1" applyAlignment="1">
      <alignment horizontal="center" vertical="center"/>
    </xf>
    <xf numFmtId="169" fontId="9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6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6"/>
          <c:y val="5.4234059497589075E-2"/>
          <c:w val="0.80361249792401179"/>
          <c:h val="0.699937827610976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Risultato_amministrazione!$B$3:$E$3</c:f>
              <c:numCache>
                <c:formatCode>#,##0</c:formatCode>
                <c:ptCount val="4"/>
                <c:pt idx="0">
                  <c:v>4195895664.2199998</c:v>
                </c:pt>
                <c:pt idx="1">
                  <c:v>3473829536.8200002</c:v>
                </c:pt>
                <c:pt idx="2">
                  <c:v>4484244951.2700005</c:v>
                </c:pt>
                <c:pt idx="3">
                  <c:v>4104231217.5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Risultato_amministrazione!$B$4:$E$4</c:f>
              <c:numCache>
                <c:formatCode>#,##0</c:formatCode>
                <c:ptCount val="4"/>
                <c:pt idx="0">
                  <c:v>2988738998.77</c:v>
                </c:pt>
                <c:pt idx="1">
                  <c:v>3250553809.1799998</c:v>
                </c:pt>
                <c:pt idx="2">
                  <c:v>3524549763.77</c:v>
                </c:pt>
                <c:pt idx="3">
                  <c:v>3562994740.1500001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0252960"/>
        <c:axId val="-1480251872"/>
      </c:lineChart>
      <c:catAx>
        <c:axId val="-148025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80251872"/>
        <c:crosses val="autoZero"/>
        <c:auto val="1"/>
        <c:lblAlgn val="ctr"/>
        <c:lblOffset val="100"/>
        <c:noMultiLvlLbl val="0"/>
      </c:catAx>
      <c:valAx>
        <c:axId val="-1480251872"/>
        <c:scaling>
          <c:orientation val="minMax"/>
          <c:min val="2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8025296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Piano_indicatori!$D$31:$G$31</c:f>
              <c:numCache>
                <c:formatCode>0.00</c:formatCode>
                <c:ptCount val="4"/>
                <c:pt idx="0">
                  <c:v>254.50569999999999</c:v>
                </c:pt>
                <c:pt idx="1">
                  <c:v>180.82294053898624</c:v>
                </c:pt>
                <c:pt idx="2">
                  <c:v>207.91</c:v>
                </c:pt>
                <c:pt idx="3">
                  <c:v>204.45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Piano_indicatori!$D$93:$G$93</c:f>
              <c:numCache>
                <c:formatCode>0.00</c:formatCode>
                <c:ptCount val="4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397888"/>
        <c:axId val="-1283398432"/>
      </c:barChart>
      <c:catAx>
        <c:axId val="-12833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283398432"/>
        <c:crosses val="autoZero"/>
        <c:auto val="1"/>
        <c:lblAlgn val="ctr"/>
        <c:lblOffset val="100"/>
        <c:noMultiLvlLbl val="0"/>
      </c:catAx>
      <c:valAx>
        <c:axId val="-1283398432"/>
        <c:scaling>
          <c:orientation val="minMax"/>
          <c:max val="33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28339788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89111897654455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Piano_indicatori!$D$47:$G$47</c:f>
              <c:numCache>
                <c:formatCode>0.00</c:formatCode>
                <c:ptCount val="4"/>
                <c:pt idx="0">
                  <c:v>0</c:v>
                </c:pt>
                <c:pt idx="1">
                  <c:v>11.93</c:v>
                </c:pt>
                <c:pt idx="2">
                  <c:v>29.76</c:v>
                </c:pt>
                <c:pt idx="3">
                  <c:v>17.82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Piano_indicatori!$D$94:$G$94</c:f>
              <c:numCache>
                <c:formatCode>0.00</c:formatCode>
                <c:ptCount val="4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385376"/>
        <c:axId val="-1283395168"/>
      </c:barChart>
      <c:catAx>
        <c:axId val="-128338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283395168"/>
        <c:crosses val="autoZero"/>
        <c:auto val="1"/>
        <c:lblAlgn val="ctr"/>
        <c:lblOffset val="100"/>
        <c:noMultiLvlLbl val="0"/>
      </c:catAx>
      <c:valAx>
        <c:axId val="-1283395168"/>
        <c:scaling>
          <c:orientation val="minMax"/>
          <c:min val="-10"/>
        </c:scaling>
        <c:delete val="1"/>
        <c:axPos val="l"/>
        <c:numFmt formatCode="0" sourceLinked="0"/>
        <c:majorTickMark val="none"/>
        <c:minorTickMark val="none"/>
        <c:tickLblPos val="none"/>
        <c:crossAx val="-128338537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Piano_indicatori!$D$52:$G$52</c:f>
              <c:numCache>
                <c:formatCode>0.00</c:formatCode>
                <c:ptCount val="4"/>
                <c:pt idx="0">
                  <c:v>0</c:v>
                </c:pt>
                <c:pt idx="1">
                  <c:v>1741.9467110676831</c:v>
                </c:pt>
                <c:pt idx="2">
                  <c:v>1687.716762857448</c:v>
                </c:pt>
                <c:pt idx="3">
                  <c:v>1631.0288498757677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Piano_indicatori!$D$95:$G$95</c:f>
              <c:numCache>
                <c:formatCode>0.00</c:formatCode>
                <c:ptCount val="4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386464"/>
        <c:axId val="-1283389728"/>
      </c:barChart>
      <c:catAx>
        <c:axId val="-12833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283389728"/>
        <c:crosses val="autoZero"/>
        <c:auto val="1"/>
        <c:lblAlgn val="ctr"/>
        <c:lblOffset val="100"/>
        <c:noMultiLvlLbl val="0"/>
      </c:catAx>
      <c:valAx>
        <c:axId val="-1283389728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28338646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8006707420254828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4833705</c:v>
                </c:pt>
                <c:pt idx="1">
                  <c:v>4875290</c:v>
                </c:pt>
                <c:pt idx="2">
                  <c:v>4908548</c:v>
                </c:pt>
                <c:pt idx="3">
                  <c:v>4942188</c:v>
                </c:pt>
                <c:pt idx="4">
                  <c:v>4977900</c:v>
                </c:pt>
                <c:pt idx="5">
                  <c:v>5004400</c:v>
                </c:pt>
                <c:pt idx="6">
                  <c:v>5028266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391904"/>
        <c:axId val="-1283395712"/>
      </c:barChart>
      <c:catAx>
        <c:axId val="-128339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283395712"/>
        <c:crosses val="autoZero"/>
        <c:auto val="1"/>
        <c:lblAlgn val="ctr"/>
        <c:lblOffset val="100"/>
        <c:noMultiLvlLbl val="0"/>
      </c:catAx>
      <c:valAx>
        <c:axId val="-1283395712"/>
        <c:scaling>
          <c:orientation val="minMax"/>
          <c:max val="51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28339190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Risultato_amministrazione!$B$8:$E$8</c:f>
              <c:numCache>
                <c:formatCode>#,##0</c:formatCode>
                <c:ptCount val="4"/>
                <c:pt idx="0">
                  <c:v>67901259.459999993</c:v>
                </c:pt>
                <c:pt idx="1">
                  <c:v>79742106</c:v>
                </c:pt>
                <c:pt idx="2">
                  <c:v>121897644.42</c:v>
                </c:pt>
                <c:pt idx="3">
                  <c:v>167996686.40000001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Risultato_amministrazione!$B$9:$E$9</c:f>
              <c:numCache>
                <c:formatCode>#,##0</c:formatCode>
                <c:ptCount val="4"/>
                <c:pt idx="0">
                  <c:v>95280000</c:v>
                </c:pt>
                <c:pt idx="1">
                  <c:v>114336000</c:v>
                </c:pt>
                <c:pt idx="2">
                  <c:v>520966376.29000002</c:v>
                </c:pt>
                <c:pt idx="3">
                  <c:v>544625815.42999995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E-493C-9CA5-C1C953CA2EB1}"/>
            </c:ext>
          </c:extLst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Risultato_amministrazione!$B$10:$E$10</c:f>
              <c:numCache>
                <c:formatCode>#,##0</c:formatCode>
                <c:ptCount val="4"/>
                <c:pt idx="0">
                  <c:v>0</c:v>
                </c:pt>
                <c:pt idx="1">
                  <c:v>2515569000</c:v>
                </c:pt>
                <c:pt idx="2">
                  <c:v>2438598061.1999998</c:v>
                </c:pt>
                <c:pt idx="3">
                  <c:v>2360763351.5799999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E-493C-9CA5-C1C953CA2EB1}"/>
            </c:ext>
          </c:extLst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Risultato_amministrazione!$B$52:$E$52</c:f>
              <c:numCache>
                <c:formatCode>#,##0</c:formatCode>
                <c:ptCount val="4"/>
                <c:pt idx="0">
                  <c:v>107841800.36</c:v>
                </c:pt>
                <c:pt idx="1">
                  <c:v>112700118.80999999</c:v>
                </c:pt>
                <c:pt idx="2">
                  <c:v>365644150.04999995</c:v>
                </c:pt>
                <c:pt idx="3">
                  <c:v>724576353.10000002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E-493C-9CA5-C1C953CA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80251328"/>
        <c:axId val="-1480250784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650034650034337E-3"/>
                  <c:y val="1.683501683501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FE-493C-9CA5-C1C953CA2EB1}"/>
                </c:ext>
              </c:extLst>
            </c:dLbl>
            <c:dLbl>
              <c:idx val="1"/>
              <c:layout>
                <c:manualLayout>
                  <c:x val="-6.3524329686586294E-17"/>
                  <c:y val="2.020202020202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FE-493C-9CA5-C1C953CA2EB1}"/>
                </c:ext>
              </c:extLst>
            </c:dLbl>
            <c:dLbl>
              <c:idx val="2"/>
              <c:layout>
                <c:manualLayout>
                  <c:x val="-5.1975051975053244E-3"/>
                  <c:y val="2.3569023569023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FE-493C-9CA5-C1C953CA2EB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Risultato_amministrazione!$B$1:$E$1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Risultato_amministrazione!$B$24:$E$24</c:f>
              <c:numCache>
                <c:formatCode>0.0</c:formatCode>
                <c:ptCount val="4"/>
                <c:pt idx="0">
                  <c:v>1.6182780720459731</c:v>
                </c:pt>
                <c:pt idx="1">
                  <c:v>2.2955100460397726</c:v>
                </c:pt>
                <c:pt idx="2">
                  <c:v>2.7183538309047304</c:v>
                </c:pt>
                <c:pt idx="3">
                  <c:v>4.0932558985390548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0246432"/>
        <c:axId val="-1480250240"/>
      </c:lineChart>
      <c:catAx>
        <c:axId val="-14802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80250784"/>
        <c:crosses val="autoZero"/>
        <c:auto val="1"/>
        <c:lblAlgn val="ctr"/>
        <c:lblOffset val="100"/>
        <c:noMultiLvlLbl val="0"/>
      </c:catAx>
      <c:valAx>
        <c:axId val="-14802507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80251328"/>
        <c:crosses val="autoZero"/>
        <c:crossBetween val="between"/>
      </c:valAx>
      <c:valAx>
        <c:axId val="-148025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80246432"/>
        <c:crosses val="max"/>
        <c:crossBetween val="between"/>
        <c:majorUnit val="1"/>
      </c:valAx>
      <c:catAx>
        <c:axId val="-148024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4802502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12E-2"/>
          <c:y val="1.9227205294990467E-2"/>
          <c:w val="0.82022844298591935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2-41DC-B25A-48B8A55670DF}"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EF-4EE1-84EC-90209335CF23}"/>
                </c:ext>
              </c:extLst>
            </c:dLbl>
            <c:dLbl>
              <c:idx val="4"/>
              <c:layout>
                <c:manualLayout>
                  <c:x val="3.1963655837855647E-2"/>
                  <c:y val="3.8647342995169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EF-4EE1-84EC-90209335C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Conto_economico!$C$1:$F$1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Conto_economico!$C$28:$F$28</c:f>
              <c:numCache>
                <c:formatCode>#,##0</c:formatCode>
                <c:ptCount val="4"/>
                <c:pt idx="0">
                  <c:v>925452241</c:v>
                </c:pt>
                <c:pt idx="1">
                  <c:v>690993879</c:v>
                </c:pt>
                <c:pt idx="2">
                  <c:v>464618251</c:v>
                </c:pt>
                <c:pt idx="3">
                  <c:v>582249155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80260032"/>
        <c:axId val="-1481714064"/>
      </c:barChart>
      <c:catAx>
        <c:axId val="-148026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481714064"/>
        <c:crosses val="autoZero"/>
        <c:auto val="1"/>
        <c:lblAlgn val="ctr"/>
        <c:lblOffset val="100"/>
        <c:noMultiLvlLbl val="0"/>
      </c:catAx>
      <c:valAx>
        <c:axId val="-14817140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480260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9660156131.8500004</c:v>
                </c:pt>
                <c:pt idx="1">
                  <c:v>9403298972</c:v>
                </c:pt>
                <c:pt idx="2">
                  <c:v>8808399159</c:v>
                </c:pt>
                <c:pt idx="3">
                  <c:v>8484133602</c:v>
                </c:pt>
                <c:pt idx="4">
                  <c:v>8005983399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184244876.91999999</c:v>
                </c:pt>
                <c:pt idx="1">
                  <c:v>84157378</c:v>
                </c:pt>
                <c:pt idx="2">
                  <c:v>258880591</c:v>
                </c:pt>
                <c:pt idx="3">
                  <c:v>215730319</c:v>
                </c:pt>
                <c:pt idx="4">
                  <c:v>159545753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2348492420.6799998</c:v>
                </c:pt>
                <c:pt idx="1">
                  <c:v>2142702022</c:v>
                </c:pt>
                <c:pt idx="2">
                  <c:v>1847378033</c:v>
                </c:pt>
                <c:pt idx="3">
                  <c:v>1888556459</c:v>
                </c:pt>
                <c:pt idx="4">
                  <c:v>2228969410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2800979954.2199998</c:v>
                </c:pt>
                <c:pt idx="1">
                  <c:v>2038350645</c:v>
                </c:pt>
                <c:pt idx="2">
                  <c:v>1597919760</c:v>
                </c:pt>
                <c:pt idx="3">
                  <c:v>1788725417</c:v>
                </c:pt>
                <c:pt idx="4">
                  <c:v>1670354198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81716240"/>
        <c:axId val="-1283392992"/>
      </c:barChart>
      <c:catAx>
        <c:axId val="-148171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283392992"/>
        <c:crosses val="autoZero"/>
        <c:auto val="1"/>
        <c:lblAlgn val="ctr"/>
        <c:lblOffset val="100"/>
        <c:noMultiLvlLbl val="0"/>
      </c:catAx>
      <c:valAx>
        <c:axId val="-12833929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48171624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99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-8336717311</c:v>
                </c:pt>
                <c:pt idx="3">
                  <c:v>-7645723432</c:v>
                </c:pt>
                <c:pt idx="4">
                  <c:v>-7181105182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-8552965685</c:v>
                </c:pt>
                <c:pt idx="1">
                  <c:v>-8552965685</c:v>
                </c:pt>
                <c:pt idx="2">
                  <c:v>1893667895</c:v>
                </c:pt>
                <c:pt idx="3">
                  <c:v>1901353878</c:v>
                </c:pt>
                <c:pt idx="4">
                  <c:v>1935272196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0</c:v>
                </c:pt>
                <c:pt idx="1">
                  <c:v>925452241</c:v>
                </c:pt>
                <c:pt idx="2">
                  <c:v>690993879</c:v>
                </c:pt>
                <c:pt idx="3">
                  <c:v>464618251</c:v>
                </c:pt>
                <c:pt idx="4">
                  <c:v>582249156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83394624"/>
        <c:axId val="-1283388096"/>
      </c:barChart>
      <c:catAx>
        <c:axId val="-128339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283388096"/>
        <c:crosses val="autoZero"/>
        <c:auto val="1"/>
        <c:lblAlgn val="ctr"/>
        <c:lblOffset val="100"/>
        <c:noMultiLvlLbl val="0"/>
      </c:catAx>
      <c:valAx>
        <c:axId val="-12833880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-12833946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E-2"/>
          <c:w val="0.912266379073744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Piano_indicatori!$D$74:$G$74</c:f>
              <c:numCache>
                <c:formatCode>0.00</c:formatCode>
                <c:ptCount val="4"/>
                <c:pt idx="0">
                  <c:v>88.765316212957075</c:v>
                </c:pt>
                <c:pt idx="1">
                  <c:v>92.515130386717004</c:v>
                </c:pt>
                <c:pt idx="2">
                  <c:v>92.303450216535737</c:v>
                </c:pt>
                <c:pt idx="3">
                  <c:v>92.462495626852942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Piano_indicatori!$D$77:$G$77</c:f>
              <c:numCache>
                <c:formatCode>0.00</c:formatCode>
                <c:ptCount val="4"/>
                <c:pt idx="0">
                  <c:v>83.380769715510922</c:v>
                </c:pt>
                <c:pt idx="1">
                  <c:v>85.47438306043918</c:v>
                </c:pt>
                <c:pt idx="2">
                  <c:v>81.341416367602491</c:v>
                </c:pt>
                <c:pt idx="3">
                  <c:v>83.902708164054445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Piano_indicatori!$D$78:$G$78</c:f>
              <c:numCache>
                <c:formatCode>0.00</c:formatCode>
                <c:ptCount val="4"/>
                <c:pt idx="0">
                  <c:v>81.413614449774727</c:v>
                </c:pt>
                <c:pt idx="1">
                  <c:v>83.65529016742029</c:v>
                </c:pt>
                <c:pt idx="2">
                  <c:v>79.760659554132246</c:v>
                </c:pt>
                <c:pt idx="3">
                  <c:v>81.513441714251485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83399520"/>
        <c:axId val="-1283396800"/>
      </c:lineChart>
      <c:catAx>
        <c:axId val="-12833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283396800"/>
        <c:crosses val="autoZero"/>
        <c:auto val="1"/>
        <c:lblAlgn val="ctr"/>
        <c:lblOffset val="100"/>
        <c:noMultiLvlLbl val="0"/>
      </c:catAx>
      <c:valAx>
        <c:axId val="-1283396800"/>
        <c:scaling>
          <c:orientation val="minMax"/>
          <c:min val="7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28339952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21"/>
          <c:w val="0.96177967444791601"/>
          <c:h val="0.179568046015526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93370463865767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Piano_indicatori!$D$80:$G$80</c:f>
              <c:numCache>
                <c:formatCode>0.00</c:formatCode>
                <c:ptCount val="4"/>
                <c:pt idx="0">
                  <c:v>1.6292944072045095</c:v>
                </c:pt>
                <c:pt idx="1">
                  <c:v>1.5107612212671611</c:v>
                </c:pt>
                <c:pt idx="2">
                  <c:v>1.6911764705882353</c:v>
                </c:pt>
                <c:pt idx="3">
                  <c:v>1.4921920185078079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Piano_indicatori!$D$81:$G$81</c:f>
              <c:numCache>
                <c:formatCode>0.00</c:formatCode>
                <c:ptCount val="4"/>
                <c:pt idx="0">
                  <c:v>2.6548481858291653</c:v>
                </c:pt>
                <c:pt idx="1">
                  <c:v>2.7229598015512804</c:v>
                </c:pt>
                <c:pt idx="2">
                  <c:v>2.5</c:v>
                </c:pt>
                <c:pt idx="3">
                  <c:v>2.5563909774436087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Piano_indicatori!$D$82:$G$82</c:f>
              <c:numCache>
                <c:formatCode>0.00</c:formatCode>
                <c:ptCount val="4"/>
                <c:pt idx="0">
                  <c:v>5.5760091644265994</c:v>
                </c:pt>
                <c:pt idx="1">
                  <c:v>4.9370481182542099</c:v>
                </c:pt>
                <c:pt idx="2">
                  <c:v>4.2769607843137258</c:v>
                </c:pt>
                <c:pt idx="3">
                  <c:v>4.6385193753614802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Piano_indicatori!$D$83:$G$83</c:f>
              <c:numCache>
                <c:formatCode>0.00</c:formatCode>
                <c:ptCount val="4"/>
                <c:pt idx="0">
                  <c:v>1.3060442115530753</c:v>
                </c:pt>
                <c:pt idx="1">
                  <c:v>2.0051005406095763</c:v>
                </c:pt>
                <c:pt idx="2">
                  <c:v>2.5490196078431375</c:v>
                </c:pt>
                <c:pt idx="3">
                  <c:v>2.0936957779063041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Piano_indicatori!$D$84:$G$84</c:f>
              <c:numCache>
                <c:formatCode>0.00</c:formatCode>
                <c:ptCount val="4"/>
                <c:pt idx="0">
                  <c:v>48.247983939569231</c:v>
                </c:pt>
                <c:pt idx="1">
                  <c:v>54.323739646934641</c:v>
                </c:pt>
                <c:pt idx="2">
                  <c:v>53.284313725490193</c:v>
                </c:pt>
                <c:pt idx="3">
                  <c:v>51.925968768074029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B-41AB-8794-DAAC815B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83397344"/>
        <c:axId val="-1283389184"/>
      </c:barChart>
      <c:catAx>
        <c:axId val="-12833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283389184"/>
        <c:crosses val="autoZero"/>
        <c:auto val="1"/>
        <c:lblAlgn val="ctr"/>
        <c:lblOffset val="100"/>
        <c:noMultiLvlLbl val="0"/>
      </c:catAx>
      <c:valAx>
        <c:axId val="-1283389184"/>
        <c:scaling>
          <c:orientation val="minMax"/>
          <c:max val="8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28339734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2926093974343329"/>
          <c:w val="0.94706811428307203"/>
          <c:h val="0.1707390602565667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07E-2"/>
          <c:w val="0.9122665336936"/>
          <c:h val="0.71915787122354569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Piano_indicatori!$D$86:$G$86</c:f>
              <c:numCache>
                <c:formatCode>0.00</c:formatCode>
                <c:ptCount val="4"/>
                <c:pt idx="0">
                  <c:v>96.859367362317045</c:v>
                </c:pt>
                <c:pt idx="1">
                  <c:v>99.007388367002946</c:v>
                </c:pt>
                <c:pt idx="2">
                  <c:v>96.361563417769361</c:v>
                </c:pt>
                <c:pt idx="3">
                  <c:v>93.419141270470305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Piano_indicatori!$D$87:$G$87</c:f>
              <c:numCache>
                <c:formatCode>0.00</c:formatCode>
                <c:ptCount val="4"/>
                <c:pt idx="0">
                  <c:v>78.030991053123557</c:v>
                </c:pt>
                <c:pt idx="1">
                  <c:v>66.835430711664259</c:v>
                </c:pt>
                <c:pt idx="2">
                  <c:v>67.309286009466803</c:v>
                </c:pt>
                <c:pt idx="3">
                  <c:v>60.300595284256786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Piano_indicatori!$D$88:$G$88</c:f>
              <c:numCache>
                <c:formatCode>0.00</c:formatCode>
                <c:ptCount val="4"/>
                <c:pt idx="0">
                  <c:v>82.121456876912404</c:v>
                </c:pt>
                <c:pt idx="1">
                  <c:v>61.512196608844164</c:v>
                </c:pt>
                <c:pt idx="2">
                  <c:v>66.639935258912672</c:v>
                </c:pt>
                <c:pt idx="3">
                  <c:v>72.726637781172769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Piano_indicatori!$D$89:$G$89</c:f>
              <c:numCache>
                <c:formatCode>0.00</c:formatCode>
                <c:ptCount val="4"/>
                <c:pt idx="0">
                  <c:v>86.31357492625925</c:v>
                </c:pt>
                <c:pt idx="1">
                  <c:v>86.962532483952927</c:v>
                </c:pt>
                <c:pt idx="2">
                  <c:v>89.681981253398646</c:v>
                </c:pt>
                <c:pt idx="3">
                  <c:v>89.923492813080429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Piano_indicatori!$D$90:$G$90</c:f>
              <c:numCache>
                <c:formatCode>0.00</c:formatCode>
                <c:ptCount val="4"/>
                <c:pt idx="0">
                  <c:v>86.612744432661088</c:v>
                </c:pt>
                <c:pt idx="1">
                  <c:v>88.276978549882955</c:v>
                </c:pt>
                <c:pt idx="2">
                  <c:v>87.922403004608739</c:v>
                </c:pt>
                <c:pt idx="3">
                  <c:v>86.197920718612735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F-4E59-BC72-AAC5B832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83387552"/>
        <c:axId val="-1283387008"/>
      </c:lineChart>
      <c:catAx>
        <c:axId val="-128338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283387008"/>
        <c:crosses val="autoZero"/>
        <c:auto val="1"/>
        <c:lblAlgn val="ctr"/>
        <c:lblOffset val="100"/>
        <c:noMultiLvlLbl val="0"/>
      </c:catAx>
      <c:valAx>
        <c:axId val="-1283387008"/>
        <c:scaling>
          <c:orientation val="minMax"/>
          <c:max val="10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28338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7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273441335297005E-3"/>
          <c:y val="5.1708217913204117E-2"/>
          <c:w val="0.97447226313205659"/>
          <c:h val="0.75077889502039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Piano_indicatori!$D$20:$G$20</c:f>
              <c:numCache>
                <c:formatCode>0.00</c:formatCode>
                <c:ptCount val="4"/>
                <c:pt idx="0">
                  <c:v>279.85919999999999</c:v>
                </c:pt>
                <c:pt idx="1">
                  <c:v>170.58279999999999</c:v>
                </c:pt>
                <c:pt idx="2">
                  <c:v>162.07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Piano_indicatori!$D$1:$G$1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Piano_indicatori!$D$92:$G$92</c:f>
              <c:numCache>
                <c:formatCode>0.00</c:formatCode>
                <c:ptCount val="4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392448"/>
        <c:axId val="-1283394080"/>
      </c:barChart>
      <c:catAx>
        <c:axId val="-128339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283394080"/>
        <c:crosses val="autoZero"/>
        <c:auto val="1"/>
        <c:lblAlgn val="ctr"/>
        <c:lblOffset val="100"/>
        <c:noMultiLvlLbl val="0"/>
      </c:catAx>
      <c:valAx>
        <c:axId val="-128339408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28339244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142875</xdr:rowOff>
    </xdr:from>
    <xdr:to>
      <xdr:col>9</xdr:col>
      <xdr:colOff>247650</xdr:colOff>
      <xdr:row>49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1628775</xdr:colOff>
      <xdr:row>53</xdr:row>
      <xdr:rowOff>0</xdr:rowOff>
    </xdr:from>
    <xdr:to>
      <xdr:col>9</xdr:col>
      <xdr:colOff>257175</xdr:colOff>
      <xdr:row>73</xdr:row>
      <xdr:rowOff>114300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9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590548</xdr:colOff>
      <xdr:row>9</xdr:row>
      <xdr:rowOff>133349</xdr:rowOff>
    </xdr:from>
    <xdr:to>
      <xdr:col>10</xdr:col>
      <xdr:colOff>342900</xdr:colOff>
      <xdr:row>26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pane xSplit="1" ySplit="2" topLeftCell="D49" activePane="bottomRight" state="frozen"/>
      <selection pane="topRight" activeCell="B1" sqref="B1"/>
      <selection pane="bottomLeft" activeCell="A3" sqref="A3"/>
      <selection pane="bottomRight" activeCell="A58" sqref="A58:XFD63"/>
    </sheetView>
  </sheetViews>
  <sheetFormatPr defaultRowHeight="15" x14ac:dyDescent="0.25"/>
  <cols>
    <col min="1" max="1" width="60.7109375" bestFit="1" customWidth="1"/>
    <col min="2" max="3" width="15.28515625" bestFit="1" customWidth="1"/>
    <col min="4" max="4" width="7.140625" customWidth="1"/>
    <col min="5" max="6" width="15.28515625" bestFit="1" customWidth="1"/>
    <col min="7" max="7" width="7.140625" customWidth="1"/>
    <col min="8" max="9" width="15.28515625" bestFit="1" customWidth="1"/>
    <col min="10" max="10" width="7.140625" customWidth="1"/>
    <col min="11" max="12" width="15.28515625" bestFit="1" customWidth="1"/>
    <col min="13" max="13" width="7.140625" customWidth="1"/>
  </cols>
  <sheetData>
    <row r="1" spans="1:15" x14ac:dyDescent="0.25">
      <c r="B1" s="118">
        <v>2016</v>
      </c>
      <c r="C1" s="118"/>
      <c r="D1" s="119"/>
      <c r="E1" s="120">
        <v>2017</v>
      </c>
      <c r="F1" s="118"/>
      <c r="G1" s="119"/>
      <c r="H1" s="120">
        <v>2018</v>
      </c>
      <c r="I1" s="118"/>
      <c r="J1" s="119"/>
      <c r="K1" s="120">
        <v>2019</v>
      </c>
      <c r="L1" s="118"/>
      <c r="M1" s="119"/>
      <c r="N1" s="117" t="s">
        <v>232</v>
      </c>
      <c r="O1" s="117"/>
    </row>
    <row r="2" spans="1:15" x14ac:dyDescent="0.25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12" t="s">
        <v>72</v>
      </c>
      <c r="O2" s="12" t="s">
        <v>73</v>
      </c>
    </row>
    <row r="3" spans="1:15" x14ac:dyDescent="0.25">
      <c r="A3" t="s">
        <v>19</v>
      </c>
      <c r="B3" s="1">
        <v>11290718972.52</v>
      </c>
      <c r="C3" s="28">
        <v>10671957192.17</v>
      </c>
      <c r="D3" s="20">
        <f>IF(B3&gt;0,C3/B3*100,"-")</f>
        <v>94.519730923637553</v>
      </c>
      <c r="E3" s="1">
        <v>11348209537.379999</v>
      </c>
      <c r="F3" s="28">
        <v>10821594071.98</v>
      </c>
      <c r="G3" s="20">
        <f>IF(E3&gt;0,F3/E3*100,"-")</f>
        <v>95.35948412244791</v>
      </c>
      <c r="H3" s="28">
        <v>11746443147.959999</v>
      </c>
      <c r="I3" s="28">
        <v>11315191336.280001</v>
      </c>
      <c r="J3" s="20">
        <f>IF(H3&gt;0,I3/H3*100,"-")</f>
        <v>96.328660461316801</v>
      </c>
      <c r="K3" s="1">
        <v>11841494290.57</v>
      </c>
      <c r="L3" s="28">
        <v>11466371036.09</v>
      </c>
      <c r="M3" s="20">
        <f>IF(K3&gt;0,L3/K3*100,"-")</f>
        <v>96.832129076997234</v>
      </c>
      <c r="N3" s="13">
        <f t="shared" ref="N3:O18" si="0">IF(H3&gt;0,K3/H3*100-100,"-")</f>
        <v>0.80919084537099195</v>
      </c>
      <c r="O3" s="13">
        <f t="shared" si="0"/>
        <v>1.3360772727304209</v>
      </c>
    </row>
    <row r="4" spans="1:15" x14ac:dyDescent="0.25">
      <c r="A4" t="s">
        <v>20</v>
      </c>
      <c r="B4" s="28">
        <v>4286320832.21</v>
      </c>
      <c r="C4" s="28">
        <v>4067395151.77</v>
      </c>
      <c r="D4" s="20">
        <f t="shared" ref="D4:D21" si="1">IF(B4&gt;0,C4/B4*100,"-")</f>
        <v>94.892456980941304</v>
      </c>
      <c r="E4" s="28">
        <v>3898620848.71</v>
      </c>
      <c r="F4" s="28">
        <v>3502855308.25</v>
      </c>
      <c r="G4" s="20">
        <f t="shared" ref="G4:G21" si="2">IF(E4&gt;0,F4/E4*100,"-")</f>
        <v>89.848575795952215</v>
      </c>
      <c r="H4" s="28">
        <v>3345408138.3499999</v>
      </c>
      <c r="I4" s="28">
        <v>3098531414.73</v>
      </c>
      <c r="J4" s="20">
        <f t="shared" ref="J4:J13" si="3">IF(H4&gt;0,I4/H4*100,"-")</f>
        <v>92.62043035078635</v>
      </c>
      <c r="K4" s="28">
        <v>3717450182.9699998</v>
      </c>
      <c r="L4" s="28">
        <v>3403472840.6100001</v>
      </c>
      <c r="M4" s="20">
        <f t="shared" ref="M4:M21" si="4">IF(K4&gt;0,L4/K4*100,"-")</f>
        <v>91.553959652281009</v>
      </c>
      <c r="N4" s="13">
        <f t="shared" si="0"/>
        <v>11.120976252646301</v>
      </c>
      <c r="O4" s="13">
        <f t="shared" si="0"/>
        <v>9.8414824658659086</v>
      </c>
    </row>
    <row r="5" spans="1:15" x14ac:dyDescent="0.25">
      <c r="A5" t="s">
        <v>21</v>
      </c>
      <c r="B5" s="28">
        <v>401612444.06999999</v>
      </c>
      <c r="C5" s="28">
        <v>360242200.41000003</v>
      </c>
      <c r="D5" s="20">
        <f t="shared" si="1"/>
        <v>89.698963697253049</v>
      </c>
      <c r="E5" s="28">
        <v>569094061.63999999</v>
      </c>
      <c r="F5" s="28">
        <v>489665640.75</v>
      </c>
      <c r="G5" s="20">
        <f t="shared" si="2"/>
        <v>86.043006553063435</v>
      </c>
      <c r="H5" s="28">
        <v>510025203.44</v>
      </c>
      <c r="I5" s="28">
        <v>384916163.91000003</v>
      </c>
      <c r="J5" s="20">
        <f t="shared" si="3"/>
        <v>75.470028013092502</v>
      </c>
      <c r="K5" s="28">
        <v>774960116.40999997</v>
      </c>
      <c r="L5" s="28">
        <v>658863368.37</v>
      </c>
      <c r="M5" s="20">
        <f t="shared" si="4"/>
        <v>85.019003483970536</v>
      </c>
      <c r="N5" s="13">
        <f t="shared" si="0"/>
        <v>51.945455083999065</v>
      </c>
      <c r="O5" s="13">
        <f t="shared" si="0"/>
        <v>71.170615875734825</v>
      </c>
    </row>
    <row r="6" spans="1:15" x14ac:dyDescent="0.25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13" t="str">
        <f t="shared" si="0"/>
        <v>-</v>
      </c>
      <c r="O6" s="13" t="str">
        <f t="shared" si="0"/>
        <v>-</v>
      </c>
    </row>
    <row r="7" spans="1:15" x14ac:dyDescent="0.25">
      <c r="A7" t="s">
        <v>23</v>
      </c>
      <c r="B7" s="28">
        <v>1323746314.0699999</v>
      </c>
      <c r="C7" s="28">
        <v>556042003.29999995</v>
      </c>
      <c r="D7" s="20">
        <f t="shared" si="1"/>
        <v>42.005178589724586</v>
      </c>
      <c r="E7" s="28">
        <v>1037641109.7</v>
      </c>
      <c r="F7" s="28">
        <v>412714474.42000002</v>
      </c>
      <c r="G7" s="20">
        <f t="shared" si="2"/>
        <v>39.774298701342211</v>
      </c>
      <c r="H7" s="28">
        <v>636312078.88</v>
      </c>
      <c r="I7" s="28">
        <v>199610019.91999999</v>
      </c>
      <c r="J7" s="20">
        <f t="shared" si="3"/>
        <v>31.369830393812748</v>
      </c>
      <c r="K7" s="28">
        <v>956084467.22000003</v>
      </c>
      <c r="L7" s="28">
        <v>664993116.88</v>
      </c>
      <c r="M7" s="20">
        <f t="shared" si="4"/>
        <v>69.553804049719133</v>
      </c>
      <c r="N7" s="13">
        <f t="shared" si="0"/>
        <v>50.25401826456681</v>
      </c>
      <c r="O7" s="13">
        <f t="shared" si="0"/>
        <v>233.14616027117125</v>
      </c>
    </row>
    <row r="8" spans="1:15" x14ac:dyDescent="0.25">
      <c r="A8" t="s">
        <v>24</v>
      </c>
      <c r="B8" s="28">
        <v>149696393.68000001</v>
      </c>
      <c r="C8" s="28">
        <v>125042582.62</v>
      </c>
      <c r="D8" s="20">
        <f t="shared" si="1"/>
        <v>83.53079158827201</v>
      </c>
      <c r="E8" s="28">
        <v>27180568.719999999</v>
      </c>
      <c r="F8" s="28">
        <v>1955460.61</v>
      </c>
      <c r="G8" s="20">
        <f t="shared" si="2"/>
        <v>7.1943329447743798</v>
      </c>
      <c r="H8" s="28">
        <v>17540283.629999999</v>
      </c>
      <c r="I8" s="28">
        <v>4675154.4800000004</v>
      </c>
      <c r="J8" s="20">
        <f t="shared" si="3"/>
        <v>26.653813465158894</v>
      </c>
      <c r="K8" s="28">
        <v>93892584.310000002</v>
      </c>
      <c r="L8" s="28">
        <v>52779764.840000004</v>
      </c>
      <c r="M8" s="20">
        <f t="shared" si="4"/>
        <v>56.212921635791758</v>
      </c>
      <c r="N8" s="13">
        <f t="shared" si="0"/>
        <v>435.29684177632657</v>
      </c>
      <c r="O8" s="13">
        <f t="shared" si="0"/>
        <v>1028.9416224808897</v>
      </c>
    </row>
    <row r="9" spans="1:15" x14ac:dyDescent="0.25">
      <c r="A9" t="s">
        <v>25</v>
      </c>
      <c r="B9" s="28">
        <v>1643651.44</v>
      </c>
      <c r="C9" s="28">
        <v>1601225.77</v>
      </c>
      <c r="D9" s="20">
        <f t="shared" si="1"/>
        <v>97.418815877410125</v>
      </c>
      <c r="E9" s="28">
        <v>1068473.72</v>
      </c>
      <c r="F9" s="28">
        <v>1031381.36</v>
      </c>
      <c r="G9" s="20">
        <f t="shared" si="2"/>
        <v>96.528472408287215</v>
      </c>
      <c r="H9" s="28">
        <v>940470.86</v>
      </c>
      <c r="I9" s="28">
        <v>895275.55</v>
      </c>
      <c r="J9" s="20">
        <f t="shared" si="3"/>
        <v>95.194395496740853</v>
      </c>
      <c r="K9" s="28">
        <v>3722264.52</v>
      </c>
      <c r="L9" s="28">
        <v>3607638.99</v>
      </c>
      <c r="M9" s="20">
        <f t="shared" si="4"/>
        <v>96.920543142914525</v>
      </c>
      <c r="N9" s="13">
        <f t="shared" si="0"/>
        <v>295.78733146500679</v>
      </c>
      <c r="O9" s="13">
        <f t="shared" si="0"/>
        <v>302.96409189327244</v>
      </c>
    </row>
    <row r="10" spans="1:15" x14ac:dyDescent="0.25">
      <c r="A10" t="s">
        <v>26</v>
      </c>
      <c r="B10" s="28">
        <v>2654420</v>
      </c>
      <c r="C10" s="28">
        <v>2516920</v>
      </c>
      <c r="D10" s="20">
        <f t="shared" si="1"/>
        <v>94.819960669374098</v>
      </c>
      <c r="E10" s="28">
        <v>2895759.59</v>
      </c>
      <c r="F10" s="28">
        <v>0</v>
      </c>
      <c r="G10" s="20">
        <f t="shared" si="2"/>
        <v>0</v>
      </c>
      <c r="H10" s="28">
        <v>14411720</v>
      </c>
      <c r="I10" s="28">
        <v>14411720</v>
      </c>
      <c r="J10" s="20">
        <f t="shared" si="3"/>
        <v>100</v>
      </c>
      <c r="K10" s="28">
        <v>2139293.2799999998</v>
      </c>
      <c r="L10" s="28">
        <v>462293.28</v>
      </c>
      <c r="M10" s="20">
        <f t="shared" si="4"/>
        <v>21.609626147191939</v>
      </c>
      <c r="N10" s="13">
        <f t="shared" si="0"/>
        <v>-85.155878132519916</v>
      </c>
      <c r="O10" s="13">
        <f t="shared" si="0"/>
        <v>-96.792240759603985</v>
      </c>
    </row>
    <row r="11" spans="1:15" x14ac:dyDescent="0.25">
      <c r="A11" t="s">
        <v>27</v>
      </c>
      <c r="B11" s="28">
        <v>21762270.690000001</v>
      </c>
      <c r="C11" s="28">
        <v>0</v>
      </c>
      <c r="D11" s="20">
        <f t="shared" si="1"/>
        <v>0</v>
      </c>
      <c r="E11" s="28">
        <v>2675546.85</v>
      </c>
      <c r="F11" s="28">
        <v>68174.539999999994</v>
      </c>
      <c r="G11" s="20">
        <f t="shared" si="2"/>
        <v>2.5480600349046401</v>
      </c>
      <c r="H11" s="28">
        <v>0</v>
      </c>
      <c r="I11" s="28">
        <v>0</v>
      </c>
      <c r="J11" s="20" t="str">
        <f t="shared" si="3"/>
        <v>-</v>
      </c>
      <c r="K11" s="28">
        <v>0</v>
      </c>
      <c r="L11" s="28">
        <v>0</v>
      </c>
      <c r="M11" s="20" t="str">
        <f t="shared" si="4"/>
        <v>-</v>
      </c>
      <c r="N11" s="13" t="str">
        <f t="shared" si="0"/>
        <v>-</v>
      </c>
      <c r="O11" s="13" t="str">
        <f t="shared" si="0"/>
        <v>-</v>
      </c>
    </row>
    <row r="12" spans="1:15" x14ac:dyDescent="0.25">
      <c r="A12" t="s">
        <v>28</v>
      </c>
      <c r="B12" s="28">
        <f>2544575.26+66440183.6</f>
        <v>68984758.859999999</v>
      </c>
      <c r="C12" s="28">
        <f>20150+32635774.96</f>
        <v>32655924.960000001</v>
      </c>
      <c r="D12" s="20">
        <f t="shared" si="1"/>
        <v>47.337883758169014</v>
      </c>
      <c r="E12" s="28">
        <v>14770995.5</v>
      </c>
      <c r="F12" s="28">
        <v>6520995.5</v>
      </c>
      <c r="G12" s="20">
        <f t="shared" si="2"/>
        <v>44.147298670560154</v>
      </c>
      <c r="H12" s="28">
        <v>4839232.09</v>
      </c>
      <c r="I12" s="28">
        <v>4325954.09</v>
      </c>
      <c r="J12" s="20">
        <f t="shared" si="3"/>
        <v>89.393399811084478</v>
      </c>
      <c r="K12" s="28">
        <v>2776844.64</v>
      </c>
      <c r="L12" s="28">
        <v>2776844.64</v>
      </c>
      <c r="M12" s="20">
        <f t="shared" si="4"/>
        <v>100</v>
      </c>
      <c r="N12" s="13">
        <f t="shared" si="0"/>
        <v>-42.61807269508332</v>
      </c>
      <c r="O12" s="13">
        <f t="shared" si="0"/>
        <v>-35.809659967981773</v>
      </c>
    </row>
    <row r="13" spans="1:15" x14ac:dyDescent="0.25">
      <c r="A13" t="s">
        <v>29</v>
      </c>
      <c r="B13" s="28">
        <v>947183273.64999998</v>
      </c>
      <c r="C13" s="28">
        <v>947183273.64999998</v>
      </c>
      <c r="D13" s="20">
        <f t="shared" si="1"/>
        <v>100</v>
      </c>
      <c r="E13" s="28">
        <v>382738833.95999998</v>
      </c>
      <c r="F13" s="28">
        <v>329647662.97000003</v>
      </c>
      <c r="G13" s="20">
        <f t="shared" si="2"/>
        <v>86.128616623326877</v>
      </c>
      <c r="H13" s="28">
        <v>83626983.299999997</v>
      </c>
      <c r="I13" s="28">
        <v>49482198.5</v>
      </c>
      <c r="J13" s="20">
        <f t="shared" si="3"/>
        <v>59.170134503703906</v>
      </c>
      <c r="K13" s="28">
        <v>683430566.29999995</v>
      </c>
      <c r="L13" s="28">
        <v>683046327.11000001</v>
      </c>
      <c r="M13" s="20">
        <f t="shared" si="4"/>
        <v>99.943777874601054</v>
      </c>
      <c r="N13" s="13">
        <f t="shared" si="0"/>
        <v>717.23690049692368</v>
      </c>
      <c r="O13" s="13">
        <f t="shared" si="0"/>
        <v>1280.3879936943383</v>
      </c>
    </row>
    <row r="14" spans="1:15" x14ac:dyDescent="0.25">
      <c r="A14" t="s">
        <v>30</v>
      </c>
      <c r="B14" s="28">
        <f t="shared" ref="B14:C14" si="5">SUM(B3:B5)</f>
        <v>15978652248.799999</v>
      </c>
      <c r="C14" s="28">
        <f t="shared" si="5"/>
        <v>15099594544.35</v>
      </c>
      <c r="D14" s="20">
        <f>IF(B14&gt;0,C14/B14*100,"-")</f>
        <v>94.498549121900965</v>
      </c>
      <c r="E14" s="28">
        <f t="shared" ref="E14:F14" si="6">SUM(E3:E5)</f>
        <v>15815924447.73</v>
      </c>
      <c r="F14" s="28">
        <f t="shared" si="6"/>
        <v>14814115020.98</v>
      </c>
      <c r="G14" s="20">
        <f>IF(E14&gt;0,F14/E14*100,"-")</f>
        <v>93.665818080625783</v>
      </c>
      <c r="H14" s="28">
        <v>15601876489.75</v>
      </c>
      <c r="I14" s="28">
        <v>14798638914.92</v>
      </c>
      <c r="J14" s="20">
        <f>IF(H14&gt;0,I14/H14*100,"-")</f>
        <v>94.85166046944606</v>
      </c>
      <c r="K14" s="28">
        <f t="shared" ref="K14:L14" si="7">SUM(K3:K5)</f>
        <v>16333904589.949999</v>
      </c>
      <c r="L14" s="28">
        <f t="shared" si="7"/>
        <v>15528707245.070002</v>
      </c>
      <c r="M14" s="20">
        <f>IF(K14&gt;0,L14/K14*100,"-")</f>
        <v>95.070392749964867</v>
      </c>
      <c r="N14" s="13">
        <f t="shared" si="0"/>
        <v>4.6919234406253736</v>
      </c>
      <c r="O14" s="13">
        <f t="shared" si="0"/>
        <v>4.9333478189939939</v>
      </c>
    </row>
    <row r="15" spans="1:15" x14ac:dyDescent="0.25">
      <c r="A15" t="s">
        <v>31</v>
      </c>
      <c r="B15" s="27">
        <f t="shared" ref="B15:C15" si="8">SUM(B6:B10)</f>
        <v>1477740779.1900001</v>
      </c>
      <c r="C15" s="27">
        <f t="shared" si="8"/>
        <v>685202731.68999994</v>
      </c>
      <c r="D15" s="20">
        <f>IF(B15&gt;0,C15/B15*100,"-")</f>
        <v>46.368263049868794</v>
      </c>
      <c r="E15" s="27">
        <f t="shared" ref="E15:F15" si="9">SUM(E6:E10)</f>
        <v>1068785911.7300001</v>
      </c>
      <c r="F15" s="27">
        <f t="shared" si="9"/>
        <v>415701316.39000005</v>
      </c>
      <c r="G15" s="20">
        <f>IF(E15&gt;0,F15/E15*100,"-")</f>
        <v>38.894722678101296</v>
      </c>
      <c r="H15" s="27">
        <v>669204553.37</v>
      </c>
      <c r="I15" s="27">
        <v>219592169.94999999</v>
      </c>
      <c r="J15" s="20">
        <f>IF(H15&gt;0,I15/H15*100,"-")</f>
        <v>32.81390851932661</v>
      </c>
      <c r="K15" s="27">
        <f t="shared" ref="K15:L15" si="10">SUM(K6:K10)</f>
        <v>1055838609.3299999</v>
      </c>
      <c r="L15" s="27">
        <f t="shared" si="10"/>
        <v>721842813.99000001</v>
      </c>
      <c r="M15" s="20">
        <f>IF(K15&gt;0,L15/K15*100,"-")</f>
        <v>68.366775718502808</v>
      </c>
      <c r="N15" s="13">
        <f t="shared" si="0"/>
        <v>57.775168147463546</v>
      </c>
      <c r="O15" s="13">
        <f t="shared" si="0"/>
        <v>228.71974176235881</v>
      </c>
    </row>
    <row r="16" spans="1:15" x14ac:dyDescent="0.25">
      <c r="A16" t="s">
        <v>32</v>
      </c>
      <c r="B16" s="28">
        <f t="shared" ref="B16:C16" si="11">SUM(B11:B13)</f>
        <v>1037930303.1999999</v>
      </c>
      <c r="C16" s="28">
        <f t="shared" si="11"/>
        <v>979839198.61000001</v>
      </c>
      <c r="D16" s="20">
        <f t="shared" si="1"/>
        <v>94.403178670966483</v>
      </c>
      <c r="E16" s="28">
        <f t="shared" ref="E16:F16" si="12">SUM(E11:E13)</f>
        <v>400185376.31</v>
      </c>
      <c r="F16" s="28">
        <f t="shared" si="12"/>
        <v>336236833.01000005</v>
      </c>
      <c r="G16" s="20">
        <f t="shared" si="2"/>
        <v>84.020269833532652</v>
      </c>
      <c r="H16" s="28">
        <v>88466215.390000001</v>
      </c>
      <c r="I16" s="28">
        <v>53808152.590000004</v>
      </c>
      <c r="J16" s="20">
        <f t="shared" ref="J16:J21" si="13">IF(H16&gt;0,I16/H16*100,"-")</f>
        <v>60.823391565682762</v>
      </c>
      <c r="K16" s="28">
        <f t="shared" ref="K16:L16" si="14">SUM(K11:K13)</f>
        <v>686207410.93999994</v>
      </c>
      <c r="L16" s="28">
        <f t="shared" si="14"/>
        <v>685823171.75</v>
      </c>
      <c r="M16" s="20">
        <f t="shared" si="4"/>
        <v>99.944005386145037</v>
      </c>
      <c r="N16" s="13">
        <f t="shared" si="0"/>
        <v>675.67171593684691</v>
      </c>
      <c r="O16" s="13">
        <f t="shared" si="0"/>
        <v>1174.5711174582436</v>
      </c>
    </row>
    <row r="17" spans="1:15" x14ac:dyDescent="0.25">
      <c r="A17" t="s">
        <v>33</v>
      </c>
      <c r="B17" s="28">
        <v>68223140</v>
      </c>
      <c r="C17" s="28">
        <v>65000000</v>
      </c>
      <c r="D17" s="20">
        <f t="shared" si="1"/>
        <v>95.275591243674796</v>
      </c>
      <c r="E17" s="28">
        <v>0</v>
      </c>
      <c r="F17" s="28">
        <v>0</v>
      </c>
      <c r="G17" s="20" t="str">
        <f t="shared" si="2"/>
        <v>-</v>
      </c>
      <c r="H17" s="28">
        <v>0</v>
      </c>
      <c r="I17" s="28">
        <v>0</v>
      </c>
      <c r="J17" s="20" t="str">
        <f t="shared" si="13"/>
        <v>-</v>
      </c>
      <c r="K17" s="28">
        <v>0</v>
      </c>
      <c r="L17" s="28">
        <v>0</v>
      </c>
      <c r="M17" s="20" t="str">
        <f t="shared" si="4"/>
        <v>-</v>
      </c>
      <c r="N17" s="13" t="str">
        <f t="shared" si="0"/>
        <v>-</v>
      </c>
      <c r="O17" s="13" t="str">
        <f t="shared" si="0"/>
        <v>-</v>
      </c>
    </row>
    <row r="18" spans="1:15" x14ac:dyDescent="0.25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3"/>
        <v>-</v>
      </c>
      <c r="K18" s="28">
        <v>0</v>
      </c>
      <c r="L18" s="28">
        <v>0</v>
      </c>
      <c r="M18" s="20" t="str">
        <f t="shared" si="4"/>
        <v>-</v>
      </c>
      <c r="N18" s="13" t="str">
        <f t="shared" si="0"/>
        <v>-</v>
      </c>
      <c r="O18" s="13" t="str">
        <f t="shared" si="0"/>
        <v>-</v>
      </c>
    </row>
    <row r="19" spans="1:15" x14ac:dyDescent="0.25">
      <c r="A19" t="s">
        <v>35</v>
      </c>
      <c r="B19" s="28">
        <v>2672499951.5100002</v>
      </c>
      <c r="C19" s="28">
        <v>2672419951.5100002</v>
      </c>
      <c r="D19" s="20">
        <f t="shared" si="1"/>
        <v>99.997006548121547</v>
      </c>
      <c r="E19" s="28">
        <v>2663124770.6100001</v>
      </c>
      <c r="F19" s="28">
        <v>2663108997.9099998</v>
      </c>
      <c r="G19" s="20">
        <f t="shared" si="2"/>
        <v>99.999407737099872</v>
      </c>
      <c r="H19" s="28">
        <v>3992541060.25</v>
      </c>
      <c r="I19" s="28">
        <v>3564096132.6999998</v>
      </c>
      <c r="J19" s="20">
        <f t="shared" si="13"/>
        <v>89.268866090930771</v>
      </c>
      <c r="K19" s="28">
        <v>2930830488.8499999</v>
      </c>
      <c r="L19" s="28">
        <v>2918552165.1999998</v>
      </c>
      <c r="M19" s="20">
        <f t="shared" si="4"/>
        <v>99.581063330113722</v>
      </c>
      <c r="N19" s="13">
        <f t="shared" ref="N19:O60" si="15">IF(H19&gt;0,K19/H19*100-100,"-")</f>
        <v>-26.592351972793978</v>
      </c>
      <c r="O19" s="13">
        <f t="shared" si="15"/>
        <v>-18.112417383393208</v>
      </c>
    </row>
    <row r="20" spans="1:15" x14ac:dyDescent="0.25">
      <c r="A20" t="s">
        <v>36</v>
      </c>
      <c r="B20" s="28">
        <f t="shared" ref="B20:C20" si="16">B14+B15+B16+B17+B18+B19</f>
        <v>21235046422.699997</v>
      </c>
      <c r="C20" s="28">
        <f t="shared" si="16"/>
        <v>19502056426.160004</v>
      </c>
      <c r="D20" s="20">
        <f t="shared" si="1"/>
        <v>91.83901008717622</v>
      </c>
      <c r="E20" s="28">
        <f t="shared" ref="E20:F20" si="17">E14+E15+E16+E17+E18+E19</f>
        <v>19948020506.380001</v>
      </c>
      <c r="F20" s="28">
        <f t="shared" si="17"/>
        <v>18229162168.290001</v>
      </c>
      <c r="G20" s="20">
        <f t="shared" si="2"/>
        <v>91.383313760178581</v>
      </c>
      <c r="H20" s="28">
        <v>20352088318.760002</v>
      </c>
      <c r="I20" s="28">
        <v>18636135370.16</v>
      </c>
      <c r="J20" s="20">
        <f t="shared" si="13"/>
        <v>91.568664002807594</v>
      </c>
      <c r="K20" s="28">
        <f t="shared" ref="K20:L20" si="18">K14+K15+K16+K17+K18+K19</f>
        <v>21006781099.069996</v>
      </c>
      <c r="L20" s="28">
        <f t="shared" si="18"/>
        <v>19854925396.010002</v>
      </c>
      <c r="M20" s="20">
        <f t="shared" si="4"/>
        <v>94.516743438093954</v>
      </c>
      <c r="N20" s="13">
        <f t="shared" si="15"/>
        <v>3.2168334278822641</v>
      </c>
      <c r="O20" s="13">
        <f t="shared" si="15"/>
        <v>6.5399290230608358</v>
      </c>
    </row>
    <row r="21" spans="1:15" x14ac:dyDescent="0.25">
      <c r="A21" t="s">
        <v>37</v>
      </c>
      <c r="B21" s="28">
        <f t="shared" ref="B21:C21" si="19">B20-B19</f>
        <v>18562546471.189995</v>
      </c>
      <c r="C21" s="28">
        <f t="shared" si="19"/>
        <v>16829636474.650003</v>
      </c>
      <c r="D21" s="20">
        <f t="shared" si="1"/>
        <v>90.664481302554293</v>
      </c>
      <c r="E21" s="28">
        <f t="shared" ref="E21:F21" si="20">E20-E19</f>
        <v>17284895735.77</v>
      </c>
      <c r="F21" s="28">
        <f t="shared" si="20"/>
        <v>15566053170.380001</v>
      </c>
      <c r="G21" s="20">
        <f t="shared" si="2"/>
        <v>90.055811781190187</v>
      </c>
      <c r="H21" s="28">
        <v>16359547258.510002</v>
      </c>
      <c r="I21" s="28">
        <v>15072039237.459999</v>
      </c>
      <c r="J21" s="20">
        <f t="shared" si="13"/>
        <v>92.129928776725407</v>
      </c>
      <c r="K21" s="28">
        <f t="shared" ref="K21:L21" si="21">K20-K19</f>
        <v>18075950610.219997</v>
      </c>
      <c r="L21" s="28">
        <f t="shared" si="21"/>
        <v>16936373230.810001</v>
      </c>
      <c r="M21" s="20">
        <f t="shared" si="4"/>
        <v>93.69561577156729</v>
      </c>
      <c r="N21" s="13">
        <f t="shared" si="15"/>
        <v>10.491753375492394</v>
      </c>
      <c r="O21" s="13">
        <f t="shared" si="15"/>
        <v>12.369487393029033</v>
      </c>
    </row>
    <row r="22" spans="1:15" x14ac:dyDescent="0.25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</row>
    <row r="23" spans="1:15" x14ac:dyDescent="0.25">
      <c r="A23" s="5" t="s">
        <v>38</v>
      </c>
      <c r="B23" s="97">
        <v>1347791461.1300001</v>
      </c>
      <c r="C23" s="27">
        <v>1326505954.27</v>
      </c>
      <c r="D23" s="20">
        <f>IF(B23&gt;0,C23/B23*100,"-")</f>
        <v>98.420712144729407</v>
      </c>
      <c r="E23" s="27">
        <v>791072118.32000005</v>
      </c>
      <c r="F23" s="27">
        <v>778126047.88999999</v>
      </c>
      <c r="G23" s="20">
        <f>IF(E23&gt;0,F23/E23*100,"-")</f>
        <v>98.363477851110005</v>
      </c>
      <c r="H23" s="27">
        <v>742840838.61000001</v>
      </c>
      <c r="I23" s="27">
        <v>722832486.46000004</v>
      </c>
      <c r="J23" s="20">
        <f>IF(H23&gt;0,I23/H23*100,"-")</f>
        <v>97.306508862996893</v>
      </c>
      <c r="K23" s="27">
        <v>739392354.13</v>
      </c>
      <c r="L23" s="27">
        <v>725526843.57000005</v>
      </c>
      <c r="M23" s="20">
        <f>IF(K23&gt;0,L23/K23*100,"-")</f>
        <v>98.124742502062432</v>
      </c>
      <c r="N23" s="13">
        <f t="shared" si="15"/>
        <v>-0.4642292535306467</v>
      </c>
      <c r="O23" s="13">
        <f t="shared" si="15"/>
        <v>0.37274986396853649</v>
      </c>
    </row>
    <row r="24" spans="1:15" x14ac:dyDescent="0.25">
      <c r="A24" s="5" t="s">
        <v>39</v>
      </c>
      <c r="B24" s="27">
        <v>71602308.75</v>
      </c>
      <c r="C24" s="27">
        <v>49566372.630000003</v>
      </c>
      <c r="D24" s="20">
        <f t="shared" ref="D24:D57" si="22">IF(B24&gt;0,C24/B24*100,"-")</f>
        <v>69.224545263004529</v>
      </c>
      <c r="E24" s="27">
        <v>72471762.849999994</v>
      </c>
      <c r="F24" s="27">
        <v>69608118.689999998</v>
      </c>
      <c r="G24" s="20">
        <f t="shared" ref="G24:G57" si="23">IF(E24&gt;0,F24/E24*100,"-")</f>
        <v>96.048607005838832</v>
      </c>
      <c r="H24" s="27">
        <v>65499217.149999999</v>
      </c>
      <c r="I24" s="27">
        <v>57303890.020000003</v>
      </c>
      <c r="J24" s="20">
        <f t="shared" ref="J24:J26" si="24">IF(H24&gt;0,I24/H24*100,"-")</f>
        <v>87.487900639740701</v>
      </c>
      <c r="K24" s="27">
        <v>68675664.099999994</v>
      </c>
      <c r="L24" s="27">
        <v>67636484.489999995</v>
      </c>
      <c r="M24" s="20">
        <f t="shared" ref="M24:M57" si="25">IF(K24&gt;0,L24/K24*100,"-")</f>
        <v>98.48682990748101</v>
      </c>
      <c r="N24" s="13">
        <f t="shared" si="15"/>
        <v>4.849595290162938</v>
      </c>
      <c r="O24" s="13">
        <f t="shared" si="15"/>
        <v>18.031226966256114</v>
      </c>
    </row>
    <row r="25" spans="1:15" x14ac:dyDescent="0.25">
      <c r="A25" s="5" t="s">
        <v>40</v>
      </c>
      <c r="B25" s="27">
        <v>927601472.63999999</v>
      </c>
      <c r="C25" s="27">
        <v>852997560.61000001</v>
      </c>
      <c r="D25" s="20">
        <f t="shared" si="22"/>
        <v>91.957331436993783</v>
      </c>
      <c r="E25" s="27">
        <v>1433754941.97</v>
      </c>
      <c r="F25" s="27">
        <v>1169473218.2</v>
      </c>
      <c r="G25" s="20">
        <f t="shared" si="23"/>
        <v>81.567162139516455</v>
      </c>
      <c r="H25" s="27">
        <v>1447238620.3399999</v>
      </c>
      <c r="I25" s="27">
        <v>1273277595.21</v>
      </c>
      <c r="J25" s="20">
        <f t="shared" si="24"/>
        <v>87.979796649627048</v>
      </c>
      <c r="K25" s="27">
        <v>1503933915.96</v>
      </c>
      <c r="L25" s="27">
        <v>1365800890.28</v>
      </c>
      <c r="M25" s="20">
        <f t="shared" si="25"/>
        <v>90.815219723811722</v>
      </c>
      <c r="N25" s="13">
        <f t="shared" si="15"/>
        <v>3.9174808371739545</v>
      </c>
      <c r="O25" s="13">
        <f t="shared" si="15"/>
        <v>7.2665454428843645</v>
      </c>
    </row>
    <row r="26" spans="1:15" x14ac:dyDescent="0.25">
      <c r="A26" s="5" t="s">
        <v>41</v>
      </c>
      <c r="B26" s="27">
        <v>10273914150.940001</v>
      </c>
      <c r="C26" s="27">
        <v>9218583051.8799992</v>
      </c>
      <c r="D26" s="20">
        <f t="shared" si="22"/>
        <v>89.728052195535966</v>
      </c>
      <c r="E26" s="27">
        <v>12090651457.09</v>
      </c>
      <c r="F26" s="27">
        <v>11149492767.450001</v>
      </c>
      <c r="G26" s="20">
        <f t="shared" si="23"/>
        <v>92.215814896490954</v>
      </c>
      <c r="H26" s="27">
        <v>12251212916.18</v>
      </c>
      <c r="I26" s="27">
        <v>11417505512.65</v>
      </c>
      <c r="J26" s="20">
        <f t="shared" si="24"/>
        <v>93.194899074613787</v>
      </c>
      <c r="K26" s="27">
        <v>12106040244.530001</v>
      </c>
      <c r="L26" s="27">
        <v>11088171875.200001</v>
      </c>
      <c r="M26" s="20">
        <f t="shared" si="25"/>
        <v>91.592061906535335</v>
      </c>
      <c r="N26" s="13">
        <f t="shared" si="15"/>
        <v>-1.1849657061977297</v>
      </c>
      <c r="O26" s="13">
        <f t="shared" si="15"/>
        <v>-2.8844622591608413</v>
      </c>
    </row>
    <row r="27" spans="1:15" x14ac:dyDescent="0.25">
      <c r="A27" s="5" t="s">
        <v>350</v>
      </c>
      <c r="B27" s="27">
        <v>9000738.5999999996</v>
      </c>
      <c r="C27" s="27">
        <v>9000738.5999999996</v>
      </c>
      <c r="D27" s="20"/>
      <c r="E27" s="27">
        <v>150000</v>
      </c>
      <c r="F27" s="27">
        <v>150000</v>
      </c>
      <c r="G27" s="20"/>
      <c r="H27" s="27">
        <v>77146.59</v>
      </c>
      <c r="I27" s="27">
        <v>77146.59</v>
      </c>
      <c r="J27" s="20"/>
      <c r="K27" s="27">
        <v>141285.73000000001</v>
      </c>
      <c r="L27" s="27">
        <v>141285.73000000001</v>
      </c>
      <c r="M27" s="20"/>
      <c r="N27" s="13">
        <f t="shared" si="15"/>
        <v>83.13930661095975</v>
      </c>
      <c r="O27" s="13">
        <f t="shared" si="15"/>
        <v>83.13930661095975</v>
      </c>
    </row>
    <row r="28" spans="1:15" x14ac:dyDescent="0.25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13" t="str">
        <f t="shared" si="15"/>
        <v>-</v>
      </c>
      <c r="O28" s="13" t="str">
        <f t="shared" si="15"/>
        <v>-</v>
      </c>
    </row>
    <row r="29" spans="1:15" x14ac:dyDescent="0.25">
      <c r="A29" s="5" t="s">
        <v>42</v>
      </c>
      <c r="B29" s="27">
        <v>311612293.72000003</v>
      </c>
      <c r="C29" s="27">
        <v>311602949.36000001</v>
      </c>
      <c r="D29" s="20">
        <f t="shared" si="22"/>
        <v>99.997001286474145</v>
      </c>
      <c r="E29" s="27">
        <v>389295874.94</v>
      </c>
      <c r="F29" s="27">
        <v>389295774.06</v>
      </c>
      <c r="G29" s="20">
        <f t="shared" si="23"/>
        <v>99.999974086547923</v>
      </c>
      <c r="H29" s="27">
        <v>275459154.32999998</v>
      </c>
      <c r="I29" s="27">
        <v>275280702.39999998</v>
      </c>
      <c r="J29" s="20">
        <f t="shared" ref="J29:J57" si="26">IF(H29&gt;0,I29/H29*100,"-")</f>
        <v>99.935216554906631</v>
      </c>
      <c r="K29" s="27">
        <v>219561889.22</v>
      </c>
      <c r="L29" s="27">
        <v>219217231.83000001</v>
      </c>
      <c r="M29" s="20">
        <f t="shared" si="25"/>
        <v>99.843024947897646</v>
      </c>
      <c r="N29" s="13">
        <f t="shared" si="15"/>
        <v>-20.292396978404668</v>
      </c>
      <c r="O29" s="13">
        <f t="shared" si="15"/>
        <v>-20.36592833468444</v>
      </c>
    </row>
    <row r="30" spans="1:15" x14ac:dyDescent="0.25">
      <c r="A30" s="5" t="s">
        <v>43</v>
      </c>
      <c r="B30" s="27">
        <v>0</v>
      </c>
      <c r="C30" s="27">
        <v>0</v>
      </c>
      <c r="D30" s="20" t="str">
        <f t="shared" si="22"/>
        <v>-</v>
      </c>
      <c r="E30" s="27">
        <v>0</v>
      </c>
      <c r="F30" s="27">
        <v>0</v>
      </c>
      <c r="G30" s="20" t="str">
        <f t="shared" si="23"/>
        <v>-</v>
      </c>
      <c r="H30" s="27">
        <v>0</v>
      </c>
      <c r="I30" s="27">
        <v>0</v>
      </c>
      <c r="J30" s="20" t="str">
        <f t="shared" si="26"/>
        <v>-</v>
      </c>
      <c r="K30" s="27">
        <v>0</v>
      </c>
      <c r="L30" s="27">
        <v>0</v>
      </c>
      <c r="M30" s="20" t="str">
        <f t="shared" si="25"/>
        <v>-</v>
      </c>
      <c r="N30" s="13" t="str">
        <f t="shared" si="15"/>
        <v>-</v>
      </c>
      <c r="O30" s="13" t="str">
        <f t="shared" si="15"/>
        <v>-</v>
      </c>
    </row>
    <row r="31" spans="1:15" x14ac:dyDescent="0.25">
      <c r="A31" s="5" t="s">
        <v>44</v>
      </c>
      <c r="B31" s="27">
        <v>2474913993.21</v>
      </c>
      <c r="C31" s="27">
        <v>2465135334.0100002</v>
      </c>
      <c r="D31" s="20">
        <f t="shared" si="22"/>
        <v>99.604888928389926</v>
      </c>
      <c r="E31" s="27">
        <v>509633813.27999997</v>
      </c>
      <c r="F31" s="27">
        <v>508095495.63</v>
      </c>
      <c r="G31" s="20">
        <f t="shared" si="23"/>
        <v>99.698152357650798</v>
      </c>
      <c r="H31" s="27">
        <v>377406957.73000002</v>
      </c>
      <c r="I31" s="27">
        <v>366354920.60000002</v>
      </c>
      <c r="J31" s="20">
        <f t="shared" si="26"/>
        <v>97.071586280105976</v>
      </c>
      <c r="K31" s="27">
        <v>729881447.86000001</v>
      </c>
      <c r="L31" s="27">
        <v>628886102.35000002</v>
      </c>
      <c r="M31" s="20">
        <f t="shared" si="25"/>
        <v>86.162773994856749</v>
      </c>
      <c r="N31" s="13">
        <f t="shared" si="15"/>
        <v>93.393744580131198</v>
      </c>
      <c r="O31" s="13">
        <f t="shared" si="15"/>
        <v>71.660340011275935</v>
      </c>
    </row>
    <row r="32" spans="1:15" x14ac:dyDescent="0.25">
      <c r="A32" s="5" t="s">
        <v>45</v>
      </c>
      <c r="B32" s="27">
        <v>294225984.05000001</v>
      </c>
      <c r="C32" s="27">
        <v>291924755.93000001</v>
      </c>
      <c r="D32" s="20">
        <f t="shared" si="22"/>
        <v>99.21787053328066</v>
      </c>
      <c r="E32" s="27">
        <v>47179762.75</v>
      </c>
      <c r="F32" s="27">
        <v>46115012.700000003</v>
      </c>
      <c r="G32" s="20">
        <f t="shared" si="23"/>
        <v>97.74320601050502</v>
      </c>
      <c r="H32" s="27">
        <v>61892385.909999996</v>
      </c>
      <c r="I32" s="27">
        <v>58840869.539999999</v>
      </c>
      <c r="J32" s="20">
        <f t="shared" si="26"/>
        <v>95.069641725498641</v>
      </c>
      <c r="K32" s="27">
        <v>49948848.009999998</v>
      </c>
      <c r="L32" s="27">
        <v>47179418.82</v>
      </c>
      <c r="M32" s="20">
        <f t="shared" si="25"/>
        <v>94.455469344467076</v>
      </c>
      <c r="N32" s="13">
        <f t="shared" si="15"/>
        <v>-19.297265284565924</v>
      </c>
      <c r="O32" s="13">
        <f t="shared" si="15"/>
        <v>-19.818624046798888</v>
      </c>
    </row>
    <row r="33" spans="1:15" x14ac:dyDescent="0.25">
      <c r="A33" s="5" t="s">
        <v>46</v>
      </c>
      <c r="B33" s="28">
        <v>0</v>
      </c>
      <c r="C33" s="28">
        <v>0</v>
      </c>
      <c r="D33" s="20" t="str">
        <f t="shared" si="22"/>
        <v>-</v>
      </c>
      <c r="E33" s="28">
        <v>0</v>
      </c>
      <c r="F33" s="28">
        <v>0</v>
      </c>
      <c r="G33" s="20" t="str">
        <f t="shared" si="23"/>
        <v>-</v>
      </c>
      <c r="H33" s="28">
        <v>0</v>
      </c>
      <c r="I33" s="28">
        <v>0</v>
      </c>
      <c r="J33" s="20" t="str">
        <f t="shared" si="26"/>
        <v>-</v>
      </c>
      <c r="K33" s="28">
        <v>0</v>
      </c>
      <c r="L33" s="28">
        <v>0</v>
      </c>
      <c r="M33" s="20" t="str">
        <f t="shared" si="25"/>
        <v>-</v>
      </c>
      <c r="N33" s="13" t="str">
        <f t="shared" si="15"/>
        <v>-</v>
      </c>
      <c r="O33" s="13" t="str">
        <f t="shared" si="15"/>
        <v>-</v>
      </c>
    </row>
    <row r="34" spans="1:15" x14ac:dyDescent="0.25">
      <c r="A34" s="5" t="s">
        <v>47</v>
      </c>
      <c r="B34" s="27">
        <v>186519946.97</v>
      </c>
      <c r="C34" s="27">
        <v>142395349.58000001</v>
      </c>
      <c r="D34" s="20">
        <f t="shared" si="22"/>
        <v>76.343228642941327</v>
      </c>
      <c r="E34" s="27">
        <v>171252888.13999999</v>
      </c>
      <c r="F34" s="27">
        <v>137044070.88999999</v>
      </c>
      <c r="G34" s="20">
        <f t="shared" si="23"/>
        <v>80.024385210931953</v>
      </c>
      <c r="H34" s="27">
        <v>240740638.47999999</v>
      </c>
      <c r="I34" s="27">
        <v>174646667.31</v>
      </c>
      <c r="J34" s="20">
        <f t="shared" si="26"/>
        <v>72.545569544341433</v>
      </c>
      <c r="K34" s="27">
        <v>165510336.81</v>
      </c>
      <c r="L34" s="27">
        <v>130885810.79000001</v>
      </c>
      <c r="M34" s="20">
        <f t="shared" si="25"/>
        <v>79.080142855519824</v>
      </c>
      <c r="N34" s="13">
        <f t="shared" si="15"/>
        <v>-31.249523198489769</v>
      </c>
      <c r="O34" s="13">
        <f t="shared" si="15"/>
        <v>-25.056794494866566</v>
      </c>
    </row>
    <row r="35" spans="1:15" x14ac:dyDescent="0.25">
      <c r="A35" s="5" t="s">
        <v>48</v>
      </c>
      <c r="B35" s="27">
        <v>1104908440.6099999</v>
      </c>
      <c r="C35" s="27">
        <v>722153003.63</v>
      </c>
      <c r="D35" s="20">
        <f t="shared" si="22"/>
        <v>65.358628560327801</v>
      </c>
      <c r="E35" s="27">
        <v>743103806.73000002</v>
      </c>
      <c r="F35" s="27">
        <v>549417957.53999996</v>
      </c>
      <c r="G35" s="20">
        <f t="shared" si="23"/>
        <v>73.935559549572588</v>
      </c>
      <c r="H35" s="27">
        <v>804439817.75</v>
      </c>
      <c r="I35" s="27">
        <v>497277527.26999998</v>
      </c>
      <c r="J35" s="20">
        <f t="shared" si="26"/>
        <v>61.816622735169183</v>
      </c>
      <c r="K35" s="27">
        <v>862226393.05999994</v>
      </c>
      <c r="L35" s="27">
        <v>427871486.87</v>
      </c>
      <c r="M35" s="20">
        <f t="shared" si="25"/>
        <v>49.624030337496947</v>
      </c>
      <c r="N35" s="13">
        <f t="shared" si="15"/>
        <v>7.1834553729112542</v>
      </c>
      <c r="O35" s="13">
        <f t="shared" si="15"/>
        <v>-13.957204296166708</v>
      </c>
    </row>
    <row r="36" spans="1:15" x14ac:dyDescent="0.25">
      <c r="A36" s="5" t="s">
        <v>49</v>
      </c>
      <c r="B36" s="27">
        <v>101054859.13</v>
      </c>
      <c r="C36" s="27">
        <v>83896742.439999998</v>
      </c>
      <c r="D36" s="20">
        <f t="shared" si="22"/>
        <v>83.020987968597055</v>
      </c>
      <c r="E36" s="27">
        <v>110546009.79000001</v>
      </c>
      <c r="F36" s="27">
        <v>99987448.590000004</v>
      </c>
      <c r="G36" s="20">
        <f t="shared" si="23"/>
        <v>90.448717941011452</v>
      </c>
      <c r="H36" s="27">
        <v>69096761.329999998</v>
      </c>
      <c r="I36" s="27">
        <v>59485453.159999996</v>
      </c>
      <c r="J36" s="20">
        <f t="shared" si="26"/>
        <v>86.090074288580269</v>
      </c>
      <c r="K36" s="27">
        <v>97146776.920000002</v>
      </c>
      <c r="L36" s="27">
        <v>88020665.510000005</v>
      </c>
      <c r="M36" s="20">
        <f t="shared" si="25"/>
        <v>90.605852608455223</v>
      </c>
      <c r="N36" s="13">
        <f t="shared" si="15"/>
        <v>40.595268215301161</v>
      </c>
      <c r="O36" s="13">
        <f t="shared" si="15"/>
        <v>47.970068032007589</v>
      </c>
    </row>
    <row r="37" spans="1:15" x14ac:dyDescent="0.25">
      <c r="A37" s="5" t="s">
        <v>50</v>
      </c>
      <c r="B37" s="27">
        <v>59057587.43</v>
      </c>
      <c r="C37" s="27">
        <v>52896035.469999999</v>
      </c>
      <c r="D37" s="20">
        <f t="shared" si="22"/>
        <v>89.566874929824749</v>
      </c>
      <c r="E37" s="27">
        <v>13038617.869999999</v>
      </c>
      <c r="F37" s="27">
        <v>8788708.8300000001</v>
      </c>
      <c r="G37" s="20">
        <f t="shared" si="23"/>
        <v>67.405218234223781</v>
      </c>
      <c r="H37" s="27">
        <v>12920684.9</v>
      </c>
      <c r="I37" s="27">
        <v>12665959.390000001</v>
      </c>
      <c r="J37" s="20">
        <f t="shared" si="26"/>
        <v>98.028544833563728</v>
      </c>
      <c r="K37" s="27">
        <v>40105227.920000002</v>
      </c>
      <c r="L37" s="27">
        <v>3170312.35</v>
      </c>
      <c r="M37" s="20">
        <f t="shared" si="25"/>
        <v>7.9049852461229948</v>
      </c>
      <c r="N37" s="13">
        <f t="shared" si="15"/>
        <v>210.39552647863121</v>
      </c>
      <c r="O37" s="13">
        <f t="shared" si="15"/>
        <v>-74.96982066354154</v>
      </c>
    </row>
    <row r="38" spans="1:15" x14ac:dyDescent="0.25">
      <c r="A38" s="5" t="s">
        <v>51</v>
      </c>
      <c r="B38" s="27">
        <v>18613858.129999999</v>
      </c>
      <c r="C38" s="27">
        <v>14203498.630000001</v>
      </c>
      <c r="D38" s="20">
        <f t="shared" si="22"/>
        <v>76.306043222217255</v>
      </c>
      <c r="E38" s="27">
        <v>24600000</v>
      </c>
      <c r="F38" s="27">
        <v>24600000</v>
      </c>
      <c r="G38" s="20">
        <f t="shared" si="23"/>
        <v>100</v>
      </c>
      <c r="H38" s="27">
        <v>15000000</v>
      </c>
      <c r="I38" s="27">
        <v>15000000</v>
      </c>
      <c r="J38" s="20">
        <f t="shared" si="26"/>
        <v>100</v>
      </c>
      <c r="K38" s="27">
        <v>0</v>
      </c>
      <c r="L38" s="27">
        <v>0</v>
      </c>
      <c r="M38" s="20" t="str">
        <f t="shared" si="25"/>
        <v>-</v>
      </c>
      <c r="N38" s="13">
        <f t="shared" si="15"/>
        <v>-100</v>
      </c>
      <c r="O38" s="13">
        <f t="shared" si="15"/>
        <v>-100</v>
      </c>
    </row>
    <row r="39" spans="1:15" x14ac:dyDescent="0.25">
      <c r="A39" s="5" t="s">
        <v>261</v>
      </c>
      <c r="B39" s="27">
        <v>8178234.3200000003</v>
      </c>
      <c r="C39" s="27">
        <v>8178234.3200000003</v>
      </c>
      <c r="D39" s="20">
        <f t="shared" si="22"/>
        <v>100</v>
      </c>
      <c r="E39" s="27">
        <v>0</v>
      </c>
      <c r="F39" s="27">
        <v>0</v>
      </c>
      <c r="G39" s="20" t="str">
        <f t="shared" si="23"/>
        <v>-</v>
      </c>
      <c r="H39" s="27">
        <v>0</v>
      </c>
      <c r="I39" s="27">
        <v>0</v>
      </c>
      <c r="J39" s="20" t="str">
        <f t="shared" si="26"/>
        <v>-</v>
      </c>
      <c r="K39" s="27">
        <v>0</v>
      </c>
      <c r="L39" s="27">
        <v>0</v>
      </c>
      <c r="M39" s="20" t="str">
        <f t="shared" si="25"/>
        <v>-</v>
      </c>
      <c r="N39" s="13" t="str">
        <f t="shared" si="15"/>
        <v>-</v>
      </c>
      <c r="O39" s="13" t="str">
        <f t="shared" si="15"/>
        <v>-</v>
      </c>
    </row>
    <row r="40" spans="1:15" x14ac:dyDescent="0.25">
      <c r="A40" s="5" t="s">
        <v>52</v>
      </c>
      <c r="B40" s="27">
        <v>21323000</v>
      </c>
      <c r="C40" s="27">
        <v>21323000</v>
      </c>
      <c r="D40" s="20">
        <f t="shared" si="22"/>
        <v>100</v>
      </c>
      <c r="E40" s="27">
        <v>16160000</v>
      </c>
      <c r="F40" s="27">
        <v>16160000</v>
      </c>
      <c r="G40" s="20">
        <f t="shared" si="23"/>
        <v>100</v>
      </c>
      <c r="H40" s="27">
        <v>48152269</v>
      </c>
      <c r="I40" s="27">
        <v>0</v>
      </c>
      <c r="J40" s="20">
        <f t="shared" si="26"/>
        <v>0</v>
      </c>
      <c r="K40" s="27">
        <v>2000000</v>
      </c>
      <c r="L40" s="27">
        <v>2000000</v>
      </c>
      <c r="M40" s="20">
        <f t="shared" si="25"/>
        <v>100</v>
      </c>
      <c r="N40" s="13">
        <f t="shared" si="15"/>
        <v>-95.846509330640259</v>
      </c>
      <c r="O40" s="13" t="str">
        <f t="shared" si="15"/>
        <v>-</v>
      </c>
    </row>
    <row r="41" spans="1:15" x14ac:dyDescent="0.25">
      <c r="A41" s="5" t="s">
        <v>53</v>
      </c>
      <c r="B41" s="27">
        <v>920453788.11000001</v>
      </c>
      <c r="C41" s="27">
        <v>920453788.11000001</v>
      </c>
      <c r="D41" s="20">
        <f t="shared" si="22"/>
        <v>100</v>
      </c>
      <c r="E41" s="27">
        <v>329789370.87</v>
      </c>
      <c r="F41" s="27">
        <v>329734482.27999997</v>
      </c>
      <c r="G41" s="20">
        <f t="shared" si="23"/>
        <v>99.983356470872536</v>
      </c>
      <c r="H41" s="27">
        <v>109309589.27</v>
      </c>
      <c r="I41" s="27">
        <v>109288602.16</v>
      </c>
      <c r="J41" s="20">
        <f t="shared" si="26"/>
        <v>99.980800302937595</v>
      </c>
      <c r="K41" s="27">
        <v>708712112.17999995</v>
      </c>
      <c r="L41" s="27">
        <v>708710823.29999995</v>
      </c>
      <c r="M41" s="20">
        <f t="shared" si="25"/>
        <v>99.999818137720837</v>
      </c>
      <c r="N41" s="13">
        <f t="shared" si="15"/>
        <v>548.35310141861987</v>
      </c>
      <c r="O41" s="13">
        <f t="shared" si="15"/>
        <v>548.47642781855484</v>
      </c>
    </row>
    <row r="42" spans="1:15" x14ac:dyDescent="0.25">
      <c r="A42" s="5" t="s">
        <v>54</v>
      </c>
      <c r="B42" s="27">
        <v>0</v>
      </c>
      <c r="C42" s="27">
        <v>0</v>
      </c>
      <c r="D42" s="20" t="str">
        <f t="shared" si="22"/>
        <v>-</v>
      </c>
      <c r="E42" s="27">
        <v>0</v>
      </c>
      <c r="F42" s="27">
        <v>0</v>
      </c>
      <c r="G42" s="20" t="str">
        <f t="shared" si="23"/>
        <v>-</v>
      </c>
      <c r="H42" s="27">
        <v>0</v>
      </c>
      <c r="I42" s="27">
        <v>0</v>
      </c>
      <c r="J42" s="20" t="str">
        <f t="shared" si="26"/>
        <v>-</v>
      </c>
      <c r="K42" s="27">
        <v>0</v>
      </c>
      <c r="L42" s="27">
        <v>0</v>
      </c>
      <c r="M42" s="20" t="str">
        <f t="shared" si="25"/>
        <v>-</v>
      </c>
      <c r="N42" s="13" t="str">
        <f t="shared" si="15"/>
        <v>-</v>
      </c>
      <c r="O42" s="13" t="str">
        <f t="shared" si="15"/>
        <v>-</v>
      </c>
    </row>
    <row r="43" spans="1:15" x14ac:dyDescent="0.25">
      <c r="A43" s="5" t="s">
        <v>55</v>
      </c>
      <c r="B43" s="27">
        <v>0</v>
      </c>
      <c r="C43" s="27">
        <v>0</v>
      </c>
      <c r="D43" s="20" t="str">
        <f t="shared" si="22"/>
        <v>-</v>
      </c>
      <c r="E43" s="27">
        <v>0</v>
      </c>
      <c r="F43" s="27">
        <v>0</v>
      </c>
      <c r="G43" s="20" t="str">
        <f t="shared" si="23"/>
        <v>-</v>
      </c>
      <c r="H43" s="27">
        <v>0</v>
      </c>
      <c r="I43" s="27">
        <v>0</v>
      </c>
      <c r="J43" s="20" t="str">
        <f t="shared" si="26"/>
        <v>-</v>
      </c>
      <c r="K43" s="27">
        <v>0</v>
      </c>
      <c r="L43" s="27">
        <v>0</v>
      </c>
      <c r="M43" s="20" t="str">
        <f t="shared" si="25"/>
        <v>-</v>
      </c>
      <c r="N43" s="13" t="str">
        <f t="shared" si="15"/>
        <v>-</v>
      </c>
      <c r="O43" s="13" t="str">
        <f t="shared" si="15"/>
        <v>-</v>
      </c>
    </row>
    <row r="44" spans="1:15" x14ac:dyDescent="0.25">
      <c r="A44" s="5" t="s">
        <v>56</v>
      </c>
      <c r="B44" s="1">
        <v>201606335.43000001</v>
      </c>
      <c r="C44" s="1">
        <v>201606335.43000001</v>
      </c>
      <c r="D44" s="20">
        <f t="shared" si="22"/>
        <v>100</v>
      </c>
      <c r="E44" s="27">
        <v>212272441.37</v>
      </c>
      <c r="F44" s="27">
        <v>212272441.37</v>
      </c>
      <c r="G44" s="20">
        <f t="shared" si="23"/>
        <v>100</v>
      </c>
      <c r="H44" s="27">
        <v>215830185.41</v>
      </c>
      <c r="I44" s="27">
        <v>215830185.41</v>
      </c>
      <c r="J44" s="20">
        <f t="shared" si="26"/>
        <v>100</v>
      </c>
      <c r="K44" s="27">
        <v>168379184.33000001</v>
      </c>
      <c r="L44" s="27">
        <v>168379184.33000001</v>
      </c>
      <c r="M44" s="20">
        <f t="shared" si="25"/>
        <v>100</v>
      </c>
      <c r="N44" s="13">
        <f t="shared" si="15"/>
        <v>-21.985340461001826</v>
      </c>
      <c r="O44" s="13">
        <f t="shared" si="15"/>
        <v>-21.985340461001826</v>
      </c>
    </row>
    <row r="45" spans="1:15" x14ac:dyDescent="0.25">
      <c r="A45" s="5" t="s">
        <v>57</v>
      </c>
      <c r="B45" s="1">
        <v>46867500.409999996</v>
      </c>
      <c r="C45" s="1">
        <v>46867500.409999996</v>
      </c>
      <c r="D45" s="20">
        <f t="shared" si="22"/>
        <v>100</v>
      </c>
      <c r="E45" s="27">
        <v>48517705.100000001</v>
      </c>
      <c r="F45" s="27">
        <v>48517705.100000001</v>
      </c>
      <c r="G45" s="20">
        <f t="shared" si="23"/>
        <v>100</v>
      </c>
      <c r="H45" s="27">
        <v>50226013.490000002</v>
      </c>
      <c r="I45" s="27">
        <v>50226013.490000002</v>
      </c>
      <c r="J45" s="20">
        <f t="shared" si="26"/>
        <v>100</v>
      </c>
      <c r="K45" s="27">
        <v>51994471.43</v>
      </c>
      <c r="L45" s="27">
        <v>51994471.43</v>
      </c>
      <c r="M45" s="20">
        <f t="shared" si="25"/>
        <v>100</v>
      </c>
      <c r="N45" s="13">
        <f t="shared" si="15"/>
        <v>3.5210000099890522</v>
      </c>
      <c r="O45" s="13">
        <f t="shared" si="15"/>
        <v>3.5210000099890522</v>
      </c>
    </row>
    <row r="46" spans="1:15" x14ac:dyDescent="0.25">
      <c r="A46" s="5" t="s">
        <v>58</v>
      </c>
      <c r="B46" s="27">
        <v>0</v>
      </c>
      <c r="C46" s="27">
        <v>0</v>
      </c>
      <c r="D46" s="20" t="str">
        <f t="shared" si="22"/>
        <v>-</v>
      </c>
      <c r="E46" s="27">
        <v>0</v>
      </c>
      <c r="F46" s="27">
        <v>0</v>
      </c>
      <c r="G46" s="20" t="str">
        <f t="shared" si="23"/>
        <v>-</v>
      </c>
      <c r="H46" s="27">
        <v>0</v>
      </c>
      <c r="I46" s="27">
        <v>0</v>
      </c>
      <c r="J46" s="20" t="str">
        <f t="shared" si="26"/>
        <v>-</v>
      </c>
      <c r="K46" s="27">
        <v>0</v>
      </c>
      <c r="L46" s="27">
        <v>0</v>
      </c>
      <c r="M46" s="20" t="str">
        <f t="shared" si="25"/>
        <v>-</v>
      </c>
      <c r="N46" s="13" t="str">
        <f t="shared" si="15"/>
        <v>-</v>
      </c>
      <c r="O46" s="13" t="str">
        <f t="shared" si="15"/>
        <v>-</v>
      </c>
    </row>
    <row r="47" spans="1:15" x14ac:dyDescent="0.25">
      <c r="A47" s="5" t="s">
        <v>59</v>
      </c>
      <c r="B47" s="27">
        <v>0</v>
      </c>
      <c r="C47" s="27">
        <v>0</v>
      </c>
      <c r="D47" s="20" t="str">
        <f t="shared" si="22"/>
        <v>-</v>
      </c>
      <c r="E47" s="27">
        <v>0</v>
      </c>
      <c r="F47" s="27">
        <v>0</v>
      </c>
      <c r="G47" s="20" t="str">
        <f t="shared" si="23"/>
        <v>-</v>
      </c>
      <c r="H47" s="27">
        <v>0</v>
      </c>
      <c r="I47" s="27">
        <v>0</v>
      </c>
      <c r="J47" s="20" t="str">
        <f t="shared" si="26"/>
        <v>-</v>
      </c>
      <c r="K47" s="27">
        <v>0</v>
      </c>
      <c r="L47" s="27">
        <v>0</v>
      </c>
      <c r="M47" s="20" t="str">
        <f t="shared" si="25"/>
        <v>-</v>
      </c>
      <c r="N47" s="13" t="str">
        <f t="shared" si="15"/>
        <v>-</v>
      </c>
      <c r="O47" s="13" t="str">
        <f t="shared" si="15"/>
        <v>-</v>
      </c>
    </row>
    <row r="48" spans="1:15" x14ac:dyDescent="0.25">
      <c r="A48" s="5" t="s">
        <v>60</v>
      </c>
      <c r="B48" s="1">
        <v>2672419951.5100002</v>
      </c>
      <c r="C48" s="27">
        <v>0</v>
      </c>
      <c r="D48" s="20">
        <f t="shared" si="22"/>
        <v>0</v>
      </c>
      <c r="E48" s="27">
        <v>2663050783.0100002</v>
      </c>
      <c r="F48" s="27">
        <v>0</v>
      </c>
      <c r="G48" s="20">
        <f t="shared" si="23"/>
        <v>0</v>
      </c>
      <c r="H48" s="27">
        <v>3991019494.3499999</v>
      </c>
      <c r="I48" s="27">
        <v>0</v>
      </c>
      <c r="J48" s="20">
        <f t="shared" si="26"/>
        <v>0</v>
      </c>
      <c r="K48" s="27">
        <v>2921174200.8699999</v>
      </c>
      <c r="L48" s="27">
        <v>0</v>
      </c>
      <c r="M48" s="20">
        <f t="shared" si="25"/>
        <v>0</v>
      </c>
      <c r="N48" s="13">
        <f t="shared" si="15"/>
        <v>-26.806315904859829</v>
      </c>
      <c r="O48" s="13" t="str">
        <f t="shared" si="15"/>
        <v>-</v>
      </c>
    </row>
    <row r="49" spans="1:15" x14ac:dyDescent="0.25">
      <c r="A49" s="5" t="s">
        <v>61</v>
      </c>
      <c r="B49" s="27">
        <v>80000</v>
      </c>
      <c r="C49" s="27">
        <v>0</v>
      </c>
      <c r="D49" s="20">
        <f t="shared" si="22"/>
        <v>0</v>
      </c>
      <c r="E49" s="27">
        <v>73987.600000000006</v>
      </c>
      <c r="F49" s="27">
        <v>0</v>
      </c>
      <c r="G49" s="20">
        <f t="shared" si="23"/>
        <v>0</v>
      </c>
      <c r="H49" s="27">
        <v>1521565.9</v>
      </c>
      <c r="I49" s="27">
        <v>0</v>
      </c>
      <c r="J49" s="20">
        <f t="shared" si="26"/>
        <v>0</v>
      </c>
      <c r="K49" s="27">
        <v>9656287.9800000004</v>
      </c>
      <c r="L49" s="27">
        <v>0</v>
      </c>
      <c r="M49" s="20">
        <f t="shared" si="25"/>
        <v>0</v>
      </c>
      <c r="N49" s="13">
        <f t="shared" si="15"/>
        <v>534.62831153090383</v>
      </c>
      <c r="O49" s="13" t="str">
        <f t="shared" si="15"/>
        <v>-</v>
      </c>
    </row>
    <row r="50" spans="1:15" x14ac:dyDescent="0.25">
      <c r="A50" s="5" t="s">
        <v>62</v>
      </c>
      <c r="B50" s="27">
        <f t="shared" ref="B50:C50" si="27">SUM(B23:B32)</f>
        <v>15710662403.040001</v>
      </c>
      <c r="C50" s="27">
        <f t="shared" si="27"/>
        <v>14525316717.290001</v>
      </c>
      <c r="D50" s="20">
        <f t="shared" si="22"/>
        <v>92.455151442114641</v>
      </c>
      <c r="E50" s="27">
        <f t="shared" ref="E50:F50" si="28">SUM(E23:E32)</f>
        <v>15334209731.200001</v>
      </c>
      <c r="F50" s="27">
        <f t="shared" si="28"/>
        <v>14110356434.620001</v>
      </c>
      <c r="G50" s="20">
        <f t="shared" si="23"/>
        <v>92.018804242061023</v>
      </c>
      <c r="H50" s="27">
        <v>15221627236.84</v>
      </c>
      <c r="I50" s="27">
        <v>14171473123.470001</v>
      </c>
      <c r="J50" s="20">
        <f t="shared" si="26"/>
        <v>93.100907695148564</v>
      </c>
      <c r="K50" s="27">
        <f t="shared" ref="K50:L50" si="29">SUM(K23:K32)</f>
        <v>15417575649.540001</v>
      </c>
      <c r="L50" s="27">
        <f t="shared" si="29"/>
        <v>14142560132.27</v>
      </c>
      <c r="M50" s="20">
        <f t="shared" si="25"/>
        <v>91.730116678181886</v>
      </c>
      <c r="N50" s="13">
        <f t="shared" si="15"/>
        <v>1.2873026625284751</v>
      </c>
      <c r="O50" s="13">
        <f t="shared" si="15"/>
        <v>-0.20402248198260509</v>
      </c>
    </row>
    <row r="51" spans="1:15" x14ac:dyDescent="0.25">
      <c r="A51" s="5" t="s">
        <v>63</v>
      </c>
      <c r="B51" s="27">
        <f t="shared" ref="B51:C51" si="30">SUM(B33:B37)</f>
        <v>1451540834.1400001</v>
      </c>
      <c r="C51" s="27">
        <f t="shared" si="30"/>
        <v>1001341131.1200001</v>
      </c>
      <c r="D51" s="20">
        <f t="shared" si="22"/>
        <v>68.9847028460118</v>
      </c>
      <c r="E51" s="27">
        <f t="shared" ref="E51:F51" si="31">SUM(E33:E37)</f>
        <v>1037941322.53</v>
      </c>
      <c r="F51" s="27">
        <f t="shared" si="31"/>
        <v>795238185.85000002</v>
      </c>
      <c r="G51" s="20">
        <f t="shared" si="23"/>
        <v>76.616873091784527</v>
      </c>
      <c r="H51" s="27">
        <v>1127197902.46</v>
      </c>
      <c r="I51" s="27">
        <v>744075607.12999988</v>
      </c>
      <c r="J51" s="20">
        <f t="shared" si="26"/>
        <v>66.011088692245352</v>
      </c>
      <c r="K51" s="27">
        <f t="shared" ref="K51:L51" si="32">SUM(K33:K37)</f>
        <v>1164988734.71</v>
      </c>
      <c r="L51" s="27">
        <f t="shared" si="32"/>
        <v>649948275.51999998</v>
      </c>
      <c r="M51" s="20">
        <f t="shared" si="25"/>
        <v>55.790091024510311</v>
      </c>
      <c r="N51" s="13">
        <f t="shared" si="15"/>
        <v>3.3526350756619649</v>
      </c>
      <c r="O51" s="13">
        <f t="shared" si="15"/>
        <v>-12.650237517268138</v>
      </c>
    </row>
    <row r="52" spans="1:15" x14ac:dyDescent="0.25">
      <c r="A52" s="5" t="s">
        <v>64</v>
      </c>
      <c r="B52" s="27">
        <f t="shared" ref="B52:C52" si="33">SUM(B38:B41)</f>
        <v>968568880.56000006</v>
      </c>
      <c r="C52" s="27">
        <f t="shared" si="33"/>
        <v>964158521.06000006</v>
      </c>
      <c r="D52" s="20">
        <f t="shared" si="22"/>
        <v>99.544651951087872</v>
      </c>
      <c r="E52" s="27">
        <f t="shared" ref="E52:F52" si="34">SUM(E38:E41)</f>
        <v>370549370.87</v>
      </c>
      <c r="F52" s="27">
        <f t="shared" si="34"/>
        <v>370494482.27999997</v>
      </c>
      <c r="G52" s="20">
        <f t="shared" si="23"/>
        <v>99.985187239727011</v>
      </c>
      <c r="H52" s="27">
        <v>172461858.26999998</v>
      </c>
      <c r="I52" s="27">
        <v>124288602.16</v>
      </c>
      <c r="J52" s="20">
        <f t="shared" si="26"/>
        <v>72.067298477915216</v>
      </c>
      <c r="K52" s="27">
        <f t="shared" ref="K52:L52" si="35">SUM(K38:K41)</f>
        <v>710712112.17999995</v>
      </c>
      <c r="L52" s="27">
        <f t="shared" si="35"/>
        <v>710710823.29999995</v>
      </c>
      <c r="M52" s="20">
        <f t="shared" si="25"/>
        <v>99.999818649495637</v>
      </c>
      <c r="N52" s="13">
        <f t="shared" si="15"/>
        <v>312.09814118280866</v>
      </c>
      <c r="O52" s="13">
        <f t="shared" si="15"/>
        <v>471.82300786123824</v>
      </c>
    </row>
    <row r="53" spans="1:15" x14ac:dyDescent="0.25">
      <c r="A53" s="5" t="s">
        <v>65</v>
      </c>
      <c r="B53" s="27">
        <f t="shared" ref="B53:C53" si="36">SUM(B42:B46)</f>
        <v>248473835.84</v>
      </c>
      <c r="C53" s="27">
        <f t="shared" si="36"/>
        <v>248473835.84</v>
      </c>
      <c r="D53" s="20">
        <f t="shared" si="22"/>
        <v>100</v>
      </c>
      <c r="E53" s="27">
        <f t="shared" ref="E53:F53" si="37">SUM(E42:E46)</f>
        <v>260790146.47</v>
      </c>
      <c r="F53" s="27">
        <f t="shared" si="37"/>
        <v>260790146.47</v>
      </c>
      <c r="G53" s="20">
        <f t="shared" si="23"/>
        <v>100</v>
      </c>
      <c r="H53" s="27">
        <v>266056198.90000001</v>
      </c>
      <c r="I53" s="27">
        <v>266056198.90000001</v>
      </c>
      <c r="J53" s="20">
        <f t="shared" si="26"/>
        <v>100</v>
      </c>
      <c r="K53" s="27">
        <f t="shared" ref="K53:L53" si="38">SUM(K42:K46)</f>
        <v>220373655.76000002</v>
      </c>
      <c r="L53" s="27">
        <f t="shared" si="38"/>
        <v>220373655.76000002</v>
      </c>
      <c r="M53" s="20">
        <f t="shared" si="25"/>
        <v>100</v>
      </c>
      <c r="N53" s="13">
        <f t="shared" si="15"/>
        <v>-17.170260767789983</v>
      </c>
      <c r="O53" s="13">
        <f t="shared" si="15"/>
        <v>-17.170260767789983</v>
      </c>
    </row>
    <row r="54" spans="1:15" x14ac:dyDescent="0.25">
      <c r="A54" s="5" t="s">
        <v>66</v>
      </c>
      <c r="B54" s="27">
        <f t="shared" ref="B54:C54" si="39">B47</f>
        <v>0</v>
      </c>
      <c r="C54" s="27">
        <f t="shared" si="39"/>
        <v>0</v>
      </c>
      <c r="D54" s="20" t="str">
        <f t="shared" si="22"/>
        <v>-</v>
      </c>
      <c r="E54" s="27">
        <f t="shared" ref="E54:F54" si="40">E47</f>
        <v>0</v>
      </c>
      <c r="F54" s="27">
        <f t="shared" si="40"/>
        <v>0</v>
      </c>
      <c r="G54" s="20" t="str">
        <f t="shared" si="23"/>
        <v>-</v>
      </c>
      <c r="H54" s="27">
        <v>0</v>
      </c>
      <c r="I54" s="27">
        <v>0</v>
      </c>
      <c r="J54" s="20" t="str">
        <f t="shared" si="26"/>
        <v>-</v>
      </c>
      <c r="K54" s="27">
        <f t="shared" ref="K54:L54" si="41">K47</f>
        <v>0</v>
      </c>
      <c r="L54" s="27">
        <f t="shared" si="41"/>
        <v>0</v>
      </c>
      <c r="M54" s="20" t="str">
        <f t="shared" si="25"/>
        <v>-</v>
      </c>
      <c r="N54" s="13" t="str">
        <f t="shared" si="15"/>
        <v>-</v>
      </c>
      <c r="O54" s="13" t="str">
        <f t="shared" si="15"/>
        <v>-</v>
      </c>
    </row>
    <row r="55" spans="1:15" x14ac:dyDescent="0.25">
      <c r="A55" s="5" t="s">
        <v>67</v>
      </c>
      <c r="B55" s="27">
        <f>SUM(B48:B49)</f>
        <v>2672499951.5100002</v>
      </c>
      <c r="C55" s="29">
        <v>2409886990.5900002</v>
      </c>
      <c r="D55" s="20">
        <f t="shared" si="22"/>
        <v>90.173509235365188</v>
      </c>
      <c r="E55" s="27">
        <f>SUM(E48:E49)</f>
        <v>2663124770.6100001</v>
      </c>
      <c r="F55" s="29">
        <v>2432756880.8299999</v>
      </c>
      <c r="G55" s="20">
        <f t="shared" si="23"/>
        <v>91.349714729016114</v>
      </c>
      <c r="H55" s="27">
        <v>3992541060.25</v>
      </c>
      <c r="I55" s="29">
        <v>3108417440.75</v>
      </c>
      <c r="J55" s="20">
        <f t="shared" si="26"/>
        <v>77.855616106183788</v>
      </c>
      <c r="K55" s="27">
        <f>SUM(K48:K49)</f>
        <v>2930830488.8499999</v>
      </c>
      <c r="L55" s="29">
        <v>2683926236.27</v>
      </c>
      <c r="M55" s="20">
        <f t="shared" si="25"/>
        <v>91.575621533919545</v>
      </c>
      <c r="N55" s="13">
        <f t="shared" si="15"/>
        <v>-26.592351972793978</v>
      </c>
      <c r="O55" s="13">
        <f t="shared" si="15"/>
        <v>-13.656183976936461</v>
      </c>
    </row>
    <row r="56" spans="1:15" x14ac:dyDescent="0.25">
      <c r="A56" s="5" t="s">
        <v>68</v>
      </c>
      <c r="B56" s="19">
        <f t="shared" ref="B56:C56" si="42">SUM(B50:B55)</f>
        <v>21051745905.090004</v>
      </c>
      <c r="C56" s="19">
        <f t="shared" si="42"/>
        <v>19149177195.900002</v>
      </c>
      <c r="D56" s="20">
        <f t="shared" si="22"/>
        <v>90.962418424735077</v>
      </c>
      <c r="E56" s="19">
        <f t="shared" ref="E56:F56" si="43">SUM(E50:E55)</f>
        <v>19666615341.68</v>
      </c>
      <c r="F56" s="19">
        <f t="shared" si="43"/>
        <v>17969636130.050003</v>
      </c>
      <c r="G56" s="20">
        <f t="shared" si="23"/>
        <v>91.371269625467562</v>
      </c>
      <c r="H56" s="24">
        <f t="shared" ref="H56:I56" si="44">SUM(H50:H55)</f>
        <v>20779884256.720001</v>
      </c>
      <c r="I56" s="19">
        <f t="shared" si="44"/>
        <v>18414310972.41</v>
      </c>
      <c r="J56" s="20">
        <f t="shared" si="26"/>
        <v>88.616042057380568</v>
      </c>
      <c r="K56" s="24">
        <f t="shared" ref="K56:L56" si="45">SUM(K50:K55)</f>
        <v>20444480641.039997</v>
      </c>
      <c r="L56" s="19">
        <f t="shared" si="45"/>
        <v>18407519123.119999</v>
      </c>
      <c r="M56" s="20">
        <f t="shared" si="25"/>
        <v>90.036618911066739</v>
      </c>
      <c r="N56" s="13">
        <f t="shared" si="15"/>
        <v>-1.6140783631724958</v>
      </c>
      <c r="O56" s="13">
        <f t="shared" si="15"/>
        <v>-3.6883537484385442E-2</v>
      </c>
    </row>
    <row r="57" spans="1:15" x14ac:dyDescent="0.25">
      <c r="A57" s="14" t="s">
        <v>69</v>
      </c>
      <c r="B57" s="15">
        <f t="shared" ref="B57:C57" si="46">B56-B55</f>
        <v>18379245953.580002</v>
      </c>
      <c r="C57" s="15">
        <f t="shared" si="46"/>
        <v>16739290205.310001</v>
      </c>
      <c r="D57" s="21">
        <f t="shared" si="22"/>
        <v>91.077132585243177</v>
      </c>
      <c r="E57" s="15">
        <f t="shared" ref="E57:F57" si="47">E56-E55</f>
        <v>17003490571.07</v>
      </c>
      <c r="F57" s="15">
        <f t="shared" si="47"/>
        <v>15536879249.220003</v>
      </c>
      <c r="G57" s="21">
        <f t="shared" si="23"/>
        <v>91.37464560161952</v>
      </c>
      <c r="H57" s="25">
        <f t="shared" ref="H57:I57" si="48">H56-H55</f>
        <v>16787343196.470001</v>
      </c>
      <c r="I57" s="15">
        <f t="shared" si="48"/>
        <v>15305893531.66</v>
      </c>
      <c r="J57" s="21">
        <f t="shared" si="26"/>
        <v>91.175198794282608</v>
      </c>
      <c r="K57" s="25">
        <f t="shared" ref="K57:L57" si="49">K56-K55</f>
        <v>17513650152.189999</v>
      </c>
      <c r="L57" s="15">
        <f t="shared" si="49"/>
        <v>15723592886.849998</v>
      </c>
      <c r="M57" s="21">
        <f t="shared" si="25"/>
        <v>89.779073752274527</v>
      </c>
      <c r="N57" s="16">
        <f t="shared" si="15"/>
        <v>4.3265152038633801</v>
      </c>
      <c r="O57" s="16">
        <f t="shared" si="15"/>
        <v>2.7290099354604394</v>
      </c>
    </row>
    <row r="58" spans="1:15" x14ac:dyDescent="0.25">
      <c r="A58" s="5" t="s">
        <v>70</v>
      </c>
      <c r="B58" s="19">
        <f>B14-B50</f>
        <v>267989845.75999832</v>
      </c>
      <c r="C58" s="19">
        <f>C14-C50</f>
        <v>574277827.05999947</v>
      </c>
      <c r="D58" s="22"/>
      <c r="E58" s="19">
        <f>E14-E50</f>
        <v>481714716.52999878</v>
      </c>
      <c r="F58" s="19">
        <f>F14-F50</f>
        <v>703758586.3599987</v>
      </c>
      <c r="G58" s="22"/>
      <c r="H58" s="19">
        <f>H14-H50</f>
        <v>380249252.90999985</v>
      </c>
      <c r="I58" s="19">
        <f>I14-I50</f>
        <v>627165791.44999886</v>
      </c>
      <c r="J58" s="22"/>
      <c r="K58" s="19">
        <f>K14-K50</f>
        <v>916328940.40999794</v>
      </c>
      <c r="L58" s="19">
        <f>L14-L50</f>
        <v>1386147112.8000011</v>
      </c>
      <c r="M58" s="22"/>
      <c r="N58" s="13">
        <f t="shared" si="15"/>
        <v>140.98112840392125</v>
      </c>
      <c r="O58" s="13">
        <f t="shared" si="15"/>
        <v>121.01765301886886</v>
      </c>
    </row>
    <row r="59" spans="1:15" x14ac:dyDescent="0.25">
      <c r="A59" s="5" t="s">
        <v>71</v>
      </c>
      <c r="B59" s="19">
        <f>B15-B51</f>
        <v>26199945.049999952</v>
      </c>
      <c r="C59" s="19">
        <f>C15-C51</f>
        <v>-316138399.43000019</v>
      </c>
      <c r="D59" s="22"/>
      <c r="E59" s="19">
        <f>E15-E51</f>
        <v>30844589.200000167</v>
      </c>
      <c r="F59" s="19">
        <f>F15-F51</f>
        <v>-379536869.45999998</v>
      </c>
      <c r="G59" s="22"/>
      <c r="H59" s="19">
        <f>H15-H51</f>
        <v>-457993349.09000003</v>
      </c>
      <c r="I59" s="19">
        <f>I15-I51</f>
        <v>-524483437.17999989</v>
      </c>
      <c r="J59" s="22"/>
      <c r="K59" s="19">
        <f>K15-K51</f>
        <v>-109150125.38000011</v>
      </c>
      <c r="L59" s="19">
        <f>L15-L51</f>
        <v>71894538.470000029</v>
      </c>
      <c r="M59" s="22"/>
      <c r="N59" s="13" t="str">
        <f t="shared" si="15"/>
        <v>-</v>
      </c>
      <c r="O59" s="13" t="str">
        <f t="shared" si="15"/>
        <v>-</v>
      </c>
    </row>
    <row r="60" spans="1:15" x14ac:dyDescent="0.25">
      <c r="A60" s="5" t="s">
        <v>367</v>
      </c>
      <c r="B60" s="19">
        <f>SUM(B14:B16)-SUM(B50:B52)</f>
        <v>363551213.44999695</v>
      </c>
      <c r="C60" s="19">
        <f>SUM(C14:C16)-SUM(C50:C52)</f>
        <v>273820105.18000031</v>
      </c>
      <c r="D60" s="22"/>
      <c r="E60" s="19">
        <f>SUM(E14:E16)-SUM(E50:E52)</f>
        <v>542195311.16999817</v>
      </c>
      <c r="F60" s="19">
        <f>SUM(F14:F16)-SUM(F50:F52)</f>
        <v>289964067.62999725</v>
      </c>
      <c r="G60" s="22"/>
      <c r="H60" s="19">
        <f>SUM(H14:H16)-SUM(H50:H52)</f>
        <v>-161739739.05999947</v>
      </c>
      <c r="I60" s="19">
        <f>SUM(I14:I16)-SUM(I50:I52)</f>
        <v>32201904.700000763</v>
      </c>
      <c r="J60" s="22"/>
      <c r="K60" s="19">
        <f>SUM(K14:K16)-SUM(K50:K52)</f>
        <v>782674113.7899971</v>
      </c>
      <c r="L60" s="19">
        <f>SUM(L14:L16)-SUM(L50:L52)</f>
        <v>1433153999.7200012</v>
      </c>
      <c r="M60" s="22"/>
      <c r="N60" s="13" t="str">
        <f t="shared" si="15"/>
        <v>-</v>
      </c>
      <c r="O60" s="13">
        <f t="shared" si="15"/>
        <v>4350.5255607441359</v>
      </c>
    </row>
    <row r="61" spans="1:15" x14ac:dyDescent="0.25">
      <c r="A61" s="5" t="s">
        <v>368</v>
      </c>
      <c r="B61" s="28">
        <f>B21-B57</f>
        <v>183300517.60999298</v>
      </c>
      <c r="C61" s="28">
        <f>C21-C57</f>
        <v>90346269.34000206</v>
      </c>
      <c r="D61" s="110"/>
      <c r="E61" s="28">
        <f>E21-E57</f>
        <v>281405164.70000076</v>
      </c>
      <c r="F61" s="28">
        <f>F21-F57</f>
        <v>29173921.15999794</v>
      </c>
      <c r="G61" s="110"/>
      <c r="H61" s="28">
        <f>H21-H57</f>
        <v>-427795937.95999908</v>
      </c>
      <c r="I61" s="28">
        <f>I21-I57</f>
        <v>-233854294.20000076</v>
      </c>
      <c r="J61" s="110"/>
      <c r="K61" s="28">
        <f>K21-K57</f>
        <v>562300458.02999878</v>
      </c>
      <c r="L61" s="28">
        <f>L21-L57</f>
        <v>1212780343.9600029</v>
      </c>
      <c r="M61" s="110"/>
    </row>
    <row r="62" spans="1:15" x14ac:dyDescent="0.25">
      <c r="A62" s="5" t="s">
        <v>369</v>
      </c>
      <c r="C62" s="6">
        <f>SUM(C14:C16)/SUM(B14:B16)*100</f>
        <v>90.647471521042661</v>
      </c>
      <c r="D62" s="110"/>
      <c r="F62" s="6">
        <f>SUM(F14:F16)/SUM(E14:E16)*100</f>
        <v>90.055811781190172</v>
      </c>
      <c r="G62" s="110"/>
      <c r="I62" s="6">
        <f>SUM(I14:I16)/SUM(H14:H16)*100</f>
        <v>92.129928776725436</v>
      </c>
      <c r="J62" s="110"/>
      <c r="L62" s="6">
        <f>SUM(L14:L16)/SUM(K14:K16)*100</f>
        <v>93.69561577156729</v>
      </c>
      <c r="M62" s="110"/>
    </row>
    <row r="63" spans="1:15" x14ac:dyDescent="0.25">
      <c r="A63" s="5" t="s">
        <v>370</v>
      </c>
      <c r="C63" s="6">
        <f>SUM(C50:C52)/SUM(B50:B52)*100</f>
        <v>90.954848819342942</v>
      </c>
      <c r="D63" s="110"/>
      <c r="F63" s="6">
        <f>SUM(F50:F52)/SUM(E50:E52)*100</f>
        <v>91.24029407051259</v>
      </c>
      <c r="G63" s="110"/>
      <c r="I63" s="6">
        <f>SUM(I50:I52)/SUM(H50:H52)*100</f>
        <v>91.033085588139144</v>
      </c>
      <c r="J63" s="110"/>
      <c r="L63" s="6">
        <f>SUM(L50:L52)/SUM(K50:K52)*100</f>
        <v>89.648825277792</v>
      </c>
      <c r="M63" s="110"/>
    </row>
  </sheetData>
  <mergeCells count="5">
    <mergeCell ref="N1:O1"/>
    <mergeCell ref="B1:D1"/>
    <mergeCell ref="E1:G1"/>
    <mergeCell ref="K1:M1"/>
    <mergeCell ref="H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78" workbookViewId="0">
      <selection activeCell="F92" sqref="F92:G95"/>
    </sheetView>
  </sheetViews>
  <sheetFormatPr defaultRowHeight="15" x14ac:dyDescent="0.25"/>
  <cols>
    <col min="2" max="2" width="83.28515625" bestFit="1" customWidth="1"/>
    <col min="3" max="3" width="11.85546875" customWidth="1"/>
  </cols>
  <sheetData>
    <row r="1" spans="1:7" x14ac:dyDescent="0.25">
      <c r="A1" s="121" t="s">
        <v>209</v>
      </c>
      <c r="B1" s="121"/>
      <c r="C1" s="2" t="s">
        <v>210</v>
      </c>
      <c r="D1" s="96">
        <v>2016</v>
      </c>
      <c r="E1" s="96">
        <v>2017</v>
      </c>
      <c r="F1" s="96">
        <v>2018</v>
      </c>
      <c r="G1" s="96">
        <v>2019</v>
      </c>
    </row>
    <row r="2" spans="1:7" x14ac:dyDescent="0.25">
      <c r="A2" t="s">
        <v>76</v>
      </c>
    </row>
    <row r="3" spans="1:7" x14ac:dyDescent="0.25">
      <c r="A3" s="8" t="s">
        <v>77</v>
      </c>
      <c r="B3" s="8" t="s">
        <v>78</v>
      </c>
      <c r="C3" s="9">
        <v>48</v>
      </c>
      <c r="D3" s="7">
        <v>21.3599</v>
      </c>
      <c r="E3" s="7">
        <v>21.85</v>
      </c>
      <c r="F3" s="7">
        <v>13.62</v>
      </c>
      <c r="G3" s="7">
        <v>9.82</v>
      </c>
    </row>
    <row r="4" spans="1:7" x14ac:dyDescent="0.25">
      <c r="A4" t="s">
        <v>79</v>
      </c>
      <c r="D4" s="7"/>
      <c r="E4" s="7"/>
      <c r="F4" s="7"/>
      <c r="G4" s="7"/>
    </row>
    <row r="5" spans="1:7" x14ac:dyDescent="0.25">
      <c r="A5" t="s">
        <v>80</v>
      </c>
      <c r="B5" t="s">
        <v>81</v>
      </c>
      <c r="D5" s="7">
        <v>103.4576</v>
      </c>
      <c r="E5" s="7">
        <v>102.3291</v>
      </c>
      <c r="F5" s="7">
        <v>95.15</v>
      </c>
      <c r="G5" s="7">
        <v>102.14</v>
      </c>
    </row>
    <row r="6" spans="1:7" x14ac:dyDescent="0.25">
      <c r="A6" t="s">
        <v>82</v>
      </c>
      <c r="B6" t="s">
        <v>83</v>
      </c>
      <c r="D6" s="7">
        <v>98.358800000000002</v>
      </c>
      <c r="E6" s="7">
        <v>95.465500000000006</v>
      </c>
      <c r="F6" s="7">
        <v>92.51</v>
      </c>
      <c r="G6" s="7">
        <v>97.27</v>
      </c>
    </row>
    <row r="7" spans="1:7" x14ac:dyDescent="0.25">
      <c r="A7" t="s">
        <v>84</v>
      </c>
      <c r="B7" t="s">
        <v>85</v>
      </c>
      <c r="D7" s="7">
        <v>59.190300000000001</v>
      </c>
      <c r="E7" s="7">
        <v>77.105000000000004</v>
      </c>
      <c r="F7" s="7">
        <v>74.75</v>
      </c>
      <c r="G7" s="7">
        <v>78.510000000000005</v>
      </c>
    </row>
    <row r="8" spans="1:7" x14ac:dyDescent="0.25">
      <c r="A8" t="s">
        <v>86</v>
      </c>
      <c r="B8" t="s">
        <v>87</v>
      </c>
      <c r="D8" s="7">
        <v>56.273200000000003</v>
      </c>
      <c r="E8" s="7">
        <v>71.933300000000003</v>
      </c>
      <c r="F8" s="7">
        <v>72.67</v>
      </c>
      <c r="G8" s="7">
        <v>74.760000000000005</v>
      </c>
    </row>
    <row r="9" spans="1:7" x14ac:dyDescent="0.25">
      <c r="A9" t="s">
        <v>88</v>
      </c>
      <c r="B9" t="s">
        <v>89</v>
      </c>
      <c r="D9" s="7">
        <v>136.30189999999999</v>
      </c>
      <c r="E9" s="7">
        <v>132.17400000000001</v>
      </c>
      <c r="F9" s="7">
        <v>119.15</v>
      </c>
      <c r="G9" s="7">
        <v>133.03</v>
      </c>
    </row>
    <row r="10" spans="1:7" x14ac:dyDescent="0.25">
      <c r="A10" t="s">
        <v>90</v>
      </c>
      <c r="B10" t="s">
        <v>91</v>
      </c>
      <c r="D10" s="7">
        <v>130.191</v>
      </c>
      <c r="E10" s="7">
        <v>122.48309999999999</v>
      </c>
      <c r="F10" s="7">
        <v>124.79</v>
      </c>
      <c r="G10" s="7">
        <v>129.12</v>
      </c>
    </row>
    <row r="11" spans="1:7" x14ac:dyDescent="0.25">
      <c r="A11" t="s">
        <v>92</v>
      </c>
      <c r="B11" t="s">
        <v>93</v>
      </c>
      <c r="D11" s="7">
        <v>59.767899999999997</v>
      </c>
      <c r="E11" s="7">
        <v>78.446399999999997</v>
      </c>
      <c r="F11" s="7">
        <v>75.73</v>
      </c>
      <c r="G11" s="7">
        <v>79.47</v>
      </c>
    </row>
    <row r="12" spans="1:7" x14ac:dyDescent="0.25">
      <c r="A12" s="8" t="s">
        <v>94</v>
      </c>
      <c r="B12" s="8" t="s">
        <v>95</v>
      </c>
      <c r="C12" s="9">
        <v>22</v>
      </c>
      <c r="D12" s="7">
        <v>56.822299999999998</v>
      </c>
      <c r="E12" s="7">
        <v>73.184700000000007</v>
      </c>
      <c r="F12" s="7">
        <v>73.63</v>
      </c>
      <c r="G12" s="7">
        <v>75.680000000000007</v>
      </c>
    </row>
    <row r="13" spans="1:7" x14ac:dyDescent="0.25">
      <c r="A13" t="s">
        <v>96</v>
      </c>
      <c r="D13" s="7"/>
      <c r="E13" s="7"/>
      <c r="F13" s="7"/>
      <c r="G13" s="7"/>
    </row>
    <row r="14" spans="1:7" x14ac:dyDescent="0.25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t="s">
        <v>101</v>
      </c>
      <c r="D16" s="7"/>
      <c r="E16" s="7"/>
      <c r="F16" s="7"/>
      <c r="G16" s="7"/>
    </row>
    <row r="17" spans="1:7" x14ac:dyDescent="0.25">
      <c r="A17" t="s">
        <v>102</v>
      </c>
      <c r="B17" t="s">
        <v>103</v>
      </c>
      <c r="D17" s="7">
        <v>9.0792000000000002</v>
      </c>
      <c r="E17" s="7">
        <v>5.6433999999999997</v>
      </c>
      <c r="F17" s="7">
        <v>5.39</v>
      </c>
      <c r="G17" s="7">
        <v>5.14</v>
      </c>
    </row>
    <row r="18" spans="1:7" x14ac:dyDescent="0.25">
      <c r="A18" t="s">
        <v>104</v>
      </c>
      <c r="B18" t="s">
        <v>105</v>
      </c>
      <c r="D18" s="7">
        <v>2.0714000000000001</v>
      </c>
      <c r="E18" s="7">
        <v>12.5783</v>
      </c>
      <c r="F18" s="7">
        <v>11.73</v>
      </c>
      <c r="G18" s="7">
        <v>7.58</v>
      </c>
    </row>
    <row r="19" spans="1:7" x14ac:dyDescent="0.25">
      <c r="A19" t="s">
        <v>106</v>
      </c>
      <c r="B19" t="s">
        <v>107</v>
      </c>
      <c r="D19" s="7">
        <v>5.6593</v>
      </c>
      <c r="E19" s="7">
        <v>9.2687000000000008</v>
      </c>
      <c r="F19" s="7">
        <v>11.4</v>
      </c>
      <c r="G19" s="7">
        <v>13.12</v>
      </c>
    </row>
    <row r="20" spans="1:7" x14ac:dyDescent="0.25">
      <c r="A20" t="s">
        <v>108</v>
      </c>
      <c r="B20" t="s">
        <v>109</v>
      </c>
      <c r="D20" s="7">
        <v>279.85919999999999</v>
      </c>
      <c r="E20" s="7">
        <v>170.58279999999999</v>
      </c>
      <c r="F20" s="7">
        <v>162.07</v>
      </c>
      <c r="G20" s="7">
        <v>157</v>
      </c>
    </row>
    <row r="21" spans="1:7" x14ac:dyDescent="0.25">
      <c r="A21" t="s">
        <v>110</v>
      </c>
      <c r="D21" s="7"/>
      <c r="E21" s="7"/>
      <c r="F21" s="7"/>
      <c r="G21" s="7"/>
    </row>
    <row r="22" spans="1:7" x14ac:dyDescent="0.25">
      <c r="A22" t="s">
        <v>111</v>
      </c>
      <c r="B22" t="s">
        <v>112</v>
      </c>
      <c r="D22" s="7">
        <v>3.1915</v>
      </c>
      <c r="E22" s="7">
        <v>3.28</v>
      </c>
      <c r="F22" s="7">
        <v>2.97</v>
      </c>
      <c r="G22" s="7">
        <v>2.83</v>
      </c>
    </row>
    <row r="23" spans="1:7" x14ac:dyDescent="0.25">
      <c r="A23" t="s">
        <v>113</v>
      </c>
      <c r="D23" s="7"/>
      <c r="E23" s="7"/>
      <c r="F23" s="7"/>
      <c r="G23" s="7"/>
    </row>
    <row r="24" spans="1:7" x14ac:dyDescent="0.25">
      <c r="A24" t="s">
        <v>114</v>
      </c>
      <c r="B24" t="s">
        <v>115</v>
      </c>
      <c r="D24" s="7">
        <v>1.9502000000000002</v>
      </c>
      <c r="E24" s="7">
        <v>2.46</v>
      </c>
      <c r="F24" s="7">
        <v>1.77</v>
      </c>
      <c r="G24" s="7">
        <v>1.34</v>
      </c>
    </row>
    <row r="25" spans="1:7" x14ac:dyDescent="0.25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t="s">
        <v>120</v>
      </c>
      <c r="D27" s="7"/>
      <c r="E27" s="7"/>
      <c r="F27" s="7"/>
      <c r="G27" s="7"/>
    </row>
    <row r="28" spans="1:7" x14ac:dyDescent="0.25">
      <c r="A28" t="s">
        <v>121</v>
      </c>
      <c r="B28" t="s">
        <v>122</v>
      </c>
      <c r="D28" s="7">
        <v>7.5247999999999999</v>
      </c>
      <c r="E28" s="7">
        <v>5.5848293353101317</v>
      </c>
      <c r="F28" s="7">
        <v>6.39</v>
      </c>
      <c r="G28" s="7">
        <v>6.2</v>
      </c>
    </row>
    <row r="29" spans="1:7" x14ac:dyDescent="0.25">
      <c r="A29" t="s">
        <v>123</v>
      </c>
      <c r="B29" t="s">
        <v>124</v>
      </c>
      <c r="D29" s="7">
        <v>36.758099999999999</v>
      </c>
      <c r="E29" s="7">
        <v>33.866926313337252</v>
      </c>
      <c r="F29" s="7">
        <v>47.89</v>
      </c>
      <c r="G29" s="7">
        <v>32.92</v>
      </c>
    </row>
    <row r="30" spans="1:7" x14ac:dyDescent="0.25">
      <c r="A30" t="s">
        <v>125</v>
      </c>
      <c r="B30" t="s">
        <v>126</v>
      </c>
      <c r="D30" s="7">
        <v>217.74770000000001</v>
      </c>
      <c r="E30" s="7">
        <v>146.956014225649</v>
      </c>
      <c r="F30" s="7">
        <v>160.02000000000001</v>
      </c>
      <c r="G30" s="7">
        <v>171.52</v>
      </c>
    </row>
    <row r="31" spans="1:7" x14ac:dyDescent="0.25">
      <c r="A31" t="s">
        <v>127</v>
      </c>
      <c r="B31" t="s">
        <v>128</v>
      </c>
      <c r="D31" s="7">
        <v>254.50569999999999</v>
      </c>
      <c r="E31" s="7">
        <v>180.82294053898624</v>
      </c>
      <c r="F31" s="7">
        <v>207.91</v>
      </c>
      <c r="G31" s="7">
        <v>204.45</v>
      </c>
    </row>
    <row r="32" spans="1:7" x14ac:dyDescent="0.25">
      <c r="A32" t="s">
        <v>129</v>
      </c>
      <c r="B32" t="s">
        <v>130</v>
      </c>
      <c r="D32" s="7">
        <v>20.7514</v>
      </c>
      <c r="E32" s="7">
        <v>52.683500000000002</v>
      </c>
      <c r="F32" s="7">
        <v>36.380000000000003</v>
      </c>
      <c r="G32" s="7">
        <v>96.95</v>
      </c>
    </row>
    <row r="33" spans="1:7" x14ac:dyDescent="0.25">
      <c r="A33" t="s">
        <v>131</v>
      </c>
      <c r="B33" t="s">
        <v>132</v>
      </c>
      <c r="D33" s="7">
        <v>3.5571000000000002</v>
      </c>
      <c r="E33" s="7">
        <v>4.4219999999999997</v>
      </c>
      <c r="F33" s="7">
        <v>4.38</v>
      </c>
      <c r="G33" s="7">
        <v>3.82</v>
      </c>
    </row>
    <row r="34" spans="1:7" x14ac:dyDescent="0.25">
      <c r="A34" t="s">
        <v>133</v>
      </c>
      <c r="B34" t="s">
        <v>134</v>
      </c>
      <c r="D34" s="7">
        <v>3.4986999999999999</v>
      </c>
      <c r="E34" s="7">
        <v>0</v>
      </c>
      <c r="F34" s="7">
        <v>0</v>
      </c>
      <c r="G34" s="7">
        <v>0</v>
      </c>
    </row>
    <row r="35" spans="1:7" x14ac:dyDescent="0.25">
      <c r="A35" t="s">
        <v>135</v>
      </c>
      <c r="D35" s="7"/>
      <c r="E35" s="7"/>
      <c r="F35" s="7"/>
      <c r="G35" s="7"/>
    </row>
    <row r="36" spans="1:7" x14ac:dyDescent="0.25">
      <c r="A36" t="s">
        <v>136</v>
      </c>
      <c r="B36" t="s">
        <v>137</v>
      </c>
      <c r="D36" s="7">
        <v>71.1875</v>
      </c>
      <c r="E36" s="7">
        <v>76.260999999999996</v>
      </c>
      <c r="F36" s="7">
        <v>64.734083491491901</v>
      </c>
      <c r="G36" s="7">
        <v>66.3919463122119</v>
      </c>
    </row>
    <row r="37" spans="1:7" x14ac:dyDescent="0.25">
      <c r="A37" t="s">
        <v>138</v>
      </c>
      <c r="B37" t="s">
        <v>139</v>
      </c>
      <c r="D37" s="7">
        <v>90.2393</v>
      </c>
      <c r="E37" s="7">
        <v>78.38</v>
      </c>
      <c r="F37" s="7">
        <v>61.917618255517368</v>
      </c>
      <c r="G37" s="7">
        <v>72.037037463760157</v>
      </c>
    </row>
    <row r="38" spans="1:7" x14ac:dyDescent="0.25">
      <c r="A38" t="s">
        <v>140</v>
      </c>
      <c r="B38" t="s">
        <v>141</v>
      </c>
      <c r="D38" s="7">
        <v>100</v>
      </c>
      <c r="E38" s="7">
        <v>100</v>
      </c>
      <c r="F38" s="7">
        <v>99.94</v>
      </c>
      <c r="G38" s="7">
        <v>7.74</v>
      </c>
    </row>
    <row r="39" spans="1:7" x14ac:dyDescent="0.25">
      <c r="A39" t="s">
        <v>142</v>
      </c>
      <c r="B39" t="s">
        <v>143</v>
      </c>
      <c r="D39" s="7">
        <v>46.104900000000001</v>
      </c>
      <c r="E39" s="7">
        <v>54.980899999999998</v>
      </c>
      <c r="F39" s="7">
        <v>35.992691640782503</v>
      </c>
      <c r="G39" s="7">
        <v>39.407286272659739</v>
      </c>
    </row>
    <row r="40" spans="1:7" x14ac:dyDescent="0.25">
      <c r="A40" t="s">
        <v>144</v>
      </c>
      <c r="B40" t="s">
        <v>145</v>
      </c>
      <c r="D40" s="7">
        <v>82.128200000000007</v>
      </c>
      <c r="E40" s="7">
        <v>81.934200000000004</v>
      </c>
      <c r="F40" s="7">
        <v>26.470180088147679</v>
      </c>
      <c r="G40" s="7">
        <v>19.129537916376083</v>
      </c>
    </row>
    <row r="41" spans="1:7" x14ac:dyDescent="0.25">
      <c r="A41" t="s">
        <v>146</v>
      </c>
      <c r="B41" t="s">
        <v>147</v>
      </c>
      <c r="D41" s="7">
        <v>77.896799999999999</v>
      </c>
      <c r="E41" s="7">
        <v>60.571199999999997</v>
      </c>
      <c r="F41" s="7">
        <v>28.39</v>
      </c>
      <c r="G41" s="7">
        <v>0.43</v>
      </c>
    </row>
    <row r="42" spans="1:7" x14ac:dyDescent="0.25">
      <c r="A42" t="s">
        <v>148</v>
      </c>
      <c r="D42" s="7"/>
      <c r="E42" s="7"/>
      <c r="F42" s="7"/>
      <c r="G42" s="7"/>
    </row>
    <row r="43" spans="1:7" x14ac:dyDescent="0.25">
      <c r="A43" t="s">
        <v>149</v>
      </c>
      <c r="B43" t="s">
        <v>150</v>
      </c>
      <c r="D43" s="7">
        <v>89.343299999999999</v>
      </c>
      <c r="E43" s="7">
        <v>81.402500000000003</v>
      </c>
      <c r="F43" s="7">
        <v>85.78</v>
      </c>
      <c r="G43" s="7">
        <v>89.65</v>
      </c>
    </row>
    <row r="44" spans="1:7" x14ac:dyDescent="0.25">
      <c r="A44" t="s">
        <v>151</v>
      </c>
      <c r="B44" t="s">
        <v>152</v>
      </c>
      <c r="D44" s="7">
        <v>32.206499999999998</v>
      </c>
      <c r="E44" s="7">
        <v>15.5191</v>
      </c>
      <c r="F44" s="7">
        <v>43.59</v>
      </c>
      <c r="G44" s="7">
        <v>41.57</v>
      </c>
    </row>
    <row r="45" spans="1:7" x14ac:dyDescent="0.25">
      <c r="A45" t="s">
        <v>153</v>
      </c>
      <c r="B45" t="s">
        <v>154</v>
      </c>
      <c r="D45" s="7">
        <v>88.003900000000002</v>
      </c>
      <c r="E45" s="7">
        <v>91.063599999999994</v>
      </c>
      <c r="F45" s="7">
        <v>91.49</v>
      </c>
      <c r="G45" s="7">
        <v>89.38</v>
      </c>
    </row>
    <row r="46" spans="1:7" x14ac:dyDescent="0.25">
      <c r="A46" t="s">
        <v>155</v>
      </c>
      <c r="B46" t="s">
        <v>156</v>
      </c>
      <c r="D46" s="7">
        <v>60.620399999999997</v>
      </c>
      <c r="E46" s="7">
        <v>56.076300000000003</v>
      </c>
      <c r="F46" s="7">
        <v>38.24</v>
      </c>
      <c r="G46" s="7">
        <v>31.59</v>
      </c>
    </row>
    <row r="47" spans="1:7" x14ac:dyDescent="0.25">
      <c r="A47" t="s">
        <v>157</v>
      </c>
      <c r="B47" t="s">
        <v>158</v>
      </c>
      <c r="D47" s="7">
        <v>0</v>
      </c>
      <c r="E47" s="7">
        <v>11.93</v>
      </c>
      <c r="F47" s="7">
        <v>29.76</v>
      </c>
      <c r="G47" s="7">
        <v>17.82</v>
      </c>
    </row>
    <row r="48" spans="1:7" x14ac:dyDescent="0.25">
      <c r="A48" t="s">
        <v>159</v>
      </c>
      <c r="D48" s="7"/>
      <c r="E48" s="7"/>
      <c r="F48" s="7"/>
      <c r="G48" s="7"/>
    </row>
    <row r="49" spans="1:7" x14ac:dyDescent="0.25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t="s">
        <v>162</v>
      </c>
      <c r="B50" t="s">
        <v>163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164</v>
      </c>
      <c r="B51" s="8" t="s">
        <v>165</v>
      </c>
      <c r="C51" s="9">
        <v>16</v>
      </c>
      <c r="D51" s="7">
        <v>3.2534000000000001</v>
      </c>
      <c r="E51" s="7">
        <v>4.1081000000000003</v>
      </c>
      <c r="F51" s="7">
        <v>3.47</v>
      </c>
      <c r="G51" s="7">
        <v>2.67</v>
      </c>
    </row>
    <row r="52" spans="1:7" x14ac:dyDescent="0.25">
      <c r="A52" t="s">
        <v>166</v>
      </c>
      <c r="B52" t="s">
        <v>167</v>
      </c>
      <c r="D52" s="7">
        <v>0</v>
      </c>
      <c r="E52" s="7">
        <v>1741.9467110676831</v>
      </c>
      <c r="F52" s="7">
        <v>1687.716762857448</v>
      </c>
      <c r="G52" s="7">
        <v>1631.0288498757677</v>
      </c>
    </row>
    <row r="53" spans="1:7" x14ac:dyDescent="0.25">
      <c r="A53" t="s">
        <v>168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t="s">
        <v>169</v>
      </c>
      <c r="B54" t="s">
        <v>170</v>
      </c>
      <c r="D54" s="7">
        <v>0</v>
      </c>
      <c r="E54" s="7">
        <v>-3278.40869076836</v>
      </c>
      <c r="F54" s="7">
        <v>-2046.6138006895815</v>
      </c>
      <c r="G54" s="7">
        <v>-813.72343517976037</v>
      </c>
    </row>
    <row r="55" spans="1:7" x14ac:dyDescent="0.25">
      <c r="A55" t="s">
        <v>171</v>
      </c>
      <c r="B55" t="s">
        <v>172</v>
      </c>
      <c r="D55" s="7">
        <v>0</v>
      </c>
      <c r="E55" s="7">
        <v>17.296500437267881</v>
      </c>
      <c r="F55" s="7">
        <v>6.8977596146750226</v>
      </c>
      <c r="G55" s="7">
        <v>3.0612578611134946</v>
      </c>
    </row>
    <row r="56" spans="1:7" x14ac:dyDescent="0.25">
      <c r="A56" t="s">
        <v>173</v>
      </c>
      <c r="B56" t="s">
        <v>174</v>
      </c>
      <c r="D56" s="7">
        <v>0</v>
      </c>
      <c r="E56" s="7">
        <v>1471.7882070569169</v>
      </c>
      <c r="F56" s="7">
        <v>964.65351884540917</v>
      </c>
      <c r="G56" s="7">
        <v>448.71635752589543</v>
      </c>
    </row>
    <row r="57" spans="1:7" x14ac:dyDescent="0.25">
      <c r="A57" t="s">
        <v>175</v>
      </c>
      <c r="B57" t="s">
        <v>176</v>
      </c>
      <c r="D57" s="7">
        <v>0</v>
      </c>
      <c r="E57" s="7">
        <v>1889.3239832741756</v>
      </c>
      <c r="F57" s="7">
        <v>1175.0625222294975</v>
      </c>
      <c r="G57" s="7">
        <v>461.94581979275154</v>
      </c>
    </row>
    <row r="58" spans="1:7" x14ac:dyDescent="0.25">
      <c r="A58" t="s">
        <v>177</v>
      </c>
      <c r="D58" s="7"/>
      <c r="E58" s="7"/>
      <c r="F58" s="7"/>
      <c r="G58" s="7"/>
    </row>
    <row r="59" spans="1:7" x14ac:dyDescent="0.25">
      <c r="A59" t="s">
        <v>178</v>
      </c>
      <c r="B59" t="s">
        <v>179</v>
      </c>
      <c r="D59" s="7">
        <v>4.7811000000000003</v>
      </c>
      <c r="E59" s="7">
        <v>4.7811000000000003</v>
      </c>
      <c r="F59" s="7">
        <v>-16.32980412494463</v>
      </c>
      <c r="G59" s="7">
        <v>5.8248440775596082</v>
      </c>
    </row>
    <row r="60" spans="1:7" x14ac:dyDescent="0.25">
      <c r="A60" t="s">
        <v>180</v>
      </c>
      <c r="B60" t="s">
        <v>181</v>
      </c>
      <c r="D60" s="7"/>
      <c r="E60" s="7"/>
      <c r="F60" s="7">
        <v>16.32980412494463</v>
      </c>
      <c r="G60" s="7">
        <v>-5.8248440775596082</v>
      </c>
    </row>
    <row r="61" spans="1:7" x14ac:dyDescent="0.25">
      <c r="A61" t="s">
        <v>182</v>
      </c>
      <c r="B61" t="s">
        <v>183</v>
      </c>
      <c r="D61" s="7">
        <v>0</v>
      </c>
      <c r="E61" s="7">
        <v>100</v>
      </c>
      <c r="F61" s="7">
        <v>100</v>
      </c>
      <c r="G61" s="7">
        <v>100</v>
      </c>
    </row>
    <row r="62" spans="1:7" x14ac:dyDescent="0.25">
      <c r="A62" s="8" t="s">
        <v>184</v>
      </c>
      <c r="B62" s="8" t="s">
        <v>185</v>
      </c>
      <c r="C62" s="9">
        <v>1.2</v>
      </c>
      <c r="D62" s="7">
        <v>9.0679999999999996</v>
      </c>
      <c r="E62" s="7">
        <v>12.367218561421087</v>
      </c>
      <c r="F62" s="7">
        <v>6.0464939179576609</v>
      </c>
      <c r="G62" s="7">
        <v>3.0594318628962296</v>
      </c>
    </row>
    <row r="63" spans="1:7" x14ac:dyDescent="0.25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t="s">
        <v>186</v>
      </c>
      <c r="D64" s="7"/>
      <c r="E64" s="7"/>
      <c r="F64" s="7"/>
      <c r="G64" s="7"/>
    </row>
    <row r="65" spans="1:7" x14ac:dyDescent="0.25">
      <c r="A65" s="8" t="s">
        <v>187</v>
      </c>
      <c r="B65" s="8" t="s">
        <v>188</v>
      </c>
      <c r="C65" s="9">
        <v>1</v>
      </c>
      <c r="D65" s="7">
        <v>1.2121</v>
      </c>
      <c r="E65" s="7">
        <v>1.2706</v>
      </c>
      <c r="F65" s="7">
        <v>1.27</v>
      </c>
      <c r="G65" s="7">
        <v>1.25</v>
      </c>
    </row>
    <row r="66" spans="1:7" x14ac:dyDescent="0.25">
      <c r="A66" s="8" t="s">
        <v>189</v>
      </c>
      <c r="B66" s="8" t="s">
        <v>190</v>
      </c>
      <c r="C66" s="9"/>
      <c r="D66" s="7">
        <v>2.3900000000000001E-2</v>
      </c>
      <c r="E66" s="7">
        <v>2.4199999999999999E-2</v>
      </c>
      <c r="F66" s="7">
        <v>0.02</v>
      </c>
      <c r="G66" s="7">
        <v>0.02</v>
      </c>
    </row>
    <row r="67" spans="1:7" x14ac:dyDescent="0.25">
      <c r="A67" s="8" t="s">
        <v>191</v>
      </c>
      <c r="B67" s="8" t="s">
        <v>192</v>
      </c>
      <c r="C67" s="9">
        <v>0.6</v>
      </c>
      <c r="D67" s="7">
        <v>0.38900000000000001</v>
      </c>
      <c r="E67" s="7">
        <v>0.39300000000000002</v>
      </c>
      <c r="F67" s="7">
        <v>0.4</v>
      </c>
      <c r="G67" s="7">
        <v>0.38</v>
      </c>
    </row>
    <row r="68" spans="1:7" x14ac:dyDescent="0.25">
      <c r="A68" t="s">
        <v>193</v>
      </c>
      <c r="D68" s="7"/>
      <c r="E68" s="7"/>
      <c r="F68" s="7"/>
      <c r="G68" s="7"/>
    </row>
    <row r="69" spans="1:7" x14ac:dyDescent="0.25">
      <c r="A69" t="s">
        <v>194</v>
      </c>
      <c r="B69" t="s">
        <v>195</v>
      </c>
      <c r="D69" s="7">
        <v>93.830474093537035</v>
      </c>
      <c r="E69" s="7">
        <v>33.66811051102777</v>
      </c>
      <c r="F69" s="30">
        <v>85.708492513394347</v>
      </c>
      <c r="G69" s="30">
        <v>90.487034026001993</v>
      </c>
    </row>
    <row r="70" spans="1:7" x14ac:dyDescent="0.25">
      <c r="A70" t="s">
        <v>196</v>
      </c>
      <c r="D70" s="7"/>
      <c r="E70" s="7"/>
      <c r="F70" s="7"/>
      <c r="G70" s="7"/>
    </row>
    <row r="71" spans="1:7" x14ac:dyDescent="0.25">
      <c r="A71" t="s">
        <v>197</v>
      </c>
      <c r="B71" t="s">
        <v>198</v>
      </c>
      <c r="D71" s="7">
        <v>16.7254</v>
      </c>
      <c r="E71" s="30">
        <v>16.838200000000001</v>
      </c>
      <c r="F71" s="7">
        <v>25.59</v>
      </c>
      <c r="G71" s="7">
        <v>17.86</v>
      </c>
    </row>
    <row r="72" spans="1:7" x14ac:dyDescent="0.25">
      <c r="A72" t="s">
        <v>199</v>
      </c>
      <c r="B72" t="s">
        <v>200</v>
      </c>
      <c r="D72" s="7">
        <v>17.0107</v>
      </c>
      <c r="E72" s="30">
        <v>17.3672</v>
      </c>
      <c r="F72" s="7">
        <v>26.23</v>
      </c>
      <c r="G72" s="7">
        <v>19.010000000000002</v>
      </c>
    </row>
    <row r="73" spans="1:7" x14ac:dyDescent="0.25">
      <c r="A73" t="s">
        <v>303</v>
      </c>
      <c r="D73" s="7"/>
      <c r="E73" s="7"/>
      <c r="F73" s="7"/>
      <c r="G73" s="7"/>
    </row>
    <row r="74" spans="1:7" x14ac:dyDescent="0.25">
      <c r="B74" t="s">
        <v>201</v>
      </c>
      <c r="D74" s="7">
        <v>88.765316212957075</v>
      </c>
      <c r="E74" s="7">
        <v>92.515130386717004</v>
      </c>
      <c r="F74" s="7">
        <v>92.303450216535737</v>
      </c>
      <c r="G74" s="7">
        <v>92.462495626852942</v>
      </c>
    </row>
    <row r="75" spans="1:7" x14ac:dyDescent="0.25">
      <c r="B75" t="s">
        <v>202</v>
      </c>
      <c r="D75" s="7">
        <v>94.519730923637553</v>
      </c>
      <c r="E75" s="7">
        <v>95.35948412244791</v>
      </c>
      <c r="F75" s="7">
        <v>96.328660461316801</v>
      </c>
      <c r="G75" s="7">
        <v>96.832129076997234</v>
      </c>
    </row>
    <row r="76" spans="1:7" x14ac:dyDescent="0.25">
      <c r="B76" t="s">
        <v>203</v>
      </c>
      <c r="D76" s="7">
        <v>44.387358467509145</v>
      </c>
      <c r="E76" s="7">
        <v>64.543126004151446</v>
      </c>
      <c r="F76" s="7">
        <v>52.872774731590866</v>
      </c>
      <c r="G76" s="7">
        <v>48.920901396332681</v>
      </c>
    </row>
    <row r="77" spans="1:7" x14ac:dyDescent="0.25">
      <c r="A77" s="8" t="s">
        <v>36</v>
      </c>
      <c r="B77" s="8"/>
      <c r="C77" s="9">
        <v>47</v>
      </c>
      <c r="D77" s="7">
        <v>83.380769715510922</v>
      </c>
      <c r="E77" s="7">
        <v>85.47438306043918</v>
      </c>
      <c r="F77" s="30">
        <v>81.341416367602491</v>
      </c>
      <c r="G77" s="30">
        <v>83.902708164054445</v>
      </c>
    </row>
    <row r="78" spans="1:7" x14ac:dyDescent="0.25">
      <c r="A78" s="31" t="s">
        <v>333</v>
      </c>
      <c r="B78" s="31"/>
      <c r="C78" s="63"/>
      <c r="D78" s="30">
        <v>81.413614449774727</v>
      </c>
      <c r="E78" s="30">
        <v>83.65529016742029</v>
      </c>
      <c r="F78" s="30">
        <v>79.760659554132246</v>
      </c>
      <c r="G78" s="30">
        <v>81.513441714251485</v>
      </c>
    </row>
    <row r="79" spans="1:7" x14ac:dyDescent="0.25">
      <c r="A79" t="s">
        <v>266</v>
      </c>
      <c r="D79" s="7"/>
      <c r="E79" s="7"/>
      <c r="F79" s="7"/>
      <c r="G79" s="7"/>
    </row>
    <row r="80" spans="1:7" x14ac:dyDescent="0.25">
      <c r="A80">
        <v>4</v>
      </c>
      <c r="B80" t="s">
        <v>204</v>
      </c>
      <c r="D80" s="30">
        <v>1.6292944072045095</v>
      </c>
      <c r="E80" s="30">
        <v>1.5107612212671611</v>
      </c>
      <c r="F80" s="30">
        <v>1.6911764705882353</v>
      </c>
      <c r="G80" s="30">
        <v>1.4921920185078079</v>
      </c>
    </row>
    <row r="81" spans="1:7" x14ac:dyDescent="0.25">
      <c r="A81">
        <v>9</v>
      </c>
      <c r="B81" t="s">
        <v>345</v>
      </c>
      <c r="D81" s="30">
        <v>2.6548481858291653</v>
      </c>
      <c r="E81" s="30">
        <v>2.7229598015512804</v>
      </c>
      <c r="F81" s="30">
        <v>2.5</v>
      </c>
      <c r="G81" s="30">
        <v>2.5563909774436087</v>
      </c>
    </row>
    <row r="82" spans="1:7" x14ac:dyDescent="0.25">
      <c r="A82">
        <v>10</v>
      </c>
      <c r="B82" t="s">
        <v>205</v>
      </c>
      <c r="D82" s="30">
        <v>5.5760091644265994</v>
      </c>
      <c r="E82" s="30">
        <v>4.9370481182542099</v>
      </c>
      <c r="F82" s="30">
        <v>4.2769607843137258</v>
      </c>
      <c r="G82" s="30">
        <v>4.6385193753614802</v>
      </c>
    </row>
    <row r="83" spans="1:7" x14ac:dyDescent="0.25">
      <c r="A83">
        <v>12</v>
      </c>
      <c r="B83" t="s">
        <v>206</v>
      </c>
      <c r="D83" s="30">
        <v>1.3060442115530753</v>
      </c>
      <c r="E83" s="30">
        <v>2.0051005406095763</v>
      </c>
      <c r="F83" s="30">
        <v>2.5490196078431375</v>
      </c>
      <c r="G83" s="30">
        <v>2.0936957779063041</v>
      </c>
    </row>
    <row r="84" spans="1:7" x14ac:dyDescent="0.25">
      <c r="A84">
        <v>13</v>
      </c>
      <c r="B84" t="s">
        <v>354</v>
      </c>
      <c r="D84" s="30">
        <v>48.247983939569231</v>
      </c>
      <c r="E84" s="30">
        <v>54.323739646934641</v>
      </c>
      <c r="F84" s="30">
        <v>53.284313725490193</v>
      </c>
      <c r="G84" s="30">
        <v>51.925968768074029</v>
      </c>
    </row>
    <row r="85" spans="1:7" x14ac:dyDescent="0.25">
      <c r="A85" t="s">
        <v>207</v>
      </c>
      <c r="D85" s="7"/>
      <c r="E85" s="7"/>
      <c r="F85" s="7"/>
      <c r="G85" s="7"/>
    </row>
    <row r="86" spans="1:7" x14ac:dyDescent="0.25">
      <c r="A86">
        <v>4</v>
      </c>
      <c r="B86" t="s">
        <v>204</v>
      </c>
      <c r="D86" s="7">
        <v>96.859367362317045</v>
      </c>
      <c r="E86" s="7">
        <v>99.007388367002946</v>
      </c>
      <c r="F86" s="7">
        <v>96.361563417769361</v>
      </c>
      <c r="G86" s="7">
        <v>93.419141270470305</v>
      </c>
    </row>
    <row r="87" spans="1:7" x14ac:dyDescent="0.25">
      <c r="A87">
        <v>9</v>
      </c>
      <c r="B87" t="s">
        <v>345</v>
      </c>
      <c r="D87" s="7">
        <v>78.030991053123557</v>
      </c>
      <c r="E87" s="7">
        <v>66.835430711664259</v>
      </c>
      <c r="F87" s="7">
        <v>67.309286009466803</v>
      </c>
      <c r="G87" s="7">
        <v>60.300595284256786</v>
      </c>
    </row>
    <row r="88" spans="1:7" x14ac:dyDescent="0.25">
      <c r="A88">
        <v>10</v>
      </c>
      <c r="B88" t="s">
        <v>205</v>
      </c>
      <c r="D88" s="7">
        <v>82.121456876912404</v>
      </c>
      <c r="E88" s="7">
        <v>61.512196608844164</v>
      </c>
      <c r="F88" s="7">
        <v>66.639935258912672</v>
      </c>
      <c r="G88" s="7">
        <v>72.726637781172769</v>
      </c>
    </row>
    <row r="89" spans="1:7" x14ac:dyDescent="0.25">
      <c r="A89">
        <v>12</v>
      </c>
      <c r="B89" t="s">
        <v>206</v>
      </c>
      <c r="D89" s="7">
        <v>86.31357492625925</v>
      </c>
      <c r="E89" s="7">
        <v>86.962532483952927</v>
      </c>
      <c r="F89" s="7">
        <v>89.681981253398646</v>
      </c>
      <c r="G89" s="7">
        <v>89.923492813080429</v>
      </c>
    </row>
    <row r="90" spans="1:7" x14ac:dyDescent="0.25">
      <c r="A90">
        <v>13</v>
      </c>
      <c r="B90" t="s">
        <v>354</v>
      </c>
      <c r="D90" s="7">
        <v>86.612744432661088</v>
      </c>
      <c r="E90" s="7">
        <v>88.276978549882955</v>
      </c>
      <c r="F90" s="7">
        <v>87.922403004608739</v>
      </c>
      <c r="G90" s="7">
        <v>86.197920718612735</v>
      </c>
    </row>
    <row r="91" spans="1:7" x14ac:dyDescent="0.25">
      <c r="B91" s="68" t="s">
        <v>357</v>
      </c>
      <c r="D91" s="7"/>
      <c r="E91" s="7"/>
      <c r="F91" s="7"/>
      <c r="G91" s="7"/>
    </row>
    <row r="92" spans="1:7" x14ac:dyDescent="0.25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</row>
    <row r="93" spans="1:7" x14ac:dyDescent="0.25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</row>
    <row r="94" spans="1:7" x14ac:dyDescent="0.25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</row>
    <row r="95" spans="1:7" x14ac:dyDescent="0.25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</row>
    <row r="96" spans="1:7" x14ac:dyDescent="0.25">
      <c r="D96" s="7"/>
      <c r="E96" s="7"/>
      <c r="F96" s="7"/>
      <c r="G96" s="7"/>
    </row>
    <row r="97" spans="2:7" x14ac:dyDescent="0.25">
      <c r="B97" s="39" t="s">
        <v>301</v>
      </c>
      <c r="D97" s="7"/>
      <c r="E97" s="7"/>
      <c r="F97" s="7"/>
      <c r="G97" s="7"/>
    </row>
    <row r="98" spans="2:7" x14ac:dyDescent="0.25">
      <c r="D98" s="7"/>
      <c r="E98" s="7"/>
      <c r="F98" s="7"/>
      <c r="G98" s="7"/>
    </row>
    <row r="99" spans="2:7" x14ac:dyDescent="0.25">
      <c r="D99" s="7"/>
      <c r="E99" s="7"/>
      <c r="F99" s="7"/>
      <c r="G99" s="7"/>
    </row>
    <row r="100" spans="2:7" x14ac:dyDescent="0.25">
      <c r="D100" s="7"/>
      <c r="E100" s="7"/>
      <c r="F100" s="7"/>
      <c r="G100" s="7"/>
    </row>
    <row r="101" spans="2:7" x14ac:dyDescent="0.25">
      <c r="D101" s="7"/>
      <c r="E101" s="7"/>
      <c r="F101" s="7"/>
      <c r="G101" s="7"/>
    </row>
    <row r="102" spans="2:7" x14ac:dyDescent="0.25">
      <c r="D102" s="7"/>
      <c r="E102" s="7"/>
      <c r="F102" s="7"/>
      <c r="G102" s="7"/>
    </row>
    <row r="103" spans="2:7" x14ac:dyDescent="0.25">
      <c r="D103" s="7"/>
      <c r="E103" s="7"/>
      <c r="F103" s="7"/>
      <c r="G103" s="7"/>
    </row>
    <row r="104" spans="2:7" x14ac:dyDescent="0.25">
      <c r="D104" s="7"/>
      <c r="E104" s="7"/>
      <c r="F104" s="7"/>
      <c r="G104" s="7"/>
    </row>
    <row r="105" spans="2:7" x14ac:dyDescent="0.25">
      <c r="D105" s="7"/>
      <c r="E105" s="7"/>
      <c r="F105" s="7"/>
      <c r="G105" s="7"/>
    </row>
    <row r="106" spans="2:7" x14ac:dyDescent="0.25">
      <c r="D106" s="7"/>
      <c r="E106" s="7"/>
      <c r="F106" s="7"/>
      <c r="G106" s="7"/>
    </row>
    <row r="107" spans="2:7" x14ac:dyDescent="0.25">
      <c r="D107" s="7"/>
      <c r="E107" s="7"/>
      <c r="F107" s="7"/>
      <c r="G107" s="7"/>
    </row>
    <row r="108" spans="2:7" x14ac:dyDescent="0.25">
      <c r="D108" s="7"/>
      <c r="E108" s="7"/>
      <c r="F108" s="7"/>
      <c r="G108" s="7"/>
    </row>
    <row r="109" spans="2:7" x14ac:dyDescent="0.25">
      <c r="D109" s="7"/>
      <c r="E109" s="7"/>
      <c r="F109" s="7"/>
      <c r="G109" s="7"/>
    </row>
    <row r="110" spans="2:7" x14ac:dyDescent="0.25">
      <c r="D110" s="7"/>
      <c r="E110" s="7"/>
      <c r="F110" s="7"/>
      <c r="G110" s="7"/>
    </row>
    <row r="111" spans="2:7" x14ac:dyDescent="0.25">
      <c r="D111" s="7"/>
      <c r="E111" s="7"/>
      <c r="F111" s="7"/>
      <c r="G111" s="7"/>
    </row>
    <row r="112" spans="2:7" x14ac:dyDescent="0.25">
      <c r="D112" s="7"/>
      <c r="E112" s="7"/>
      <c r="F112" s="7"/>
      <c r="G112" s="7"/>
    </row>
    <row r="113" spans="2:7" x14ac:dyDescent="0.25">
      <c r="D113" s="7"/>
      <c r="E113" s="7"/>
      <c r="F113" s="7"/>
      <c r="G113" s="7"/>
    </row>
    <row r="114" spans="2:7" x14ac:dyDescent="0.25">
      <c r="D114" s="7"/>
      <c r="E114" s="7"/>
      <c r="F114" s="7"/>
      <c r="G114" s="7"/>
    </row>
    <row r="115" spans="2:7" x14ac:dyDescent="0.25">
      <c r="D115" s="7"/>
      <c r="E115" s="7"/>
      <c r="F115" s="7"/>
      <c r="G115" s="7"/>
    </row>
    <row r="116" spans="2:7" x14ac:dyDescent="0.25">
      <c r="D116" s="7"/>
      <c r="E116" s="7"/>
      <c r="F116" s="7"/>
      <c r="G116" s="7"/>
    </row>
    <row r="117" spans="2:7" x14ac:dyDescent="0.25">
      <c r="D117" s="7"/>
      <c r="E117" s="7"/>
      <c r="F117" s="7"/>
      <c r="G117" s="7"/>
    </row>
    <row r="118" spans="2:7" x14ac:dyDescent="0.25">
      <c r="B118" s="39" t="s">
        <v>302</v>
      </c>
      <c r="D118" s="7"/>
      <c r="E118" s="7"/>
      <c r="F118" s="7"/>
      <c r="G118" s="7"/>
    </row>
    <row r="119" spans="2:7" x14ac:dyDescent="0.25">
      <c r="D119" s="7"/>
      <c r="E119" s="7"/>
      <c r="F119" s="7"/>
      <c r="G119" s="7"/>
    </row>
    <row r="120" spans="2:7" x14ac:dyDescent="0.25">
      <c r="D120" s="7"/>
      <c r="E120" s="7"/>
      <c r="F120" s="7"/>
      <c r="G120" s="7"/>
    </row>
    <row r="121" spans="2:7" x14ac:dyDescent="0.25">
      <c r="D121" s="7"/>
      <c r="E121" s="7"/>
      <c r="F121" s="7"/>
      <c r="G121" s="7"/>
    </row>
    <row r="122" spans="2:7" x14ac:dyDescent="0.25">
      <c r="D122" s="7"/>
      <c r="E122" s="7"/>
      <c r="F122" s="7"/>
      <c r="G122" s="7"/>
    </row>
    <row r="123" spans="2:7" x14ac:dyDescent="0.25">
      <c r="D123" s="7"/>
      <c r="E123" s="7"/>
      <c r="F123" s="7"/>
      <c r="G123" s="7"/>
    </row>
    <row r="124" spans="2:7" x14ac:dyDescent="0.25">
      <c r="D124" s="7"/>
      <c r="E124" s="7"/>
      <c r="F124" s="7"/>
      <c r="G124" s="7"/>
    </row>
    <row r="125" spans="2:7" x14ac:dyDescent="0.25">
      <c r="D125" s="7"/>
      <c r="E125" s="7"/>
      <c r="F125" s="7"/>
      <c r="G125" s="7"/>
    </row>
    <row r="126" spans="2:7" x14ac:dyDescent="0.25">
      <c r="D126" s="7"/>
      <c r="E126" s="7"/>
      <c r="F126" s="7"/>
      <c r="G126" s="7"/>
    </row>
    <row r="127" spans="2:7" x14ac:dyDescent="0.25">
      <c r="D127" s="7"/>
      <c r="E127" s="7"/>
      <c r="F127" s="7"/>
      <c r="G127" s="7"/>
    </row>
    <row r="128" spans="2:7" x14ac:dyDescent="0.25">
      <c r="D128" s="7"/>
      <c r="E128" s="7"/>
      <c r="F128" s="7"/>
      <c r="G128" s="7"/>
    </row>
    <row r="129" spans="2:7" x14ac:dyDescent="0.25">
      <c r="D129" s="7"/>
      <c r="E129" s="7"/>
      <c r="F129" s="7"/>
      <c r="G129" s="7"/>
    </row>
    <row r="130" spans="2:7" x14ac:dyDescent="0.25">
      <c r="D130" s="7"/>
      <c r="E130" s="7"/>
      <c r="F130" s="7"/>
      <c r="G130" s="7"/>
    </row>
    <row r="131" spans="2:7" x14ac:dyDescent="0.25">
      <c r="D131" s="7"/>
      <c r="E131" s="7"/>
      <c r="F131" s="7"/>
      <c r="G131" s="7"/>
    </row>
    <row r="132" spans="2:7" x14ac:dyDescent="0.25">
      <c r="D132" s="7"/>
      <c r="E132" s="7"/>
      <c r="F132" s="7"/>
      <c r="G132" s="7"/>
    </row>
    <row r="133" spans="2:7" x14ac:dyDescent="0.25">
      <c r="D133" s="7"/>
      <c r="E133" s="7"/>
      <c r="F133" s="7"/>
      <c r="G133" s="7"/>
    </row>
    <row r="134" spans="2:7" x14ac:dyDescent="0.25">
      <c r="D134" s="7"/>
      <c r="E134" s="7"/>
      <c r="F134" s="7"/>
      <c r="G134" s="7"/>
    </row>
    <row r="135" spans="2:7" x14ac:dyDescent="0.25">
      <c r="D135" s="7"/>
      <c r="E135" s="7"/>
      <c r="F135" s="7"/>
      <c r="G135" s="7"/>
    </row>
    <row r="136" spans="2:7" x14ac:dyDescent="0.25">
      <c r="D136" s="7"/>
      <c r="E136" s="7"/>
      <c r="F136" s="7"/>
      <c r="G136" s="7"/>
    </row>
    <row r="137" spans="2:7" x14ac:dyDescent="0.25">
      <c r="D137" s="7"/>
      <c r="E137" s="7"/>
      <c r="F137" s="7"/>
      <c r="G137" s="7"/>
    </row>
    <row r="138" spans="2:7" x14ac:dyDescent="0.25">
      <c r="D138" s="7"/>
      <c r="E138" s="7"/>
      <c r="F138" s="7"/>
      <c r="G138" s="7"/>
    </row>
    <row r="139" spans="2:7" x14ac:dyDescent="0.25">
      <c r="B139" s="39" t="s">
        <v>158</v>
      </c>
      <c r="D139" s="7"/>
      <c r="E139" s="7"/>
      <c r="F139" s="7"/>
      <c r="G139" s="7"/>
    </row>
    <row r="140" spans="2:7" x14ac:dyDescent="0.25">
      <c r="D140" s="7"/>
      <c r="E140" s="7"/>
      <c r="F140" s="7"/>
      <c r="G140" s="7"/>
    </row>
    <row r="141" spans="2:7" x14ac:dyDescent="0.25">
      <c r="D141" s="7"/>
      <c r="E141" s="7"/>
      <c r="F141" s="7"/>
      <c r="G141" s="7"/>
    </row>
    <row r="142" spans="2:7" x14ac:dyDescent="0.25">
      <c r="D142" s="7"/>
      <c r="E142" s="7"/>
      <c r="F142" s="7"/>
      <c r="G142" s="7"/>
    </row>
    <row r="143" spans="2:7" x14ac:dyDescent="0.25">
      <c r="D143" s="7"/>
      <c r="E143" s="7"/>
      <c r="F143" s="7"/>
      <c r="G143" s="7"/>
    </row>
    <row r="144" spans="2:7" x14ac:dyDescent="0.25">
      <c r="D144" s="7"/>
      <c r="E144" s="7"/>
      <c r="F144" s="7"/>
      <c r="G144" s="7"/>
    </row>
    <row r="145" spans="2:7" x14ac:dyDescent="0.25">
      <c r="D145" s="7"/>
      <c r="E145" s="7"/>
      <c r="F145" s="7"/>
      <c r="G145" s="7"/>
    </row>
    <row r="146" spans="2:7" x14ac:dyDescent="0.25">
      <c r="D146" s="7"/>
      <c r="E146" s="7"/>
      <c r="F146" s="7"/>
      <c r="G146" s="7"/>
    </row>
    <row r="147" spans="2:7" x14ac:dyDescent="0.25">
      <c r="D147" s="7"/>
      <c r="E147" s="7"/>
      <c r="F147" s="7"/>
      <c r="G147" s="7"/>
    </row>
    <row r="148" spans="2:7" x14ac:dyDescent="0.25">
      <c r="D148" s="7"/>
      <c r="E148" s="7"/>
      <c r="F148" s="7"/>
      <c r="G148" s="7"/>
    </row>
    <row r="149" spans="2:7" x14ac:dyDescent="0.25">
      <c r="D149" s="7"/>
      <c r="E149" s="7"/>
      <c r="F149" s="7"/>
      <c r="G149" s="7"/>
    </row>
    <row r="150" spans="2:7" x14ac:dyDescent="0.25">
      <c r="D150" s="7"/>
      <c r="E150" s="7"/>
      <c r="F150" s="7"/>
      <c r="G150" s="7"/>
    </row>
    <row r="151" spans="2:7" x14ac:dyDescent="0.25">
      <c r="D151" s="7"/>
      <c r="E151" s="7"/>
      <c r="F151" s="7"/>
      <c r="G151" s="7"/>
    </row>
    <row r="152" spans="2:7" x14ac:dyDescent="0.25">
      <c r="D152" s="7"/>
      <c r="E152" s="7"/>
      <c r="F152" s="7"/>
      <c r="G152" s="7"/>
    </row>
    <row r="153" spans="2:7" x14ac:dyDescent="0.25">
      <c r="D153" s="7"/>
      <c r="E153" s="7"/>
      <c r="F153" s="7"/>
      <c r="G153" s="7"/>
    </row>
    <row r="154" spans="2:7" x14ac:dyDescent="0.25">
      <c r="D154" s="7"/>
      <c r="E154" s="7"/>
      <c r="F154" s="7"/>
      <c r="G154" s="7"/>
    </row>
    <row r="155" spans="2:7" x14ac:dyDescent="0.25">
      <c r="D155" s="7"/>
      <c r="E155" s="7"/>
      <c r="F155" s="7"/>
      <c r="G155" s="7"/>
    </row>
    <row r="156" spans="2:7" x14ac:dyDescent="0.25">
      <c r="D156" s="7"/>
      <c r="E156" s="7"/>
      <c r="F156" s="7"/>
      <c r="G156" s="7"/>
    </row>
    <row r="157" spans="2:7" x14ac:dyDescent="0.25">
      <c r="D157" s="7"/>
      <c r="E157" s="7"/>
      <c r="F157" s="7"/>
      <c r="G157" s="7"/>
    </row>
    <row r="158" spans="2:7" x14ac:dyDescent="0.25">
      <c r="D158" s="7"/>
      <c r="E158" s="7"/>
      <c r="F158" s="7"/>
      <c r="G158" s="7"/>
    </row>
    <row r="159" spans="2:7" x14ac:dyDescent="0.25">
      <c r="D159" s="7"/>
      <c r="E159" s="7"/>
      <c r="F159" s="7"/>
      <c r="G159" s="7"/>
    </row>
    <row r="160" spans="2:7" x14ac:dyDescent="0.25">
      <c r="B160" s="39" t="s">
        <v>167</v>
      </c>
      <c r="D160" s="7"/>
      <c r="E160" s="7"/>
      <c r="F160" s="7"/>
      <c r="G160" s="7"/>
    </row>
    <row r="161" spans="4:7" x14ac:dyDescent="0.25">
      <c r="D161" s="7"/>
      <c r="E161" s="7"/>
      <c r="F161" s="7"/>
      <c r="G161" s="7"/>
    </row>
    <row r="162" spans="4:7" x14ac:dyDescent="0.25">
      <c r="D162" s="7"/>
      <c r="E162" s="7"/>
      <c r="F162" s="7"/>
      <c r="G162" s="7"/>
    </row>
    <row r="163" spans="4:7" x14ac:dyDescent="0.25">
      <c r="D163" s="7"/>
      <c r="E163" s="7"/>
      <c r="F163" s="7"/>
      <c r="G163" s="7"/>
    </row>
    <row r="164" spans="4:7" x14ac:dyDescent="0.25">
      <c r="D164" s="7"/>
      <c r="E164" s="7"/>
      <c r="F164" s="7"/>
      <c r="G164" s="7"/>
    </row>
    <row r="165" spans="4:7" x14ac:dyDescent="0.25">
      <c r="D165" s="7"/>
      <c r="E165" s="7"/>
      <c r="F165" s="7"/>
      <c r="G165" s="7"/>
    </row>
    <row r="166" spans="4:7" x14ac:dyDescent="0.25">
      <c r="D166" s="7"/>
      <c r="E166" s="7"/>
      <c r="F166" s="7"/>
      <c r="G166" s="7"/>
    </row>
    <row r="167" spans="4:7" x14ac:dyDescent="0.25">
      <c r="D167" s="7"/>
      <c r="E167" s="7"/>
      <c r="F167" s="7"/>
      <c r="G167" s="7"/>
    </row>
    <row r="168" spans="4:7" x14ac:dyDescent="0.25">
      <c r="D168" s="7"/>
      <c r="E168" s="7"/>
      <c r="F168" s="7"/>
      <c r="G168" s="7"/>
    </row>
    <row r="169" spans="4:7" x14ac:dyDescent="0.25">
      <c r="D169" s="7"/>
      <c r="E169" s="7"/>
      <c r="F169" s="7"/>
      <c r="G169" s="7"/>
    </row>
    <row r="170" spans="4:7" x14ac:dyDescent="0.25">
      <c r="D170" s="7"/>
      <c r="E170" s="7"/>
      <c r="F170" s="7"/>
      <c r="G170" s="7"/>
    </row>
    <row r="171" spans="4:7" x14ac:dyDescent="0.25">
      <c r="D171" s="7"/>
      <c r="E171" s="7"/>
      <c r="F171" s="7"/>
      <c r="G171" s="7"/>
    </row>
    <row r="172" spans="4:7" x14ac:dyDescent="0.25">
      <c r="D172" s="7"/>
      <c r="E172" s="7"/>
      <c r="F172" s="7"/>
      <c r="G172" s="7"/>
    </row>
    <row r="173" spans="4:7" x14ac:dyDescent="0.25">
      <c r="D173" s="7"/>
      <c r="E173" s="7"/>
      <c r="F173" s="7"/>
      <c r="G173" s="7"/>
    </row>
    <row r="174" spans="4:7" x14ac:dyDescent="0.25">
      <c r="D174" s="7"/>
      <c r="E174" s="7"/>
      <c r="F174" s="7"/>
      <c r="G174" s="7"/>
    </row>
    <row r="175" spans="4:7" x14ac:dyDescent="0.25">
      <c r="D175" s="7"/>
      <c r="E175" s="7"/>
      <c r="F175" s="7"/>
      <c r="G175" s="7"/>
    </row>
    <row r="176" spans="4:7" x14ac:dyDescent="0.25">
      <c r="D176" s="7"/>
      <c r="E176" s="7"/>
      <c r="F176" s="7"/>
      <c r="G176" s="7"/>
    </row>
    <row r="177" spans="2:7" x14ac:dyDescent="0.25">
      <c r="D177" s="7"/>
      <c r="E177" s="7"/>
      <c r="F177" s="7"/>
      <c r="G177" s="7"/>
    </row>
    <row r="178" spans="2:7" x14ac:dyDescent="0.25">
      <c r="D178" s="7"/>
      <c r="E178" s="7"/>
      <c r="F178" s="7"/>
      <c r="G178" s="7"/>
    </row>
    <row r="179" spans="2:7" x14ac:dyDescent="0.25">
      <c r="D179" s="7"/>
      <c r="E179" s="7"/>
      <c r="F179" s="7"/>
      <c r="G179" s="7"/>
    </row>
    <row r="180" spans="2:7" x14ac:dyDescent="0.25">
      <c r="D180" s="7"/>
      <c r="E180" s="7"/>
      <c r="F180" s="7"/>
      <c r="G180" s="7"/>
    </row>
    <row r="181" spans="2:7" x14ac:dyDescent="0.25">
      <c r="B181" s="39" t="s">
        <v>300</v>
      </c>
    </row>
    <row r="182" spans="2:7" x14ac:dyDescent="0.25">
      <c r="E182" s="31"/>
    </row>
    <row r="202" spans="2:2" x14ac:dyDescent="0.25">
      <c r="B202" s="39" t="s">
        <v>266</v>
      </c>
    </row>
    <row r="221" spans="2:2" x14ac:dyDescent="0.25">
      <c r="B221" s="39" t="s">
        <v>207</v>
      </c>
    </row>
  </sheetData>
  <mergeCells count="1">
    <mergeCell ref="A1:B1"/>
  </mergeCells>
  <conditionalFormatting sqref="D3">
    <cfRule type="cellIs" dxfId="39" priority="37" operator="greaterThan">
      <formula>$C3</formula>
    </cfRule>
  </conditionalFormatting>
  <conditionalFormatting sqref="D12">
    <cfRule type="cellIs" dxfId="38" priority="35" operator="lessThan">
      <formula>$C12</formula>
    </cfRule>
  </conditionalFormatting>
  <conditionalFormatting sqref="D15:E15 G15">
    <cfRule type="cellIs" dxfId="37" priority="33" operator="greaterThan">
      <formula>$C$15</formula>
    </cfRule>
  </conditionalFormatting>
  <conditionalFormatting sqref="E3 G3">
    <cfRule type="cellIs" dxfId="36" priority="29" operator="greaterThan">
      <formula>$C3</formula>
    </cfRule>
  </conditionalFormatting>
  <conditionalFormatting sqref="D51:E51 G51">
    <cfRule type="cellIs" dxfId="35" priority="28" operator="greaterThan">
      <formula>$C51</formula>
    </cfRule>
  </conditionalFormatting>
  <conditionalFormatting sqref="D62:E63 G62:G63">
    <cfRule type="cellIs" dxfId="34" priority="27" operator="greaterThan">
      <formula>$C62</formula>
    </cfRule>
  </conditionalFormatting>
  <conditionalFormatting sqref="D65:E65 G65">
    <cfRule type="cellIs" dxfId="33" priority="26" operator="greaterThan">
      <formula>$C65</formula>
    </cfRule>
  </conditionalFormatting>
  <conditionalFormatting sqref="E12 G12">
    <cfRule type="cellIs" dxfId="32" priority="25" operator="lessThan">
      <formula>$C12</formula>
    </cfRule>
  </conditionalFormatting>
  <conditionalFormatting sqref="D77:E78">
    <cfRule type="cellIs" dxfId="31" priority="24" operator="lessThan">
      <formula>$C77</formula>
    </cfRule>
  </conditionalFormatting>
  <conditionalFormatting sqref="E77:E78 G77:G78">
    <cfRule type="cellIs" dxfId="30" priority="23" operator="lessThan">
      <formula>$C77</formula>
    </cfRule>
  </conditionalFormatting>
  <conditionalFormatting sqref="D66">
    <cfRule type="expression" dxfId="29" priority="14">
      <formula>D$66+D$67&gt;=$C$67</formula>
    </cfRule>
  </conditionalFormatting>
  <conditionalFormatting sqref="E66 G66">
    <cfRule type="expression" dxfId="28" priority="13">
      <formula>E$66+E$67&gt;=$C$67</formula>
    </cfRule>
  </conditionalFormatting>
  <conditionalFormatting sqref="D67">
    <cfRule type="expression" dxfId="27" priority="12">
      <formula>D$66+D$67&gt;=$C$67</formula>
    </cfRule>
  </conditionalFormatting>
  <conditionalFormatting sqref="E67 G67">
    <cfRule type="expression" dxfId="26" priority="11">
      <formula>E$66+E$67&gt;=$C$67</formula>
    </cfRule>
  </conditionalFormatting>
  <conditionalFormatting sqref="C63">
    <cfRule type="cellIs" dxfId="25" priority="10" operator="greaterThan">
      <formula>$C63</formula>
    </cfRule>
  </conditionalFormatting>
  <conditionalFormatting sqref="F15">
    <cfRule type="cellIs" dxfId="24" priority="9" operator="greaterThan">
      <formula>$C$15</formula>
    </cfRule>
  </conditionalFormatting>
  <conditionalFormatting sqref="F3">
    <cfRule type="cellIs" dxfId="23" priority="8" operator="greaterThan">
      <formula>$C3</formula>
    </cfRule>
  </conditionalFormatting>
  <conditionalFormatting sqref="F51">
    <cfRule type="cellIs" dxfId="22" priority="7" operator="greaterThan">
      <formula>$C51</formula>
    </cfRule>
  </conditionalFormatting>
  <conditionalFormatting sqref="F62:F63">
    <cfRule type="cellIs" dxfId="21" priority="6" operator="greaterThan">
      <formula>$C62</formula>
    </cfRule>
  </conditionalFormatting>
  <conditionalFormatting sqref="F65">
    <cfRule type="cellIs" dxfId="20" priority="5" operator="greaterThan">
      <formula>$C65</formula>
    </cfRule>
  </conditionalFormatting>
  <conditionalFormatting sqref="F12">
    <cfRule type="cellIs" dxfId="19" priority="4" operator="lessThan">
      <formula>$C12</formula>
    </cfRule>
  </conditionalFormatting>
  <conditionalFormatting sqref="F77:F78">
    <cfRule type="cellIs" dxfId="18" priority="3" operator="lessThan">
      <formula>$C77</formula>
    </cfRule>
  </conditionalFormatting>
  <conditionalFormatting sqref="F66">
    <cfRule type="expression" dxfId="17" priority="2">
      <formula>F$66+F$67&gt;=$C$67</formula>
    </cfRule>
  </conditionalFormatting>
  <conditionalFormatting sqref="F67">
    <cfRule type="expression" dxfId="16" priority="1">
      <formula>F$66+F$67&gt;=$C$67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E8" sqref="E8:H8"/>
    </sheetView>
  </sheetViews>
  <sheetFormatPr defaultRowHeight="15" x14ac:dyDescent="0.25"/>
  <cols>
    <col min="1" max="2" width="10.28515625" bestFit="1" customWidth="1"/>
    <col min="3" max="3" width="50.7109375" bestFit="1" customWidth="1"/>
    <col min="4" max="4" width="7.42578125" customWidth="1"/>
    <col min="5" max="8" width="7.5703125" customWidth="1"/>
  </cols>
  <sheetData>
    <row r="1" spans="1:8" ht="23.25" customHeight="1" x14ac:dyDescent="0.25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</row>
    <row r="2" spans="1:8" ht="29.25" customHeight="1" x14ac:dyDescent="0.25">
      <c r="A2" s="75" t="s">
        <v>310</v>
      </c>
      <c r="B2" s="75" t="s">
        <v>77</v>
      </c>
      <c r="C2" s="77" t="s">
        <v>318</v>
      </c>
      <c r="D2" s="88" t="s">
        <v>325</v>
      </c>
      <c r="E2" s="82">
        <f>Piano_indicatori!D3</f>
        <v>21.3599</v>
      </c>
      <c r="F2" s="82">
        <f>Piano_indicatori!E3</f>
        <v>21.85</v>
      </c>
      <c r="G2" s="82">
        <f>Piano_indicatori!F3</f>
        <v>13.62</v>
      </c>
      <c r="H2" s="82">
        <f>Piano_indicatori!G3</f>
        <v>9.82</v>
      </c>
    </row>
    <row r="3" spans="1:8" ht="29.25" customHeight="1" x14ac:dyDescent="0.25">
      <c r="A3" s="76" t="s">
        <v>311</v>
      </c>
      <c r="B3" s="76" t="s">
        <v>94</v>
      </c>
      <c r="C3" s="78" t="s">
        <v>95</v>
      </c>
      <c r="D3" s="89" t="s">
        <v>326</v>
      </c>
      <c r="E3" s="83">
        <f>Piano_indicatori!D12</f>
        <v>56.822299999999998</v>
      </c>
      <c r="F3" s="83">
        <f>Piano_indicatori!E12</f>
        <v>73.184700000000007</v>
      </c>
      <c r="G3" s="83">
        <f>Piano_indicatori!F12</f>
        <v>73.63</v>
      </c>
      <c r="H3" s="83">
        <f>Piano_indicatori!G12</f>
        <v>75.680000000000007</v>
      </c>
    </row>
    <row r="4" spans="1:8" ht="29.25" customHeight="1" x14ac:dyDescent="0.25">
      <c r="A4" s="75" t="s">
        <v>312</v>
      </c>
      <c r="B4" s="75" t="s">
        <v>99</v>
      </c>
      <c r="C4" s="79" t="s">
        <v>321</v>
      </c>
      <c r="D4" s="88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</row>
    <row r="5" spans="1:8" ht="29.25" customHeight="1" x14ac:dyDescent="0.25">
      <c r="A5" s="76" t="s">
        <v>313</v>
      </c>
      <c r="B5" s="76" t="s">
        <v>164</v>
      </c>
      <c r="C5" s="80" t="s">
        <v>322</v>
      </c>
      <c r="D5" s="90" t="s">
        <v>328</v>
      </c>
      <c r="E5" s="85">
        <f>Piano_indicatori!D51</f>
        <v>3.2534000000000001</v>
      </c>
      <c r="F5" s="85">
        <f>Piano_indicatori!E51</f>
        <v>4.1081000000000003</v>
      </c>
      <c r="G5" s="85">
        <f>Piano_indicatori!F51</f>
        <v>3.47</v>
      </c>
      <c r="H5" s="85">
        <f>Piano_indicatori!G51</f>
        <v>2.67</v>
      </c>
    </row>
    <row r="6" spans="1:8" ht="29.25" customHeight="1" x14ac:dyDescent="0.25">
      <c r="A6" s="75" t="s">
        <v>314</v>
      </c>
      <c r="B6" s="75" t="s">
        <v>184</v>
      </c>
      <c r="C6" s="92" t="s">
        <v>185</v>
      </c>
      <c r="D6" s="91" t="s">
        <v>329</v>
      </c>
      <c r="E6" s="86">
        <f>Piano_indicatori!D62</f>
        <v>9.0679999999999996</v>
      </c>
      <c r="F6" s="86">
        <f>Piano_indicatori!E62</f>
        <v>12.367218561421087</v>
      </c>
      <c r="G6" s="86">
        <f>Piano_indicatori!F62</f>
        <v>6.0464939179576609</v>
      </c>
      <c r="H6" s="86">
        <f>Piano_indicatori!G62</f>
        <v>3.0594318628962296</v>
      </c>
    </row>
    <row r="7" spans="1:8" ht="29.25" customHeight="1" x14ac:dyDescent="0.25">
      <c r="A7" s="76" t="s">
        <v>315</v>
      </c>
      <c r="B7" s="76" t="s">
        <v>187</v>
      </c>
      <c r="C7" s="80" t="s">
        <v>188</v>
      </c>
      <c r="D7" s="89" t="s">
        <v>330</v>
      </c>
      <c r="E7" s="112">
        <f>Piano_indicatori!D65</f>
        <v>1.2121</v>
      </c>
      <c r="F7" s="112">
        <f>Piano_indicatori!E65</f>
        <v>1.2706</v>
      </c>
      <c r="G7" s="112">
        <f>Piano_indicatori!F65</f>
        <v>1.27</v>
      </c>
      <c r="H7" s="112">
        <f>Piano_indicatori!G65</f>
        <v>1.25</v>
      </c>
    </row>
    <row r="8" spans="1:8" ht="29.25" customHeight="1" x14ac:dyDescent="0.25">
      <c r="A8" s="75" t="s">
        <v>316</v>
      </c>
      <c r="B8" s="75" t="s">
        <v>320</v>
      </c>
      <c r="C8" s="79" t="s">
        <v>323</v>
      </c>
      <c r="D8" s="88" t="s">
        <v>331</v>
      </c>
      <c r="E8" s="113">
        <f>Piano_indicatori!D66+Piano_indicatori!D67</f>
        <v>0.41289999999999999</v>
      </c>
      <c r="F8" s="113">
        <f>Piano_indicatori!E66+Piano_indicatori!E67</f>
        <v>0.41720000000000002</v>
      </c>
      <c r="G8" s="113">
        <f>Piano_indicatori!F66+Piano_indicatori!F67</f>
        <v>0.42000000000000004</v>
      </c>
      <c r="H8" s="113">
        <f>Piano_indicatori!G66+Piano_indicatori!G67</f>
        <v>0.4</v>
      </c>
    </row>
    <row r="9" spans="1:8" ht="29.25" customHeight="1" x14ac:dyDescent="0.25">
      <c r="A9" s="76" t="s">
        <v>317</v>
      </c>
      <c r="B9" s="76"/>
      <c r="C9" s="81" t="s">
        <v>324</v>
      </c>
      <c r="D9" s="90" t="s">
        <v>332</v>
      </c>
      <c r="E9" s="87">
        <f>Piano_indicatori!D77</f>
        <v>83.380769715510922</v>
      </c>
      <c r="F9" s="87">
        <f>Piano_indicatori!E77</f>
        <v>85.47438306043918</v>
      </c>
      <c r="G9" s="87">
        <f>Piano_indicatori!F77</f>
        <v>81.341416367602491</v>
      </c>
      <c r="H9" s="87">
        <f>Piano_indicatori!G77</f>
        <v>83.902708164054445</v>
      </c>
    </row>
  </sheetData>
  <conditionalFormatting sqref="E2:F2 H2">
    <cfRule type="cellIs" dxfId="15" priority="16" operator="greaterThan">
      <formula>48</formula>
    </cfRule>
  </conditionalFormatting>
  <conditionalFormatting sqref="E3:F3 H3">
    <cfRule type="cellIs" dxfId="14" priority="15" operator="lessThan">
      <formula>22</formula>
    </cfRule>
  </conditionalFormatting>
  <conditionalFormatting sqref="E4:F4 H4">
    <cfRule type="cellIs" dxfId="13" priority="14" operator="greaterThan">
      <formula>0</formula>
    </cfRule>
  </conditionalFormatting>
  <conditionalFormatting sqref="E5:F5 H5">
    <cfRule type="cellIs" dxfId="12" priority="13" operator="greaterThan">
      <formula>16</formula>
    </cfRule>
  </conditionalFormatting>
  <conditionalFormatting sqref="E6:F6 H6">
    <cfRule type="cellIs" dxfId="11" priority="12" operator="greaterThan">
      <formula>1.2</formula>
    </cfRule>
  </conditionalFormatting>
  <conditionalFormatting sqref="E7:F7 H7">
    <cfRule type="cellIs" dxfId="10" priority="11" operator="greaterThan">
      <formula>1</formula>
    </cfRule>
  </conditionalFormatting>
  <conditionalFormatting sqref="E8:F8 H8">
    <cfRule type="cellIs" dxfId="9" priority="10" operator="greaterThan">
      <formula>0.6</formula>
    </cfRule>
  </conditionalFormatting>
  <conditionalFormatting sqref="E9:F9 H9">
    <cfRule type="cellIs" dxfId="8" priority="9" operator="lessThan">
      <formula>47</formula>
    </cfRule>
  </conditionalFormatting>
  <conditionalFormatting sqref="G2">
    <cfRule type="cellIs" dxfId="7" priority="8" operator="greaterThan">
      <formula>48</formula>
    </cfRule>
  </conditionalFormatting>
  <conditionalFormatting sqref="G3">
    <cfRule type="cellIs" dxfId="6" priority="7" operator="lessThan">
      <formula>22</formula>
    </cfRule>
  </conditionalFormatting>
  <conditionalFormatting sqref="G4">
    <cfRule type="cellIs" dxfId="5" priority="6" operator="greaterThan">
      <formula>0</formula>
    </cfRule>
  </conditionalFormatting>
  <conditionalFormatting sqref="G5">
    <cfRule type="cellIs" dxfId="4" priority="5" operator="greaterThan">
      <formula>16</formula>
    </cfRule>
  </conditionalFormatting>
  <conditionalFormatting sqref="G6">
    <cfRule type="cellIs" dxfId="3" priority="4" operator="greaterThan">
      <formula>1.2</formula>
    </cfRule>
  </conditionalFormatting>
  <conditionalFormatting sqref="G7">
    <cfRule type="cellIs" dxfId="2" priority="3" operator="greaterThan">
      <formula>1</formula>
    </cfRule>
  </conditionalFormatting>
  <conditionalFormatting sqref="G8">
    <cfRule type="cellIs" dxfId="1" priority="2" operator="greaterThan">
      <formula>0.6</formula>
    </cfRule>
  </conditionalFormatting>
  <conditionalFormatting sqref="G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B3" sqref="B3"/>
    </sheetView>
  </sheetViews>
  <sheetFormatPr defaultRowHeight="15" x14ac:dyDescent="0.25"/>
  <cols>
    <col min="2" max="2" width="12.28515625" bestFit="1" customWidth="1"/>
    <col min="5" max="5" width="10.28515625" customWidth="1"/>
  </cols>
  <sheetData>
    <row r="1" spans="1:19" ht="30" x14ac:dyDescent="0.25">
      <c r="A1" s="102" t="s">
        <v>363</v>
      </c>
      <c r="B1" s="102" t="s">
        <v>364</v>
      </c>
      <c r="C1" s="102" t="s">
        <v>232</v>
      </c>
      <c r="D1" s="102" t="s">
        <v>346</v>
      </c>
      <c r="E1" s="106" t="s">
        <v>347</v>
      </c>
      <c r="F1" s="106" t="s">
        <v>348</v>
      </c>
    </row>
    <row r="2" spans="1:19" x14ac:dyDescent="0.25">
      <c r="A2" s="31">
        <v>2021</v>
      </c>
      <c r="B2" s="94">
        <v>4833705</v>
      </c>
      <c r="C2" s="103">
        <f>B2/B3*100-100</f>
        <v>-0.85297489995467402</v>
      </c>
    </row>
    <row r="3" spans="1:19" x14ac:dyDescent="0.25">
      <c r="A3" s="31">
        <v>2020</v>
      </c>
      <c r="B3" s="94">
        <v>4875290</v>
      </c>
      <c r="C3" s="103">
        <f>B3/B4*100-100</f>
        <v>-0.67755271008860518</v>
      </c>
      <c r="D3" s="94">
        <v>-18063</v>
      </c>
      <c r="E3" s="1">
        <v>-23522</v>
      </c>
      <c r="F3" s="1">
        <f t="shared" ref="F3:F8" si="0">B2-B3-D3-E3</f>
        <v>0</v>
      </c>
    </row>
    <row r="4" spans="1:19" x14ac:dyDescent="0.25">
      <c r="A4" s="31">
        <v>2019</v>
      </c>
      <c r="B4" s="94">
        <v>4908548</v>
      </c>
      <c r="C4" s="103">
        <f>B4/B5*100-100</f>
        <v>-0.68067018089963938</v>
      </c>
      <c r="D4" s="94">
        <v>-13789</v>
      </c>
      <c r="E4" s="1">
        <v>-19469</v>
      </c>
      <c r="F4" s="1">
        <f t="shared" si="0"/>
        <v>0</v>
      </c>
      <c r="J4" s="107"/>
      <c r="K4" s="108"/>
      <c r="L4" s="108"/>
      <c r="M4" s="108"/>
      <c r="N4" s="108"/>
      <c r="O4" s="108"/>
      <c r="P4" s="108"/>
      <c r="Q4" s="108"/>
      <c r="R4" s="108"/>
      <c r="S4" s="108"/>
    </row>
    <row r="5" spans="1:19" x14ac:dyDescent="0.25">
      <c r="A5" s="31">
        <v>2018</v>
      </c>
      <c r="B5" s="94">
        <v>4942188</v>
      </c>
      <c r="C5" s="103">
        <f t="shared" ref="C5:C7" si="1">B5/B6*100-100</f>
        <v>-0.7174109564274147</v>
      </c>
      <c r="D5" s="94">
        <v>-11334</v>
      </c>
      <c r="E5" s="94">
        <v>-22306</v>
      </c>
      <c r="F5" s="1">
        <f t="shared" si="0"/>
        <v>0</v>
      </c>
      <c r="J5" s="107"/>
      <c r="K5" s="108"/>
      <c r="L5" s="108"/>
      <c r="M5" s="108"/>
      <c r="N5" s="108"/>
      <c r="O5" s="108"/>
      <c r="P5" s="108"/>
      <c r="Q5" s="108"/>
      <c r="R5" s="108"/>
      <c r="S5" s="108"/>
    </row>
    <row r="6" spans="1:19" x14ac:dyDescent="0.25">
      <c r="A6" s="31">
        <v>2017</v>
      </c>
      <c r="B6" s="94">
        <v>4977900</v>
      </c>
      <c r="C6" s="103">
        <f t="shared" si="1"/>
        <v>-0.52953401007114564</v>
      </c>
      <c r="D6" s="94">
        <v>-12879</v>
      </c>
      <c r="E6" s="94">
        <v>-22833</v>
      </c>
      <c r="F6" s="1">
        <f t="shared" si="0"/>
        <v>0</v>
      </c>
      <c r="J6" s="107"/>
      <c r="K6" s="108"/>
      <c r="L6" s="108"/>
      <c r="M6" s="108"/>
      <c r="N6" s="108"/>
      <c r="O6" s="108"/>
      <c r="P6" s="108"/>
      <c r="Q6" s="108"/>
      <c r="R6" s="108"/>
      <c r="S6" s="108"/>
    </row>
    <row r="7" spans="1:19" x14ac:dyDescent="0.25">
      <c r="A7" s="31">
        <v>2016</v>
      </c>
      <c r="B7" s="94">
        <v>5004400</v>
      </c>
      <c r="C7" s="103">
        <f t="shared" si="1"/>
        <v>-0.47463678333645021</v>
      </c>
      <c r="D7" s="94">
        <v>-8348</v>
      </c>
      <c r="E7" s="94">
        <v>-18152</v>
      </c>
      <c r="F7" s="1">
        <f t="shared" si="0"/>
        <v>0</v>
      </c>
      <c r="J7" s="107"/>
      <c r="K7" s="108"/>
      <c r="L7" s="108"/>
      <c r="M7" s="108"/>
      <c r="N7" s="108"/>
      <c r="O7" s="108"/>
      <c r="P7" s="108"/>
      <c r="Q7" s="108"/>
      <c r="R7" s="108"/>
      <c r="S7" s="108"/>
    </row>
    <row r="8" spans="1:19" x14ac:dyDescent="0.25">
      <c r="A8" s="104">
        <v>2015</v>
      </c>
      <c r="B8" s="105">
        <v>5028266</v>
      </c>
      <c r="C8" s="105"/>
      <c r="D8" s="105">
        <v>-9810</v>
      </c>
      <c r="E8" s="105">
        <v>-14056</v>
      </c>
      <c r="F8" s="1">
        <f t="shared" si="0"/>
        <v>0</v>
      </c>
    </row>
    <row r="9" spans="1:19" x14ac:dyDescent="0.25">
      <c r="A9" t="s">
        <v>365</v>
      </c>
    </row>
    <row r="29" spans="1:4" x14ac:dyDescent="0.25">
      <c r="A29" s="109"/>
      <c r="B29" s="107"/>
      <c r="C29" s="107"/>
      <c r="D29" s="107"/>
    </row>
    <row r="30" spans="1:4" x14ac:dyDescent="0.25">
      <c r="A30" s="109"/>
      <c r="B30" s="107"/>
      <c r="C30" s="107"/>
      <c r="D30" s="107"/>
    </row>
    <row r="31" spans="1:4" x14ac:dyDescent="0.25">
      <c r="A31" s="109"/>
      <c r="B31" s="107"/>
      <c r="C31" s="107"/>
      <c r="D31" s="107"/>
    </row>
    <row r="32" spans="1:4" x14ac:dyDescent="0.25">
      <c r="A32" s="109"/>
      <c r="B32" s="107"/>
      <c r="C32" s="107"/>
      <c r="D32" s="107"/>
    </row>
    <row r="33" spans="1:4" x14ac:dyDescent="0.25">
      <c r="A33" s="109"/>
      <c r="B33" s="107"/>
      <c r="C33" s="107"/>
      <c r="D33" s="107"/>
    </row>
    <row r="34" spans="1:4" x14ac:dyDescent="0.25">
      <c r="A34" s="109"/>
      <c r="B34" s="107"/>
      <c r="C34" s="107"/>
      <c r="D34" s="107"/>
    </row>
    <row r="35" spans="1:4" x14ac:dyDescent="0.25">
      <c r="A35" s="109"/>
      <c r="B35" s="107"/>
      <c r="C35" s="107"/>
      <c r="D35" s="107"/>
    </row>
    <row r="36" spans="1:4" x14ac:dyDescent="0.25">
      <c r="A36" s="109"/>
      <c r="B36" s="107"/>
      <c r="C36" s="107"/>
      <c r="D36" s="107"/>
    </row>
    <row r="37" spans="1:4" x14ac:dyDescent="0.25">
      <c r="A37" s="109"/>
      <c r="B37" s="107"/>
      <c r="C37" s="107"/>
      <c r="D37" s="107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opLeftCell="A10" workbookViewId="0">
      <selection activeCell="F20" sqref="F20"/>
    </sheetView>
  </sheetViews>
  <sheetFormatPr defaultRowHeight="15" x14ac:dyDescent="0.25"/>
  <cols>
    <col min="1" max="1" width="55.7109375" bestFit="1" customWidth="1"/>
    <col min="2" max="8" width="15.28515625" bestFit="1" customWidth="1"/>
    <col min="9" max="9" width="8.42578125" customWidth="1"/>
    <col min="10" max="10" width="6.5703125" bestFit="1" customWidth="1"/>
    <col min="11" max="11" width="15.28515625" bestFit="1" customWidth="1"/>
    <col min="12" max="12" width="7" bestFit="1" customWidth="1"/>
  </cols>
  <sheetData>
    <row r="1" spans="1:12" ht="30" x14ac:dyDescent="0.25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54" t="s">
        <v>295</v>
      </c>
      <c r="J1" s="42" t="s">
        <v>232</v>
      </c>
      <c r="K1" s="54" t="s">
        <v>371</v>
      </c>
      <c r="L1" s="42" t="s">
        <v>267</v>
      </c>
    </row>
    <row r="2" spans="1:12" x14ac:dyDescent="0.25">
      <c r="A2" s="55" t="s">
        <v>19</v>
      </c>
      <c r="B2" s="56">
        <f>Entrate_Uscite!B3</f>
        <v>11290718972.52</v>
      </c>
      <c r="C2" s="56">
        <f>Entrate_Uscite!E3</f>
        <v>11348209537.379999</v>
      </c>
      <c r="D2" s="56">
        <f>Entrate_Uscite!H3</f>
        <v>11746443147.959999</v>
      </c>
      <c r="E2" s="56">
        <f>Entrate_Uscite!K3</f>
        <v>11841494290.57</v>
      </c>
      <c r="F2" s="56">
        <v>11379100903.41</v>
      </c>
      <c r="G2" s="56">
        <v>12016866411.15</v>
      </c>
      <c r="H2" s="56">
        <v>11772066099.33</v>
      </c>
      <c r="I2" s="56">
        <f>E2/E$21*100</f>
        <v>65.509662788494865</v>
      </c>
      <c r="J2" s="57">
        <f t="shared" ref="J2:J21" si="0">IF(D2&gt;0,E2/D2*100-100,"-")</f>
        <v>0.80919084537099195</v>
      </c>
      <c r="K2" s="56">
        <f>Entrate_Uscite!L3</f>
        <v>11466371036.09</v>
      </c>
      <c r="L2" s="58">
        <f>IF(E2&gt;0,K2/E2*100,"-")</f>
        <v>96.832129076997234</v>
      </c>
    </row>
    <row r="3" spans="1:12" x14ac:dyDescent="0.25">
      <c r="A3" s="55" t="s">
        <v>20</v>
      </c>
      <c r="B3" s="56">
        <f>Entrate_Uscite!B4</f>
        <v>4286320832.21</v>
      </c>
      <c r="C3" s="56">
        <f>Entrate_Uscite!E4</f>
        <v>3898620848.71</v>
      </c>
      <c r="D3" s="56">
        <f>Entrate_Uscite!H4</f>
        <v>3345408138.3499999</v>
      </c>
      <c r="E3" s="56">
        <f>Entrate_Uscite!K4</f>
        <v>3717450182.9699998</v>
      </c>
      <c r="F3" s="56">
        <v>4626040943.1000004</v>
      </c>
      <c r="G3" s="56">
        <v>4791372835.2799997</v>
      </c>
      <c r="H3" s="56">
        <v>3656576827.8600001</v>
      </c>
      <c r="I3" s="56">
        <f t="shared" ref="I3:I21" si="1">E3/E$21*100</f>
        <v>20.565724387785078</v>
      </c>
      <c r="J3" s="57">
        <f t="shared" si="0"/>
        <v>11.120976252646301</v>
      </c>
      <c r="K3" s="56">
        <f>Entrate_Uscite!L4</f>
        <v>3403472840.6100001</v>
      </c>
      <c r="L3" s="58">
        <f t="shared" ref="L3:L21" si="2">IF(E3&gt;0,K3/E3*100,"-")</f>
        <v>91.553959652281009</v>
      </c>
    </row>
    <row r="4" spans="1:12" x14ac:dyDescent="0.25">
      <c r="A4" s="55" t="s">
        <v>21</v>
      </c>
      <c r="B4" s="56">
        <f>Entrate_Uscite!B5</f>
        <v>401612444.06999999</v>
      </c>
      <c r="C4" s="56">
        <f>Entrate_Uscite!E5</f>
        <v>569094061.63999999</v>
      </c>
      <c r="D4" s="56">
        <f>Entrate_Uscite!H5</f>
        <v>510025203.44</v>
      </c>
      <c r="E4" s="56">
        <f>Entrate_Uscite!K5</f>
        <v>774960116.40999997</v>
      </c>
      <c r="F4" s="56">
        <v>340842850.86000001</v>
      </c>
      <c r="G4" s="56">
        <v>1920722036.21</v>
      </c>
      <c r="H4" s="56">
        <v>990622138.78999996</v>
      </c>
      <c r="I4" s="56">
        <f t="shared" si="1"/>
        <v>4.2872440466386523</v>
      </c>
      <c r="J4" s="57">
        <f t="shared" si="0"/>
        <v>51.945455083999065</v>
      </c>
      <c r="K4" s="56">
        <f>Entrate_Uscite!L5</f>
        <v>658863368.37</v>
      </c>
      <c r="L4" s="58">
        <f t="shared" si="2"/>
        <v>85.019003483970536</v>
      </c>
    </row>
    <row r="5" spans="1:12" x14ac:dyDescent="0.25">
      <c r="A5" s="4" t="s">
        <v>30</v>
      </c>
      <c r="B5" s="43">
        <f t="shared" ref="B5:H5" si="3">SUM(B2:B4)</f>
        <v>15978652248.799999</v>
      </c>
      <c r="C5" s="43">
        <f t="shared" si="3"/>
        <v>15815924447.73</v>
      </c>
      <c r="D5" s="43">
        <f t="shared" si="3"/>
        <v>15601876489.75</v>
      </c>
      <c r="E5" s="43">
        <f t="shared" si="3"/>
        <v>16333904589.949999</v>
      </c>
      <c r="F5" s="43">
        <f t="shared" si="3"/>
        <v>16345984697.370001</v>
      </c>
      <c r="G5" s="43">
        <f t="shared" si="3"/>
        <v>18728961282.639999</v>
      </c>
      <c r="H5" s="43">
        <f t="shared" si="3"/>
        <v>16419265065.98</v>
      </c>
      <c r="I5" s="43">
        <f t="shared" si="1"/>
        <v>90.362631222918594</v>
      </c>
      <c r="J5" s="44">
        <f t="shared" si="0"/>
        <v>4.6919234406253736</v>
      </c>
      <c r="K5" s="43">
        <f>SUM(K2:K4)</f>
        <v>15528707245.070002</v>
      </c>
      <c r="L5" s="45">
        <f>IF(E5&gt;0,K5/E5*100,"-")</f>
        <v>95.070392749964867</v>
      </c>
    </row>
    <row r="6" spans="1:12" x14ac:dyDescent="0.25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Entrate_Uscite!L6</f>
        <v>0</v>
      </c>
      <c r="G6" s="56" t="str">
        <f>Entrate_Uscite!M6</f>
        <v>-</v>
      </c>
      <c r="H6" s="56" t="str">
        <f>Entrate_Uscite!N6</f>
        <v>-</v>
      </c>
      <c r="I6" s="56">
        <f t="shared" si="1"/>
        <v>0</v>
      </c>
      <c r="J6" s="57" t="str">
        <f t="shared" si="0"/>
        <v>-</v>
      </c>
      <c r="K6" s="56">
        <f>Entrate_Uscite!L6</f>
        <v>0</v>
      </c>
      <c r="L6" s="58" t="str">
        <f t="shared" si="2"/>
        <v>-</v>
      </c>
    </row>
    <row r="7" spans="1:12" x14ac:dyDescent="0.25">
      <c r="A7" s="55" t="s">
        <v>23</v>
      </c>
      <c r="B7" s="56">
        <f>Entrate_Uscite!B7</f>
        <v>1323746314.0699999</v>
      </c>
      <c r="C7" s="56">
        <f>Entrate_Uscite!E7</f>
        <v>1037641109.7</v>
      </c>
      <c r="D7" s="56">
        <f>Entrate_Uscite!H7</f>
        <v>636312078.88</v>
      </c>
      <c r="E7" s="56">
        <f>Entrate_Uscite!K7</f>
        <v>956084467.22000003</v>
      </c>
      <c r="F7" s="56">
        <v>2309920516.96</v>
      </c>
      <c r="G7" s="56">
        <v>3399713063.3099999</v>
      </c>
      <c r="H7" s="56">
        <v>1210054578.8699999</v>
      </c>
      <c r="I7" s="56">
        <f t="shared" si="1"/>
        <v>5.2892624450934136</v>
      </c>
      <c r="J7" s="57">
        <f t="shared" si="0"/>
        <v>50.25401826456681</v>
      </c>
      <c r="K7" s="56">
        <f>Entrate_Uscite!L7</f>
        <v>664993116.88</v>
      </c>
      <c r="L7" s="58">
        <f t="shared" si="2"/>
        <v>69.553804049719133</v>
      </c>
    </row>
    <row r="8" spans="1:12" x14ac:dyDescent="0.25">
      <c r="A8" s="55" t="s">
        <v>24</v>
      </c>
      <c r="B8" s="56">
        <f>Entrate_Uscite!B8</f>
        <v>149696393.68000001</v>
      </c>
      <c r="C8" s="56">
        <f>Entrate_Uscite!E8</f>
        <v>27180568.719999999</v>
      </c>
      <c r="D8" s="56">
        <f>Entrate_Uscite!H8</f>
        <v>17540283.629999999</v>
      </c>
      <c r="E8" s="56">
        <f>Entrate_Uscite!K8</f>
        <v>93892584.310000002</v>
      </c>
      <c r="F8" s="56">
        <v>39967021.100000001</v>
      </c>
      <c r="G8" s="56">
        <v>84908536</v>
      </c>
      <c r="H8" s="56">
        <v>11580377.68</v>
      </c>
      <c r="I8" s="56">
        <f t="shared" si="1"/>
        <v>0.51943372901734919</v>
      </c>
      <c r="J8" s="57">
        <f t="shared" si="0"/>
        <v>435.29684177632657</v>
      </c>
      <c r="K8" s="56">
        <f>Entrate_Uscite!L8</f>
        <v>52779764.840000004</v>
      </c>
      <c r="L8" s="58">
        <f t="shared" si="2"/>
        <v>56.212921635791758</v>
      </c>
    </row>
    <row r="9" spans="1:12" x14ac:dyDescent="0.25">
      <c r="A9" s="55" t="s">
        <v>25</v>
      </c>
      <c r="B9" s="56">
        <f>Entrate_Uscite!B9</f>
        <v>1643651.44</v>
      </c>
      <c r="C9" s="56">
        <f>Entrate_Uscite!E9</f>
        <v>1068473.72</v>
      </c>
      <c r="D9" s="56">
        <f>Entrate_Uscite!H9</f>
        <v>940470.86</v>
      </c>
      <c r="E9" s="56">
        <f>Entrate_Uscite!K9</f>
        <v>3722264.52</v>
      </c>
      <c r="F9" s="56">
        <v>2125154.96</v>
      </c>
      <c r="G9" s="56">
        <v>1840154.96</v>
      </c>
      <c r="H9" s="56">
        <v>1480000</v>
      </c>
      <c r="I9" s="56">
        <f t="shared" si="1"/>
        <v>2.0592358323304236E-2</v>
      </c>
      <c r="J9" s="57">
        <f t="shared" si="0"/>
        <v>295.78733146500679</v>
      </c>
      <c r="K9" s="56">
        <f>Entrate_Uscite!L9</f>
        <v>3607638.99</v>
      </c>
      <c r="L9" s="58">
        <f t="shared" si="2"/>
        <v>96.920543142914525</v>
      </c>
    </row>
    <row r="10" spans="1:12" x14ac:dyDescent="0.25">
      <c r="A10" s="55" t="s">
        <v>26</v>
      </c>
      <c r="B10" s="56">
        <f>Entrate_Uscite!B10</f>
        <v>2654420</v>
      </c>
      <c r="C10" s="56">
        <f>Entrate_Uscite!E10</f>
        <v>2895759.59</v>
      </c>
      <c r="D10" s="56">
        <f>Entrate_Uscite!H10</f>
        <v>14411720</v>
      </c>
      <c r="E10" s="56">
        <f>Entrate_Uscite!K10</f>
        <v>2139293.2799999998</v>
      </c>
      <c r="F10" s="56">
        <v>1279240.4099999999</v>
      </c>
      <c r="G10" s="56">
        <v>5880000</v>
      </c>
      <c r="H10" s="56">
        <v>0</v>
      </c>
      <c r="I10" s="56">
        <f t="shared" si="1"/>
        <v>1.1835025034813165E-2</v>
      </c>
      <c r="J10" s="57">
        <f t="shared" si="0"/>
        <v>-85.155878132519916</v>
      </c>
      <c r="K10" s="56">
        <f>Entrate_Uscite!L10</f>
        <v>462293.28</v>
      </c>
      <c r="L10" s="58">
        <f t="shared" si="2"/>
        <v>21.609626147191939</v>
      </c>
    </row>
    <row r="11" spans="1:12" x14ac:dyDescent="0.25">
      <c r="A11" s="4" t="s">
        <v>31</v>
      </c>
      <c r="B11" s="46">
        <f t="shared" ref="B11:H11" si="4">SUM(B6:B10)</f>
        <v>1477740779.1900001</v>
      </c>
      <c r="C11" s="46">
        <f t="shared" si="4"/>
        <v>1068785911.7300001</v>
      </c>
      <c r="D11" s="46">
        <f t="shared" si="4"/>
        <v>669204553.37</v>
      </c>
      <c r="E11" s="46">
        <f t="shared" si="4"/>
        <v>1055838609.3299999</v>
      </c>
      <c r="F11" s="46">
        <f t="shared" si="4"/>
        <v>2353291933.4299998</v>
      </c>
      <c r="G11" s="46">
        <f t="shared" si="4"/>
        <v>3492341754.27</v>
      </c>
      <c r="H11" s="46">
        <f t="shared" si="4"/>
        <v>1223114956.55</v>
      </c>
      <c r="I11" s="46">
        <f t="shared" si="1"/>
        <v>5.8411235574688796</v>
      </c>
      <c r="J11" s="44">
        <f t="shared" si="0"/>
        <v>57.775168147463546</v>
      </c>
      <c r="K11" s="46">
        <f>SUM(K6:K10)</f>
        <v>721842813.99000001</v>
      </c>
      <c r="L11" s="45">
        <f>IF(E11&gt;0,K11/E11*100,"-")</f>
        <v>68.366775718502808</v>
      </c>
    </row>
    <row r="12" spans="1:12" x14ac:dyDescent="0.25">
      <c r="A12" s="55" t="s">
        <v>27</v>
      </c>
      <c r="B12" s="56">
        <f>Entrate_Uscite!B11</f>
        <v>21762270.690000001</v>
      </c>
      <c r="C12" s="56">
        <f>Entrate_Uscite!E11</f>
        <v>2675546.85</v>
      </c>
      <c r="D12" s="56">
        <f>Entrate_Uscite!H11</f>
        <v>0</v>
      </c>
      <c r="E12" s="56">
        <f>Entrate_Uscite!K11</f>
        <v>0</v>
      </c>
      <c r="F12" s="56">
        <v>50411177</v>
      </c>
      <c r="G12" s="56">
        <v>0</v>
      </c>
      <c r="H12" s="56">
        <v>50411177</v>
      </c>
      <c r="I12" s="56">
        <f t="shared" si="1"/>
        <v>0</v>
      </c>
      <c r="J12" s="57" t="str">
        <f t="shared" si="0"/>
        <v>-</v>
      </c>
      <c r="K12" s="56">
        <f>Entrate_Uscite!L11</f>
        <v>0</v>
      </c>
      <c r="L12" s="58" t="str">
        <f t="shared" si="2"/>
        <v>-</v>
      </c>
    </row>
    <row r="13" spans="1:12" x14ac:dyDescent="0.25">
      <c r="A13" s="55" t="s">
        <v>28</v>
      </c>
      <c r="B13" s="56">
        <f>Entrate_Uscite!B12</f>
        <v>68984758.859999999</v>
      </c>
      <c r="C13" s="56">
        <f>Entrate_Uscite!E12</f>
        <v>14770995.5</v>
      </c>
      <c r="D13" s="56">
        <f>Entrate_Uscite!H12</f>
        <v>4839232.09</v>
      </c>
      <c r="E13" s="56">
        <f>Entrate_Uscite!K12</f>
        <v>2776844.64</v>
      </c>
      <c r="F13" s="56">
        <v>0</v>
      </c>
      <c r="G13" s="56">
        <v>3677098.04</v>
      </c>
      <c r="H13" s="56">
        <v>218373.88</v>
      </c>
      <c r="I13" s="56">
        <f t="shared" si="1"/>
        <v>1.5362094640986651E-2</v>
      </c>
      <c r="J13" s="57">
        <f t="shared" si="0"/>
        <v>-42.61807269508332</v>
      </c>
      <c r="K13" s="56">
        <f>Entrate_Uscite!L12</f>
        <v>2776844.64</v>
      </c>
      <c r="L13" s="58">
        <f t="shared" si="2"/>
        <v>100</v>
      </c>
    </row>
    <row r="14" spans="1:12" x14ac:dyDescent="0.25">
      <c r="A14" s="55" t="s">
        <v>29</v>
      </c>
      <c r="B14" s="56">
        <f>Entrate_Uscite!B13</f>
        <v>947183273.64999998</v>
      </c>
      <c r="C14" s="56">
        <f>Entrate_Uscite!E13</f>
        <v>382738833.95999998</v>
      </c>
      <c r="D14" s="56">
        <f>Entrate_Uscite!H13</f>
        <v>83626983.299999997</v>
      </c>
      <c r="E14" s="56">
        <f>Entrate_Uscite!K13</f>
        <v>683430566.29999995</v>
      </c>
      <c r="F14" s="56">
        <v>930000000</v>
      </c>
      <c r="G14" s="56">
        <v>1029557505.02</v>
      </c>
      <c r="H14" s="56">
        <v>930700000</v>
      </c>
      <c r="I14" s="56">
        <f t="shared" si="1"/>
        <v>3.7808831249715507</v>
      </c>
      <c r="J14" s="57">
        <f t="shared" si="0"/>
        <v>717.23690049692368</v>
      </c>
      <c r="K14" s="56">
        <f>Entrate_Uscite!L13</f>
        <v>683046327.11000001</v>
      </c>
      <c r="L14" s="58">
        <f t="shared" si="2"/>
        <v>99.943777874601054</v>
      </c>
    </row>
    <row r="15" spans="1:12" x14ac:dyDescent="0.25">
      <c r="A15" s="4" t="s">
        <v>32</v>
      </c>
      <c r="B15" s="43">
        <f t="shared" ref="B15:H15" si="5">SUM(B12:B14)</f>
        <v>1037930303.1999999</v>
      </c>
      <c r="C15" s="43">
        <f t="shared" si="5"/>
        <v>400185376.31</v>
      </c>
      <c r="D15" s="43">
        <f t="shared" si="5"/>
        <v>88466215.390000001</v>
      </c>
      <c r="E15" s="43">
        <f t="shared" si="5"/>
        <v>686207410.93999994</v>
      </c>
      <c r="F15" s="43">
        <f t="shared" si="5"/>
        <v>980411177</v>
      </c>
      <c r="G15" s="43">
        <f t="shared" si="5"/>
        <v>1033234603.0599999</v>
      </c>
      <c r="H15" s="43">
        <f t="shared" si="5"/>
        <v>981329550.88</v>
      </c>
      <c r="I15" s="43">
        <f t="shared" si="1"/>
        <v>3.7962452196125374</v>
      </c>
      <c r="J15" s="44">
        <f t="shared" si="0"/>
        <v>675.67171593684691</v>
      </c>
      <c r="K15" s="43">
        <f>SUM(K12:K14)</f>
        <v>685823171.75</v>
      </c>
      <c r="L15" s="45">
        <f t="shared" si="2"/>
        <v>99.944005386145037</v>
      </c>
    </row>
    <row r="16" spans="1:12" x14ac:dyDescent="0.25">
      <c r="A16" s="47" t="s">
        <v>343</v>
      </c>
      <c r="B16" s="48">
        <f>B5+B11+B15</f>
        <v>18494323331.189999</v>
      </c>
      <c r="C16" s="48">
        <f t="shared" ref="C16:E16" si="6">C5+C11+C15</f>
        <v>17284895735.77</v>
      </c>
      <c r="D16" s="48">
        <f t="shared" si="6"/>
        <v>16359547258.51</v>
      </c>
      <c r="E16" s="48">
        <f t="shared" si="6"/>
        <v>18075950610.219997</v>
      </c>
      <c r="F16" s="48">
        <f t="shared" ref="F16:G16" si="7">F5+F11+F15</f>
        <v>19679687807.799999</v>
      </c>
      <c r="G16" s="48">
        <f t="shared" si="7"/>
        <v>23254537639.970001</v>
      </c>
      <c r="H16" s="48">
        <f t="shared" ref="H16" si="8">H5+H11+H15</f>
        <v>18623709573.41</v>
      </c>
      <c r="I16" s="48">
        <f t="shared" si="1"/>
        <v>100</v>
      </c>
      <c r="J16" s="49">
        <f t="shared" si="0"/>
        <v>10.491753375492394</v>
      </c>
      <c r="K16" s="48">
        <f t="shared" ref="K16" si="9">K5+K11+K15</f>
        <v>16936373230.810001</v>
      </c>
      <c r="L16" s="50">
        <f t="shared" si="2"/>
        <v>93.69561577156729</v>
      </c>
    </row>
    <row r="17" spans="1:12" x14ac:dyDescent="0.25">
      <c r="A17" s="4" t="s">
        <v>33</v>
      </c>
      <c r="B17" s="43">
        <f>Entrate_Uscite!B17</f>
        <v>68223140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v>250000000</v>
      </c>
      <c r="G17" s="43">
        <v>0</v>
      </c>
      <c r="H17" s="43">
        <v>0</v>
      </c>
      <c r="I17" s="43">
        <f t="shared" si="1"/>
        <v>0</v>
      </c>
      <c r="J17" s="44" t="str">
        <f t="shared" si="0"/>
        <v>-</v>
      </c>
      <c r="K17" s="43">
        <f>Entrate_Uscite!L17</f>
        <v>0</v>
      </c>
      <c r="L17" s="45" t="str">
        <f t="shared" si="2"/>
        <v>-</v>
      </c>
    </row>
    <row r="18" spans="1:12" x14ac:dyDescent="0.25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v>0</v>
      </c>
      <c r="G18" s="43">
        <v>0</v>
      </c>
      <c r="H18" s="43">
        <v>0</v>
      </c>
      <c r="I18" s="43">
        <f t="shared" si="1"/>
        <v>0</v>
      </c>
      <c r="J18" s="44" t="str">
        <f t="shared" si="0"/>
        <v>-</v>
      </c>
      <c r="K18" s="43">
        <f>Entrate_Uscite!L18</f>
        <v>0</v>
      </c>
      <c r="L18" s="45" t="str">
        <f t="shared" si="2"/>
        <v>-</v>
      </c>
    </row>
    <row r="19" spans="1:12" x14ac:dyDescent="0.25">
      <c r="A19" s="4" t="s">
        <v>35</v>
      </c>
      <c r="B19" s="43">
        <f>Entrate_Uscite!B19</f>
        <v>2672499951.5100002</v>
      </c>
      <c r="C19" s="43">
        <f>Entrate_Uscite!E19</f>
        <v>2663124770.6100001</v>
      </c>
      <c r="D19" s="43">
        <f>Entrate_Uscite!H19</f>
        <v>3992541060.25</v>
      </c>
      <c r="E19" s="43">
        <f>Entrate_Uscite!K19</f>
        <v>2930830488.8499999</v>
      </c>
      <c r="F19" s="43">
        <v>3541668955.6900001</v>
      </c>
      <c r="G19" s="43">
        <v>3361065116.1199999</v>
      </c>
      <c r="H19" s="43">
        <v>379105000</v>
      </c>
      <c r="I19" s="43"/>
      <c r="J19" s="44">
        <f t="shared" si="0"/>
        <v>-26.592351972793978</v>
      </c>
      <c r="K19" s="43">
        <f>Entrate_Uscite!L19</f>
        <v>2918552165.1999998</v>
      </c>
      <c r="L19" s="45">
        <f t="shared" si="2"/>
        <v>99.581063330113722</v>
      </c>
    </row>
    <row r="20" spans="1:12" x14ac:dyDescent="0.25">
      <c r="A20" s="47" t="s">
        <v>36</v>
      </c>
      <c r="B20" s="48">
        <f t="shared" ref="B20:H20" si="10">B5+B11+B15+B17+B18+B19</f>
        <v>21235046422.699997</v>
      </c>
      <c r="C20" s="48">
        <f t="shared" si="10"/>
        <v>19948020506.380001</v>
      </c>
      <c r="D20" s="48">
        <f t="shared" si="10"/>
        <v>20352088318.760002</v>
      </c>
      <c r="E20" s="48">
        <f t="shared" si="10"/>
        <v>21006781099.069996</v>
      </c>
      <c r="F20" s="48">
        <f t="shared" si="10"/>
        <v>23471356763.489998</v>
      </c>
      <c r="G20" s="48">
        <f t="shared" si="10"/>
        <v>26615602756.09</v>
      </c>
      <c r="H20" s="48">
        <f t="shared" si="10"/>
        <v>19002814573.41</v>
      </c>
      <c r="I20" s="48"/>
      <c r="J20" s="49">
        <f t="shared" si="0"/>
        <v>3.2168334278822641</v>
      </c>
      <c r="K20" s="48">
        <f>K5+K11+K15+K17+K18+K19</f>
        <v>19854925396.010002</v>
      </c>
      <c r="L20" s="50">
        <f t="shared" si="2"/>
        <v>94.516743438093954</v>
      </c>
    </row>
    <row r="21" spans="1:12" x14ac:dyDescent="0.25">
      <c r="A21" s="38" t="s">
        <v>37</v>
      </c>
      <c r="B21" s="51">
        <f t="shared" ref="B21:H21" si="11">B20-B19</f>
        <v>18562546471.189995</v>
      </c>
      <c r="C21" s="51">
        <f t="shared" si="11"/>
        <v>17284895735.77</v>
      </c>
      <c r="D21" s="51">
        <f t="shared" si="11"/>
        <v>16359547258.510002</v>
      </c>
      <c r="E21" s="51">
        <f t="shared" si="11"/>
        <v>18075950610.219997</v>
      </c>
      <c r="F21" s="51">
        <f t="shared" si="11"/>
        <v>19929687807.799999</v>
      </c>
      <c r="G21" s="51">
        <f t="shared" si="11"/>
        <v>23254537639.970001</v>
      </c>
      <c r="H21" s="51">
        <f t="shared" si="11"/>
        <v>18623709573.41</v>
      </c>
      <c r="I21" s="51">
        <f t="shared" si="1"/>
        <v>100</v>
      </c>
      <c r="J21" s="52">
        <f t="shared" si="0"/>
        <v>10.491753375492394</v>
      </c>
      <c r="K21" s="51">
        <f>K20-K19</f>
        <v>16936373230.810001</v>
      </c>
      <c r="L21" s="53">
        <f t="shared" si="2"/>
        <v>93.69561577156729</v>
      </c>
    </row>
    <row r="22" spans="1:12" x14ac:dyDescent="0.25">
      <c r="K22" s="6"/>
    </row>
    <row r="23" spans="1:12" x14ac:dyDescent="0.25">
      <c r="K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13" workbookViewId="0">
      <selection activeCell="I28" sqref="I28"/>
    </sheetView>
  </sheetViews>
  <sheetFormatPr defaultRowHeight="15" x14ac:dyDescent="0.25"/>
  <cols>
    <col min="1" max="1" width="50.7109375" bestFit="1" customWidth="1"/>
    <col min="2" max="8" width="15.28515625" bestFit="1" customWidth="1"/>
    <col min="9" max="9" width="8.5703125" customWidth="1"/>
    <col min="10" max="10" width="8.140625" customWidth="1"/>
    <col min="11" max="11" width="15.28515625" bestFit="1" customWidth="1"/>
    <col min="12" max="12" width="7" bestFit="1" customWidth="1"/>
  </cols>
  <sheetData>
    <row r="1" spans="1:12" ht="30" x14ac:dyDescent="0.25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54" t="s">
        <v>295</v>
      </c>
      <c r="J1" s="42" t="s">
        <v>232</v>
      </c>
      <c r="K1" s="54" t="s">
        <v>372</v>
      </c>
      <c r="L1" s="42" t="s">
        <v>334</v>
      </c>
    </row>
    <row r="2" spans="1:12" x14ac:dyDescent="0.25">
      <c r="A2" s="59" t="s">
        <v>268</v>
      </c>
      <c r="B2" s="56">
        <f>Entrate_Uscite!B23</f>
        <v>1347791461.1300001</v>
      </c>
      <c r="C2" s="56">
        <f>Entrate_Uscite!E23</f>
        <v>791072118.32000005</v>
      </c>
      <c r="D2" s="56">
        <f>Entrate_Uscite!H23</f>
        <v>742840838.61000001</v>
      </c>
      <c r="E2" s="56">
        <f>Entrate_Uscite!K23</f>
        <v>739392354.13</v>
      </c>
      <c r="F2" s="56">
        <v>0</v>
      </c>
      <c r="G2" s="56">
        <v>0</v>
      </c>
      <c r="H2" s="56">
        <v>0</v>
      </c>
      <c r="I2" s="56">
        <f>E2/E$31*100</f>
        <v>4.2218401793029905</v>
      </c>
      <c r="J2" s="57">
        <f>IF(D2&gt;0,E2/D2*100-100,"-")</f>
        <v>-0.4642292535306467</v>
      </c>
      <c r="K2" s="56">
        <f>Entrate_Uscite!L23</f>
        <v>725526843.57000005</v>
      </c>
      <c r="L2" s="58">
        <f>IF(E2&gt;0,K2/E2*100,"-")</f>
        <v>98.124742502062432</v>
      </c>
    </row>
    <row r="3" spans="1:12" x14ac:dyDescent="0.25">
      <c r="A3" s="59" t="s">
        <v>269</v>
      </c>
      <c r="B3" s="56">
        <f>Entrate_Uscite!B24</f>
        <v>71602308.75</v>
      </c>
      <c r="C3" s="56">
        <f>Entrate_Uscite!E24</f>
        <v>72471762.849999994</v>
      </c>
      <c r="D3" s="56">
        <f>Entrate_Uscite!H24</f>
        <v>65499217.149999999</v>
      </c>
      <c r="E3" s="56">
        <f>Entrate_Uscite!K24</f>
        <v>68675664.099999994</v>
      </c>
      <c r="F3" s="56">
        <v>0</v>
      </c>
      <c r="G3" s="56">
        <v>0</v>
      </c>
      <c r="H3" s="56">
        <v>0</v>
      </c>
      <c r="I3" s="56">
        <f t="shared" ref="I3:I31" si="0">E3/E$31*100</f>
        <v>0.39212966758203599</v>
      </c>
      <c r="J3" s="57">
        <f t="shared" ref="J3:J31" si="1">IF(D3&gt;0,E3/D3*100-100,"-")</f>
        <v>4.849595290162938</v>
      </c>
      <c r="K3" s="56">
        <f>Entrate_Uscite!L24</f>
        <v>67636484.489999995</v>
      </c>
      <c r="L3" s="58">
        <f>IF(E3&gt;0,K3/E3*100,"-")</f>
        <v>98.48682990748101</v>
      </c>
    </row>
    <row r="4" spans="1:12" x14ac:dyDescent="0.25">
      <c r="A4" s="59" t="s">
        <v>270</v>
      </c>
      <c r="B4" s="56">
        <f>Entrate_Uscite!B25</f>
        <v>927601472.63999999</v>
      </c>
      <c r="C4" s="56">
        <f>Entrate_Uscite!E25</f>
        <v>1433754941.97</v>
      </c>
      <c r="D4" s="56">
        <f>Entrate_Uscite!H25</f>
        <v>1447238620.3399999</v>
      </c>
      <c r="E4" s="56">
        <f>Entrate_Uscite!K25</f>
        <v>1503933915.96</v>
      </c>
      <c r="F4" s="56">
        <v>0</v>
      </c>
      <c r="G4" s="56">
        <v>0</v>
      </c>
      <c r="H4" s="56">
        <v>0</v>
      </c>
      <c r="I4" s="56">
        <f t="shared" si="0"/>
        <v>8.5872792678352052</v>
      </c>
      <c r="J4" s="57">
        <f t="shared" si="1"/>
        <v>3.9174808371739545</v>
      </c>
      <c r="K4" s="56">
        <f>Entrate_Uscite!L25</f>
        <v>1365800890.28</v>
      </c>
      <c r="L4" s="58">
        <f t="shared" ref="L4:L9" si="2">IF(E4&gt;0,K4/E4*100,"-")</f>
        <v>90.815219723811722</v>
      </c>
    </row>
    <row r="5" spans="1:12" x14ac:dyDescent="0.25">
      <c r="A5" s="59" t="s">
        <v>271</v>
      </c>
      <c r="B5" s="56">
        <f>Entrate_Uscite!B26</f>
        <v>10273914150.940001</v>
      </c>
      <c r="C5" s="56">
        <f>Entrate_Uscite!E26</f>
        <v>12090651457.09</v>
      </c>
      <c r="D5" s="56">
        <f>Entrate_Uscite!H26</f>
        <v>12251212916.18</v>
      </c>
      <c r="E5" s="56">
        <f>Entrate_Uscite!K26</f>
        <v>12106040244.530001</v>
      </c>
      <c r="F5" s="56">
        <v>0</v>
      </c>
      <c r="G5" s="56">
        <v>0</v>
      </c>
      <c r="H5" s="56">
        <v>0</v>
      </c>
      <c r="I5" s="56">
        <f t="shared" si="0"/>
        <v>69.124013564832779</v>
      </c>
      <c r="J5" s="57">
        <f t="shared" si="1"/>
        <v>-1.1849657061977297</v>
      </c>
      <c r="K5" s="56">
        <f>Entrate_Uscite!L26</f>
        <v>11088171875.200001</v>
      </c>
      <c r="L5" s="58">
        <f t="shared" si="2"/>
        <v>91.592061906535335</v>
      </c>
    </row>
    <row r="6" spans="1:12" x14ac:dyDescent="0.25">
      <c r="A6" s="59" t="s">
        <v>272</v>
      </c>
      <c r="B6" s="56">
        <f>Entrate_Uscite!B29</f>
        <v>311612293.72000003</v>
      </c>
      <c r="C6" s="56">
        <f>Entrate_Uscite!E29</f>
        <v>389295874.94</v>
      </c>
      <c r="D6" s="56">
        <f>Entrate_Uscite!H29</f>
        <v>275459154.32999998</v>
      </c>
      <c r="E6" s="56">
        <f>Entrate_Uscite!K29</f>
        <v>219561889.22</v>
      </c>
      <c r="F6" s="56">
        <v>0</v>
      </c>
      <c r="G6" s="56">
        <v>0</v>
      </c>
      <c r="H6" s="56">
        <v>0</v>
      </c>
      <c r="I6" s="56">
        <f t="shared" si="0"/>
        <v>1.2536716136906263</v>
      </c>
      <c r="J6" s="57">
        <f t="shared" si="1"/>
        <v>-20.292396978404668</v>
      </c>
      <c r="K6" s="56">
        <f>Entrate_Uscite!L29</f>
        <v>219217231.83000001</v>
      </c>
      <c r="L6" s="58">
        <f t="shared" si="2"/>
        <v>99.843024947897646</v>
      </c>
    </row>
    <row r="7" spans="1:12" x14ac:dyDescent="0.25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v>0</v>
      </c>
      <c r="G7" s="56">
        <v>0</v>
      </c>
      <c r="H7" s="56">
        <v>0</v>
      </c>
      <c r="I7" s="56">
        <f t="shared" si="0"/>
        <v>0</v>
      </c>
      <c r="J7" s="57" t="str">
        <f t="shared" si="1"/>
        <v>-</v>
      </c>
      <c r="K7" s="56">
        <f>Entrate_Uscite!L30</f>
        <v>0</v>
      </c>
      <c r="L7" s="58" t="str">
        <f t="shared" si="2"/>
        <v>-</v>
      </c>
    </row>
    <row r="8" spans="1:12" x14ac:dyDescent="0.25">
      <c r="A8" s="59" t="s">
        <v>274</v>
      </c>
      <c r="B8" s="56">
        <f>Entrate_Uscite!B31</f>
        <v>2474913993.21</v>
      </c>
      <c r="C8" s="56">
        <f>Entrate_Uscite!E31</f>
        <v>509633813.27999997</v>
      </c>
      <c r="D8" s="56">
        <f>Entrate_Uscite!H31</f>
        <v>377406957.73000002</v>
      </c>
      <c r="E8" s="56">
        <f>Entrate_Uscite!K31</f>
        <v>729881447.86000001</v>
      </c>
      <c r="F8" s="56">
        <v>0</v>
      </c>
      <c r="G8" s="56">
        <v>0</v>
      </c>
      <c r="H8" s="56">
        <v>0</v>
      </c>
      <c r="I8" s="56">
        <f t="shared" si="0"/>
        <v>4.1675340642776098</v>
      </c>
      <c r="J8" s="57">
        <f t="shared" si="1"/>
        <v>93.393744580131198</v>
      </c>
      <c r="K8" s="56">
        <f>Entrate_Uscite!L31</f>
        <v>628886102.35000002</v>
      </c>
      <c r="L8" s="58">
        <f t="shared" si="2"/>
        <v>86.162773994856749</v>
      </c>
    </row>
    <row r="9" spans="1:12" x14ac:dyDescent="0.25">
      <c r="A9" s="59" t="s">
        <v>275</v>
      </c>
      <c r="B9" s="56">
        <f>Entrate_Uscite!B32</f>
        <v>294225984.05000001</v>
      </c>
      <c r="C9" s="56">
        <f>Entrate_Uscite!E32</f>
        <v>47179762.75</v>
      </c>
      <c r="D9" s="56">
        <f>Entrate_Uscite!H32</f>
        <v>61892385.909999996</v>
      </c>
      <c r="E9" s="56">
        <f>Entrate_Uscite!K32</f>
        <v>49948848.009999998</v>
      </c>
      <c r="F9" s="56">
        <v>0</v>
      </c>
      <c r="G9" s="56">
        <v>0</v>
      </c>
      <c r="H9" s="56">
        <v>0</v>
      </c>
      <c r="I9" s="56">
        <f t="shared" si="0"/>
        <v>0.28520183128839871</v>
      </c>
      <c r="J9" s="57">
        <f t="shared" si="1"/>
        <v>-19.297265284565924</v>
      </c>
      <c r="K9" s="56">
        <f>Entrate_Uscite!L32</f>
        <v>47179418.82</v>
      </c>
      <c r="L9" s="58">
        <f t="shared" si="2"/>
        <v>94.455469344467076</v>
      </c>
    </row>
    <row r="10" spans="1:12" x14ac:dyDescent="0.25">
      <c r="A10" s="4" t="s">
        <v>280</v>
      </c>
      <c r="B10" s="43">
        <f>SUM(B2:B9)</f>
        <v>15701661664.439999</v>
      </c>
      <c r="C10" s="43">
        <f>SUM(C2:C9)</f>
        <v>15334059731.200001</v>
      </c>
      <c r="D10" s="43">
        <f>SUM(D2:D9)</f>
        <v>15221550090.25</v>
      </c>
      <c r="E10" s="43">
        <f>SUM(E2:E9)</f>
        <v>15417434363.810001</v>
      </c>
      <c r="F10" s="43">
        <v>16291967918.98</v>
      </c>
      <c r="G10" s="43">
        <v>17249859505.060001</v>
      </c>
      <c r="H10" s="43">
        <v>14839350218.98</v>
      </c>
      <c r="I10" s="43">
        <f t="shared" si="0"/>
        <v>88.031670188809656</v>
      </c>
      <c r="J10" s="44">
        <f t="shared" si="1"/>
        <v>1.2868878162774848</v>
      </c>
      <c r="K10" s="43">
        <f>SUM(K2:K9)</f>
        <v>14142418846.540001</v>
      </c>
      <c r="L10" s="45">
        <f t="shared" ref="L10:L17" si="3">IF(E10&gt;0,K10/E10*100,"-")</f>
        <v>91.730040892777225</v>
      </c>
    </row>
    <row r="11" spans="1:12" x14ac:dyDescent="0.25">
      <c r="A11" s="59" t="s">
        <v>276</v>
      </c>
      <c r="B11" s="56">
        <f>Entrate_Uscite!B34</f>
        <v>186519946.97</v>
      </c>
      <c r="C11" s="56">
        <f>Entrate_Uscite!E34</f>
        <v>171252888.13999999</v>
      </c>
      <c r="D11" s="56">
        <f>Entrate_Uscite!H34</f>
        <v>240740638.47999999</v>
      </c>
      <c r="E11" s="56">
        <f>Entrate_Uscite!K34</f>
        <v>165510336.81</v>
      </c>
      <c r="F11" s="56">
        <v>0</v>
      </c>
      <c r="G11" s="56">
        <v>0</v>
      </c>
      <c r="H11" s="56">
        <v>0</v>
      </c>
      <c r="I11" s="56">
        <f t="shared" si="0"/>
        <v>0.94504384056908042</v>
      </c>
      <c r="J11" s="57">
        <f t="shared" si="1"/>
        <v>-31.249523198489769</v>
      </c>
      <c r="K11" s="56">
        <f>Entrate_Uscite!L34</f>
        <v>130885810.79000001</v>
      </c>
      <c r="L11" s="58">
        <f t="shared" si="3"/>
        <v>79.080142855519824</v>
      </c>
    </row>
    <row r="12" spans="1:12" x14ac:dyDescent="0.25">
      <c r="A12" s="59" t="s">
        <v>277</v>
      </c>
      <c r="B12" s="56">
        <f>Entrate_Uscite!B35</f>
        <v>1104908440.6099999</v>
      </c>
      <c r="C12" s="56">
        <f>Entrate_Uscite!E35</f>
        <v>743103806.73000002</v>
      </c>
      <c r="D12" s="56">
        <f>Entrate_Uscite!H35</f>
        <v>804439817.75</v>
      </c>
      <c r="E12" s="56">
        <f>Entrate_Uscite!K35</f>
        <v>862226393.05999994</v>
      </c>
      <c r="F12" s="56">
        <v>0</v>
      </c>
      <c r="G12" s="56">
        <v>0</v>
      </c>
      <c r="H12" s="56">
        <v>0</v>
      </c>
      <c r="I12" s="56">
        <f t="shared" si="0"/>
        <v>4.9232075629986616</v>
      </c>
      <c r="J12" s="57">
        <f t="shared" si="1"/>
        <v>7.1834553729112542</v>
      </c>
      <c r="K12" s="56">
        <f>Entrate_Uscite!L35</f>
        <v>427871486.87</v>
      </c>
      <c r="L12" s="58">
        <f t="shared" si="3"/>
        <v>49.624030337496947</v>
      </c>
    </row>
    <row r="13" spans="1:12" x14ac:dyDescent="0.25">
      <c r="A13" s="59" t="s">
        <v>278</v>
      </c>
      <c r="B13" s="56">
        <f>Entrate_Uscite!B36</f>
        <v>101054859.13</v>
      </c>
      <c r="C13" s="56">
        <f>Entrate_Uscite!E36</f>
        <v>110546009.79000001</v>
      </c>
      <c r="D13" s="56">
        <f>Entrate_Uscite!H36</f>
        <v>69096761.329999998</v>
      </c>
      <c r="E13" s="56">
        <f>Entrate_Uscite!K36</f>
        <v>97146776.920000002</v>
      </c>
      <c r="F13" s="56">
        <v>0</v>
      </c>
      <c r="G13" s="56">
        <v>0</v>
      </c>
      <c r="H13" s="56">
        <v>0</v>
      </c>
      <c r="I13" s="56">
        <f t="shared" si="0"/>
        <v>0.55469624996761857</v>
      </c>
      <c r="J13" s="57">
        <f t="shared" si="1"/>
        <v>40.595268215301161</v>
      </c>
      <c r="K13" s="56">
        <f>Entrate_Uscite!L36</f>
        <v>88020665.510000005</v>
      </c>
      <c r="L13" s="58">
        <f t="shared" si="3"/>
        <v>90.605852608455223</v>
      </c>
    </row>
    <row r="14" spans="1:12" x14ac:dyDescent="0.25">
      <c r="A14" s="59" t="s">
        <v>279</v>
      </c>
      <c r="B14" s="56">
        <f>Entrate_Uscite!B37</f>
        <v>59057587.43</v>
      </c>
      <c r="C14" s="56">
        <f>Entrate_Uscite!E37</f>
        <v>13038617.869999999</v>
      </c>
      <c r="D14" s="56">
        <f>Entrate_Uscite!H37</f>
        <v>12920684.9</v>
      </c>
      <c r="E14" s="56">
        <f>Entrate_Uscite!K37</f>
        <v>40105227.920000002</v>
      </c>
      <c r="F14" s="56">
        <v>0</v>
      </c>
      <c r="G14" s="56">
        <v>0</v>
      </c>
      <c r="H14" s="56">
        <v>0</v>
      </c>
      <c r="I14" s="56">
        <f t="shared" si="0"/>
        <v>0.22899596092251537</v>
      </c>
      <c r="J14" s="111">
        <f t="shared" si="1"/>
        <v>210.39552647863121</v>
      </c>
      <c r="K14" s="56">
        <f>Entrate_Uscite!L37</f>
        <v>3170312.35</v>
      </c>
      <c r="L14" s="58">
        <f t="shared" si="3"/>
        <v>7.9049852461229948</v>
      </c>
    </row>
    <row r="15" spans="1:12" x14ac:dyDescent="0.25">
      <c r="A15" s="4" t="s">
        <v>281</v>
      </c>
      <c r="B15" s="46">
        <f>SUM(B11:B14)</f>
        <v>1451540834.1400001</v>
      </c>
      <c r="C15" s="46">
        <f>SUM(C11:C14)</f>
        <v>1037941322.53</v>
      </c>
      <c r="D15" s="46">
        <f>SUM(D11:D14)</f>
        <v>1127197902.46</v>
      </c>
      <c r="E15" s="46">
        <f>SUM(E11:E14)</f>
        <v>1164988734.71</v>
      </c>
      <c r="F15" s="46">
        <v>3878790771.27</v>
      </c>
      <c r="G15" s="46">
        <v>4838910411.5799999</v>
      </c>
      <c r="H15" s="46">
        <v>1924165566.4300001</v>
      </c>
      <c r="I15" s="46">
        <f t="shared" si="0"/>
        <v>6.6519436144578767</v>
      </c>
      <c r="J15" s="44">
        <f t="shared" si="1"/>
        <v>3.3526350756619649</v>
      </c>
      <c r="K15" s="46">
        <f>SUM(K11:K14)</f>
        <v>649948275.51999998</v>
      </c>
      <c r="L15" s="45">
        <f t="shared" si="3"/>
        <v>55.790091024510311</v>
      </c>
    </row>
    <row r="16" spans="1:12" x14ac:dyDescent="0.25">
      <c r="A16" s="59" t="s">
        <v>282</v>
      </c>
      <c r="B16" s="56">
        <f>Entrate_Uscite!B38</f>
        <v>18613858.129999999</v>
      </c>
      <c r="C16" s="56">
        <f>Entrate_Uscite!E38</f>
        <v>24600000</v>
      </c>
      <c r="D16" s="56">
        <f>Entrate_Uscite!H38</f>
        <v>15000000</v>
      </c>
      <c r="E16" s="56">
        <f>Entrate_Uscite!K38</f>
        <v>0</v>
      </c>
      <c r="F16" s="56">
        <v>0</v>
      </c>
      <c r="G16" s="56">
        <v>0</v>
      </c>
      <c r="H16" s="56">
        <v>0</v>
      </c>
      <c r="I16" s="56">
        <f t="shared" si="0"/>
        <v>0</v>
      </c>
      <c r="J16" s="57">
        <f t="shared" si="1"/>
        <v>-100</v>
      </c>
      <c r="K16" s="56">
        <f>Entrate_Uscite!L38</f>
        <v>0</v>
      </c>
      <c r="L16" s="58" t="str">
        <f t="shared" si="3"/>
        <v>-</v>
      </c>
    </row>
    <row r="17" spans="1:12" x14ac:dyDescent="0.25">
      <c r="A17" s="59" t="s">
        <v>283</v>
      </c>
      <c r="B17" s="56">
        <f>Entrate_Uscite!B39</f>
        <v>8178234.3200000003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v>0</v>
      </c>
      <c r="G17" s="56">
        <v>0</v>
      </c>
      <c r="H17" s="56">
        <v>0</v>
      </c>
      <c r="I17" s="56">
        <f t="shared" si="0"/>
        <v>0</v>
      </c>
      <c r="J17" s="57" t="str">
        <f t="shared" si="1"/>
        <v>-</v>
      </c>
      <c r="K17" s="56">
        <f>Entrate_Uscite!L39</f>
        <v>0</v>
      </c>
      <c r="L17" s="58" t="str">
        <f t="shared" si="3"/>
        <v>-</v>
      </c>
    </row>
    <row r="18" spans="1:12" x14ac:dyDescent="0.25">
      <c r="A18" s="59" t="s">
        <v>284</v>
      </c>
      <c r="B18" s="56">
        <f>Entrate_Uscite!B40</f>
        <v>21323000</v>
      </c>
      <c r="C18" s="56">
        <f>Entrate_Uscite!E40</f>
        <v>16160000</v>
      </c>
      <c r="D18" s="56">
        <f>Entrate_Uscite!H40</f>
        <v>48152269</v>
      </c>
      <c r="E18" s="56">
        <f>Entrate_Uscite!K40</f>
        <v>2000000</v>
      </c>
      <c r="F18" s="56">
        <v>0</v>
      </c>
      <c r="G18" s="56">
        <v>0</v>
      </c>
      <c r="H18" s="56">
        <v>0</v>
      </c>
      <c r="I18" s="56">
        <f t="shared" si="0"/>
        <v>1.1419756116549473E-2</v>
      </c>
      <c r="J18" s="57">
        <f t="shared" si="1"/>
        <v>-95.846509330640259</v>
      </c>
      <c r="K18" s="56">
        <f>Entrate_Uscite!L40</f>
        <v>2000000</v>
      </c>
      <c r="L18" s="58">
        <f t="shared" ref="L18:L26" si="4">IF(E18&gt;0,K18/E18*100,"-")</f>
        <v>100</v>
      </c>
    </row>
    <row r="19" spans="1:12" x14ac:dyDescent="0.25">
      <c r="A19" s="59" t="s">
        <v>285</v>
      </c>
      <c r="B19" s="56">
        <f>Entrate_Uscite!B41</f>
        <v>920453788.11000001</v>
      </c>
      <c r="C19" s="56">
        <f>Entrate_Uscite!E41</f>
        <v>329789370.87</v>
      </c>
      <c r="D19" s="56">
        <f>Entrate_Uscite!H41</f>
        <v>109309589.27</v>
      </c>
      <c r="E19" s="56">
        <f>Entrate_Uscite!K41</f>
        <v>708712112.17999995</v>
      </c>
      <c r="F19" s="56">
        <v>0</v>
      </c>
      <c r="G19" s="56">
        <v>0</v>
      </c>
      <c r="H19" s="56">
        <v>0</v>
      </c>
      <c r="I19" s="56">
        <f t="shared" si="0"/>
        <v>4.0466597389701251</v>
      </c>
      <c r="J19" s="57">
        <f t="shared" si="1"/>
        <v>548.35310141861987</v>
      </c>
      <c r="K19" s="56">
        <f>Entrate_Uscite!L41</f>
        <v>708710823.29999995</v>
      </c>
      <c r="L19" s="58">
        <f t="shared" si="4"/>
        <v>99.999818137720837</v>
      </c>
    </row>
    <row r="20" spans="1:12" x14ac:dyDescent="0.25">
      <c r="A20" s="4" t="s">
        <v>286</v>
      </c>
      <c r="B20" s="43">
        <f>SUM(B16:B19)</f>
        <v>968568880.56000006</v>
      </c>
      <c r="C20" s="43">
        <f>SUM(C16:C19)</f>
        <v>370549370.87</v>
      </c>
      <c r="D20" s="43">
        <f>SUM(D16:D19)</f>
        <v>172461858.26999998</v>
      </c>
      <c r="E20" s="43">
        <f>SUM(E16:E19)</f>
        <v>710712112.17999995</v>
      </c>
      <c r="F20" s="43">
        <v>1025460474.08</v>
      </c>
      <c r="G20" s="43">
        <v>1101443644.54</v>
      </c>
      <c r="H20" s="43">
        <v>962000000</v>
      </c>
      <c r="I20" s="43">
        <f t="shared" si="0"/>
        <v>4.058079495086675</v>
      </c>
      <c r="J20" s="44">
        <f t="shared" si="1"/>
        <v>312.09814118280866</v>
      </c>
      <c r="K20" s="43">
        <f>SUM(K16:K19)</f>
        <v>710710823.29999995</v>
      </c>
      <c r="L20" s="40">
        <f t="shared" si="4"/>
        <v>99.999818649495637</v>
      </c>
    </row>
    <row r="21" spans="1:12" x14ac:dyDescent="0.25">
      <c r="A21" s="47" t="s">
        <v>344</v>
      </c>
      <c r="B21" s="48">
        <f t="shared" ref="B21:H21" si="5">B10+B15+B20</f>
        <v>18121771379.139999</v>
      </c>
      <c r="C21" s="48">
        <f t="shared" si="5"/>
        <v>16742550424.600002</v>
      </c>
      <c r="D21" s="48">
        <f t="shared" si="5"/>
        <v>16521209850.98</v>
      </c>
      <c r="E21" s="48">
        <f t="shared" si="5"/>
        <v>17293135210.700001</v>
      </c>
      <c r="F21" s="48">
        <f t="shared" si="5"/>
        <v>21196219164.330002</v>
      </c>
      <c r="G21" s="48">
        <f t="shared" si="5"/>
        <v>23190213561.18</v>
      </c>
      <c r="H21" s="48">
        <f t="shared" si="5"/>
        <v>17725515785.41</v>
      </c>
      <c r="I21" s="48">
        <f>E21/E$31*100</f>
        <v>98.741693298354193</v>
      </c>
      <c r="J21" s="49">
        <f t="shared" si="1"/>
        <v>4.6723294884739346</v>
      </c>
      <c r="K21" s="48">
        <f>K10+K15+K20</f>
        <v>15503077945.360001</v>
      </c>
      <c r="L21" s="50">
        <f>IF(E21&gt;0,K21/E21*100,"-")</f>
        <v>89.648740708206489</v>
      </c>
    </row>
    <row r="22" spans="1:12" x14ac:dyDescent="0.25">
      <c r="A22" s="59" t="s">
        <v>287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v>0</v>
      </c>
      <c r="G22" s="60">
        <v>0</v>
      </c>
      <c r="H22" s="60">
        <v>0</v>
      </c>
      <c r="I22" s="60">
        <f t="shared" si="0"/>
        <v>0</v>
      </c>
      <c r="J22" s="61" t="str">
        <f t="shared" si="1"/>
        <v>-</v>
      </c>
      <c r="K22" s="60">
        <f>Entrate_Uscite!L42</f>
        <v>0</v>
      </c>
      <c r="L22" s="58" t="str">
        <f t="shared" si="4"/>
        <v>-</v>
      </c>
    </row>
    <row r="23" spans="1:12" x14ac:dyDescent="0.25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v>0</v>
      </c>
      <c r="G23" s="60">
        <v>0</v>
      </c>
      <c r="H23" s="60">
        <v>0</v>
      </c>
      <c r="I23" s="60">
        <f t="shared" si="0"/>
        <v>0</v>
      </c>
      <c r="J23" s="61" t="str">
        <f t="shared" si="1"/>
        <v>-</v>
      </c>
      <c r="K23" s="60">
        <f>Entrate_Uscite!L43</f>
        <v>0</v>
      </c>
      <c r="L23" s="58" t="str">
        <f t="shared" si="4"/>
        <v>-</v>
      </c>
    </row>
    <row r="24" spans="1:12" x14ac:dyDescent="0.25">
      <c r="A24" s="59" t="s">
        <v>289</v>
      </c>
      <c r="B24" s="60">
        <f>Entrate_Uscite!B44</f>
        <v>201606335.43000001</v>
      </c>
      <c r="C24" s="60">
        <f>Entrate_Uscite!E44</f>
        <v>212272441.37</v>
      </c>
      <c r="D24" s="60">
        <f>Entrate_Uscite!H44</f>
        <v>215830185.41</v>
      </c>
      <c r="E24" s="60">
        <f>Entrate_Uscite!K44</f>
        <v>168379184.33000001</v>
      </c>
      <c r="F24" s="60">
        <v>0</v>
      </c>
      <c r="G24" s="60">
        <v>0</v>
      </c>
      <c r="H24" s="60">
        <v>0</v>
      </c>
      <c r="I24" s="60">
        <f t="shared" si="0"/>
        <v>0.9614246100760645</v>
      </c>
      <c r="J24" s="61">
        <f t="shared" si="1"/>
        <v>-21.985340461001826</v>
      </c>
      <c r="K24" s="60">
        <f>Entrate_Uscite!L44</f>
        <v>168379184.33000001</v>
      </c>
      <c r="L24" s="58">
        <f t="shared" si="4"/>
        <v>100</v>
      </c>
    </row>
    <row r="25" spans="1:12" x14ac:dyDescent="0.25">
      <c r="A25" s="59" t="s">
        <v>290</v>
      </c>
      <c r="B25" s="60">
        <f>Entrate_Uscite!B45</f>
        <v>46867500.409999996</v>
      </c>
      <c r="C25" s="60">
        <f>Entrate_Uscite!E45</f>
        <v>48517705.100000001</v>
      </c>
      <c r="D25" s="60">
        <f>Entrate_Uscite!H45</f>
        <v>50226013.490000002</v>
      </c>
      <c r="E25" s="60">
        <f>Entrate_Uscite!K45</f>
        <v>51994471.43</v>
      </c>
      <c r="F25" s="60">
        <v>0</v>
      </c>
      <c r="G25" s="60">
        <v>0</v>
      </c>
      <c r="H25" s="60">
        <v>0</v>
      </c>
      <c r="I25" s="60">
        <f t="shared" si="0"/>
        <v>0.29688209156974965</v>
      </c>
      <c r="J25" s="61">
        <f t="shared" si="1"/>
        <v>3.5210000099890522</v>
      </c>
      <c r="K25" s="60">
        <f>Entrate_Uscite!L45</f>
        <v>51994471.43</v>
      </c>
      <c r="L25" s="58">
        <f t="shared" si="4"/>
        <v>100</v>
      </c>
    </row>
    <row r="26" spans="1:12" x14ac:dyDescent="0.25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v>0</v>
      </c>
      <c r="G26" s="60">
        <v>0</v>
      </c>
      <c r="H26" s="60">
        <v>0</v>
      </c>
      <c r="I26" s="60">
        <f t="shared" si="0"/>
        <v>0</v>
      </c>
      <c r="J26" s="61" t="str">
        <f t="shared" si="1"/>
        <v>-</v>
      </c>
      <c r="K26" s="60">
        <f>Entrate_Uscite!L46</f>
        <v>0</v>
      </c>
      <c r="L26" s="58" t="str">
        <f t="shared" si="4"/>
        <v>-</v>
      </c>
    </row>
    <row r="27" spans="1:12" x14ac:dyDescent="0.25">
      <c r="A27" s="4" t="s">
        <v>292</v>
      </c>
      <c r="B27" s="43">
        <f>SUM(B22:B26)</f>
        <v>248473835.84</v>
      </c>
      <c r="C27" s="43">
        <f>SUM(C22:C26)</f>
        <v>260790146.47</v>
      </c>
      <c r="D27" s="43">
        <f>SUM(D22:D26)</f>
        <v>266056198.90000001</v>
      </c>
      <c r="E27" s="43">
        <f>SUM(E22:E26)</f>
        <v>220373655.76000002</v>
      </c>
      <c r="F27" s="43">
        <v>2452252729.3499999</v>
      </c>
      <c r="G27" s="43">
        <v>3973905921.0900002</v>
      </c>
      <c r="H27" s="43">
        <v>2980004835</v>
      </c>
      <c r="I27" s="43">
        <f t="shared" si="0"/>
        <v>1.258306701645814</v>
      </c>
      <c r="J27" s="44">
        <f t="shared" si="1"/>
        <v>-17.170260767789983</v>
      </c>
      <c r="K27" s="43">
        <f>SUM(K22:K26)</f>
        <v>220373655.76000002</v>
      </c>
      <c r="L27" s="45">
        <f>IF(E27&gt;0,K27/E27*100,"-")</f>
        <v>100</v>
      </c>
    </row>
    <row r="28" spans="1:12" x14ac:dyDescent="0.25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v>0</v>
      </c>
      <c r="G28" s="43">
        <v>0</v>
      </c>
      <c r="H28" s="43">
        <v>0</v>
      </c>
      <c r="I28" s="43">
        <f t="shared" si="0"/>
        <v>0</v>
      </c>
      <c r="J28" s="44" t="str">
        <f t="shared" si="1"/>
        <v>-</v>
      </c>
      <c r="K28" s="43">
        <f>Entrate_Uscite!L54</f>
        <v>0</v>
      </c>
      <c r="L28" s="45" t="str">
        <f>IF(E28&gt;0,K28/E28*100,"-")</f>
        <v>-</v>
      </c>
    </row>
    <row r="29" spans="1:12" x14ac:dyDescent="0.25">
      <c r="A29" s="4" t="s">
        <v>294</v>
      </c>
      <c r="B29" s="43">
        <f>Entrate_Uscite!B55</f>
        <v>2672499951.5100002</v>
      </c>
      <c r="C29" s="43">
        <f>Entrate_Uscite!E55</f>
        <v>2663124770.6100001</v>
      </c>
      <c r="D29" s="43">
        <f>Entrate_Uscite!H55</f>
        <v>3992541060.25</v>
      </c>
      <c r="E29" s="43">
        <f>Entrate_Uscite!K55</f>
        <v>2930830488.8499999</v>
      </c>
      <c r="F29" s="43">
        <v>3541668955.6900001</v>
      </c>
      <c r="G29" s="43">
        <v>3361065116.1199999</v>
      </c>
      <c r="H29" s="43">
        <v>379105000</v>
      </c>
      <c r="I29" s="43"/>
      <c r="J29" s="44">
        <f t="shared" si="1"/>
        <v>-26.592351972793978</v>
      </c>
      <c r="K29" s="43">
        <f>Entrate_Uscite!L55</f>
        <v>2683926236.27</v>
      </c>
      <c r="L29" s="45">
        <f>IF(E29&gt;0,K29/E29*100,"-")</f>
        <v>91.575621533919545</v>
      </c>
    </row>
    <row r="30" spans="1:12" x14ac:dyDescent="0.25">
      <c r="A30" s="47" t="s">
        <v>68</v>
      </c>
      <c r="B30" s="48">
        <f t="shared" ref="B30:H30" si="6">B10+B15+B20+B27+B28+B29</f>
        <v>21042745166.489998</v>
      </c>
      <c r="C30" s="48">
        <f t="shared" si="6"/>
        <v>19666465341.68</v>
      </c>
      <c r="D30" s="48">
        <f t="shared" si="6"/>
        <v>20779807110.129997</v>
      </c>
      <c r="E30" s="48">
        <f t="shared" si="6"/>
        <v>20444339355.309998</v>
      </c>
      <c r="F30" s="48">
        <f t="shared" si="6"/>
        <v>27190140849.369999</v>
      </c>
      <c r="G30" s="48">
        <f t="shared" si="6"/>
        <v>30525184598.389999</v>
      </c>
      <c r="H30" s="48">
        <f t="shared" si="6"/>
        <v>21084625620.41</v>
      </c>
      <c r="I30" s="48"/>
      <c r="J30" s="49">
        <f t="shared" si="1"/>
        <v>-1.6143930164609799</v>
      </c>
      <c r="K30" s="48">
        <f>K10+K15+K20+K27+K28+K29</f>
        <v>18407377837.389999</v>
      </c>
      <c r="L30" s="50">
        <f>IF(E30&gt;0,K30/E30*100,"-")</f>
        <v>90.036550056625146</v>
      </c>
    </row>
    <row r="31" spans="1:12" x14ac:dyDescent="0.25">
      <c r="A31" s="38" t="s">
        <v>69</v>
      </c>
      <c r="B31" s="51">
        <f t="shared" ref="B31:H31" si="7">B30-B29</f>
        <v>18370245214.979996</v>
      </c>
      <c r="C31" s="51">
        <f t="shared" si="7"/>
        <v>17003340571.07</v>
      </c>
      <c r="D31" s="51">
        <f t="shared" si="7"/>
        <v>16787266049.879997</v>
      </c>
      <c r="E31" s="51">
        <f t="shared" si="7"/>
        <v>17513508866.459999</v>
      </c>
      <c r="F31" s="51">
        <f t="shared" si="7"/>
        <v>23648471893.68</v>
      </c>
      <c r="G31" s="51">
        <f t="shared" si="7"/>
        <v>27164119482.27</v>
      </c>
      <c r="H31" s="51">
        <f t="shared" si="7"/>
        <v>20705520620.41</v>
      </c>
      <c r="I31" s="51">
        <f t="shared" si="0"/>
        <v>100</v>
      </c>
      <c r="J31" s="52">
        <f t="shared" si="1"/>
        <v>4.3261530163524924</v>
      </c>
      <c r="K31" s="51">
        <f>K30-K29</f>
        <v>15723451601.119999</v>
      </c>
      <c r="L31" s="53">
        <f>IF(E31&gt;0,K31/E31*100,"-")</f>
        <v>89.778991297579864</v>
      </c>
    </row>
    <row r="32" spans="1:12" x14ac:dyDescent="0.25">
      <c r="K32" s="6"/>
    </row>
    <row r="33" spans="11:11" x14ac:dyDescent="0.25">
      <c r="K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3" sqref="F13"/>
    </sheetView>
  </sheetViews>
  <sheetFormatPr defaultRowHeight="15" x14ac:dyDescent="0.25"/>
  <cols>
    <col min="1" max="1" width="7.85546875" customWidth="1"/>
    <col min="2" max="2" width="55.140625" bestFit="1" customWidth="1"/>
    <col min="3" max="3" width="14.28515625" bestFit="1" customWidth="1"/>
    <col min="4" max="4" width="13.85546875" bestFit="1" customWidth="1"/>
    <col min="5" max="9" width="15.42578125" bestFit="1" customWidth="1"/>
    <col min="11" max="11" width="13.7109375" bestFit="1" customWidth="1"/>
  </cols>
  <sheetData>
    <row r="1" spans="1:10" x14ac:dyDescent="0.25">
      <c r="A1" s="4" t="s">
        <v>456</v>
      </c>
      <c r="B1" s="115" t="s">
        <v>373</v>
      </c>
      <c r="C1" s="114">
        <v>2016</v>
      </c>
      <c r="D1" s="114">
        <v>2017</v>
      </c>
      <c r="E1" s="114">
        <v>2018</v>
      </c>
      <c r="F1" s="114">
        <v>2019</v>
      </c>
      <c r="G1" s="114">
        <v>2020</v>
      </c>
      <c r="H1" s="114">
        <v>2021</v>
      </c>
      <c r="I1" s="114">
        <v>2022</v>
      </c>
      <c r="J1" t="s">
        <v>374</v>
      </c>
    </row>
    <row r="2" spans="1:10" x14ac:dyDescent="0.25">
      <c r="A2" s="12">
        <v>1</v>
      </c>
      <c r="B2" s="116" t="s">
        <v>375</v>
      </c>
      <c r="C2" s="1">
        <v>5029315136.3299999</v>
      </c>
      <c r="D2" s="1">
        <v>3500551329.23</v>
      </c>
      <c r="E2" s="1">
        <v>3618609505.75</v>
      </c>
      <c r="F2" s="1">
        <v>3991192068.8699999</v>
      </c>
      <c r="G2" s="1">
        <v>5766216992.5500002</v>
      </c>
      <c r="H2" s="1">
        <v>6384861114.6499996</v>
      </c>
      <c r="I2" s="1">
        <v>5920041524.6499996</v>
      </c>
      <c r="J2" s="6">
        <f t="shared" ref="J2:J26" si="0">G2/F2*100-100</f>
        <v>44.473553090181184</v>
      </c>
    </row>
    <row r="3" spans="1:10" x14ac:dyDescent="0.25">
      <c r="A3" s="12">
        <v>2</v>
      </c>
      <c r="B3" s="116" t="s">
        <v>376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6" t="e">
        <f t="shared" si="0"/>
        <v>#DIV/0!</v>
      </c>
    </row>
    <row r="4" spans="1:10" x14ac:dyDescent="0.25">
      <c r="A4" s="12">
        <v>3</v>
      </c>
      <c r="B4" s="116" t="s">
        <v>377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6" t="e">
        <f t="shared" si="0"/>
        <v>#DIV/0!</v>
      </c>
    </row>
    <row r="5" spans="1:10" x14ac:dyDescent="0.25">
      <c r="A5" s="12">
        <v>4</v>
      </c>
      <c r="B5" s="116" t="s">
        <v>204</v>
      </c>
      <c r="C5" s="1">
        <v>219520156.59999999</v>
      </c>
      <c r="D5" s="1">
        <v>199142831.53999999</v>
      </c>
      <c r="E5" s="1">
        <v>208182143.13</v>
      </c>
      <c r="F5" s="1">
        <v>174957700.81999999</v>
      </c>
      <c r="G5" s="1">
        <v>440110409.81999999</v>
      </c>
      <c r="H5" s="1">
        <v>497393531.69999999</v>
      </c>
      <c r="I5" s="1">
        <v>191045453.72999999</v>
      </c>
      <c r="J5" s="6">
        <f t="shared" si="0"/>
        <v>151.55246540007661</v>
      </c>
    </row>
    <row r="6" spans="1:10" x14ac:dyDescent="0.25">
      <c r="A6" s="12">
        <v>5</v>
      </c>
      <c r="B6" s="116" t="s">
        <v>378</v>
      </c>
      <c r="C6" s="1">
        <v>100047682.73</v>
      </c>
      <c r="D6" s="1">
        <v>79542523.689999998</v>
      </c>
      <c r="E6" s="1">
        <v>67333527.060000002</v>
      </c>
      <c r="F6" s="1">
        <v>75126779.519999996</v>
      </c>
      <c r="G6" s="1">
        <v>275850065.56</v>
      </c>
      <c r="H6" s="1">
        <v>284052554.44</v>
      </c>
      <c r="I6" s="1">
        <v>165008166.84999999</v>
      </c>
      <c r="J6" s="6">
        <f t="shared" si="0"/>
        <v>267.17940968914309</v>
      </c>
    </row>
    <row r="7" spans="1:10" x14ac:dyDescent="0.25">
      <c r="A7" s="12">
        <v>6</v>
      </c>
      <c r="B7" s="116" t="s">
        <v>379</v>
      </c>
      <c r="C7" s="1">
        <v>3127150.61</v>
      </c>
      <c r="D7" s="1">
        <v>17324443.27</v>
      </c>
      <c r="E7" s="1">
        <v>32243276.350000001</v>
      </c>
      <c r="F7" s="1">
        <v>8307045.4500000002</v>
      </c>
      <c r="G7" s="1">
        <v>35367956.229999997</v>
      </c>
      <c r="H7" s="1">
        <v>29652888.960000001</v>
      </c>
      <c r="I7" s="1">
        <v>11409517.66</v>
      </c>
      <c r="J7" s="6">
        <f t="shared" si="0"/>
        <v>325.75854968988995</v>
      </c>
    </row>
    <row r="8" spans="1:10" x14ac:dyDescent="0.25">
      <c r="A8" s="12">
        <v>7</v>
      </c>
      <c r="B8" s="116" t="s">
        <v>380</v>
      </c>
      <c r="C8" s="1">
        <v>13790085.5</v>
      </c>
      <c r="D8" s="1">
        <v>29914887.73</v>
      </c>
      <c r="E8" s="1">
        <v>25180650.75</v>
      </c>
      <c r="F8" s="1">
        <v>15885430.380000001</v>
      </c>
      <c r="G8" s="1">
        <v>56046601.009999998</v>
      </c>
      <c r="H8" s="1">
        <v>126190479.41</v>
      </c>
      <c r="I8" s="1">
        <v>72943345.409999996</v>
      </c>
      <c r="J8" s="6">
        <f t="shared" si="0"/>
        <v>252.81764276631452</v>
      </c>
    </row>
    <row r="9" spans="1:10" x14ac:dyDescent="0.25">
      <c r="A9" s="12">
        <v>8</v>
      </c>
      <c r="B9" s="116" t="s">
        <v>381</v>
      </c>
      <c r="C9" s="1">
        <v>110669243.63</v>
      </c>
      <c r="D9" s="1">
        <v>106030787.03</v>
      </c>
      <c r="E9" s="1">
        <v>94194683.670000002</v>
      </c>
      <c r="F9" s="1">
        <v>104158237.7</v>
      </c>
      <c r="G9" s="1">
        <v>393092209.25</v>
      </c>
      <c r="H9" s="1">
        <v>454243684.05000001</v>
      </c>
      <c r="I9" s="1">
        <v>130735478.8</v>
      </c>
      <c r="J9" s="6">
        <f t="shared" si="0"/>
        <v>277.39905928727131</v>
      </c>
    </row>
    <row r="10" spans="1:10" x14ac:dyDescent="0.25">
      <c r="A10" s="12">
        <v>9</v>
      </c>
      <c r="B10" s="116" t="s">
        <v>382</v>
      </c>
      <c r="C10" s="1">
        <v>384300839.69</v>
      </c>
      <c r="D10" s="1">
        <v>343358300.73000002</v>
      </c>
      <c r="E10" s="1">
        <v>319364143.69</v>
      </c>
      <c r="F10" s="1">
        <v>358979791.60000002</v>
      </c>
      <c r="G10" s="1">
        <v>787179230.72000003</v>
      </c>
      <c r="H10" s="1">
        <v>1138213439.6500001</v>
      </c>
      <c r="I10" s="1">
        <v>595489439.99000001</v>
      </c>
      <c r="J10" s="6">
        <f t="shared" si="0"/>
        <v>119.28232428111977</v>
      </c>
    </row>
    <row r="11" spans="1:10" x14ac:dyDescent="0.25">
      <c r="A11" s="12">
        <v>10</v>
      </c>
      <c r="B11" s="116" t="s">
        <v>205</v>
      </c>
      <c r="C11" s="1">
        <v>879745729.52999997</v>
      </c>
      <c r="D11" s="1">
        <v>681778984.21000004</v>
      </c>
      <c r="E11" s="1">
        <v>578658006.88999999</v>
      </c>
      <c r="F11" s="1">
        <v>649082238.71000004</v>
      </c>
      <c r="G11" s="1">
        <v>1261827843.95</v>
      </c>
      <c r="H11" s="1">
        <v>1829241289.6400001</v>
      </c>
      <c r="I11" s="1">
        <v>487265770.04000002</v>
      </c>
      <c r="J11" s="6">
        <f t="shared" si="0"/>
        <v>94.40184443465651</v>
      </c>
    </row>
    <row r="12" spans="1:10" x14ac:dyDescent="0.25">
      <c r="A12" s="12">
        <v>11</v>
      </c>
      <c r="B12" s="116" t="s">
        <v>383</v>
      </c>
      <c r="C12" s="1">
        <v>60367368.740000002</v>
      </c>
      <c r="D12" s="1">
        <v>58753579.469999999</v>
      </c>
      <c r="E12" s="1">
        <v>43351694.060000002</v>
      </c>
      <c r="F12" s="1">
        <v>40522582.170000002</v>
      </c>
      <c r="G12" s="1">
        <v>173982499.38999999</v>
      </c>
      <c r="H12" s="1">
        <v>123966621.40000001</v>
      </c>
      <c r="I12" s="1">
        <v>48488431.600000001</v>
      </c>
      <c r="J12" s="6">
        <f t="shared" si="0"/>
        <v>329.34702102672048</v>
      </c>
    </row>
    <row r="13" spans="1:10" x14ac:dyDescent="0.25">
      <c r="A13" s="12">
        <v>12</v>
      </c>
      <c r="B13" s="116" t="s">
        <v>206</v>
      </c>
      <c r="C13" s="1">
        <v>165732809.65000001</v>
      </c>
      <c r="D13" s="1">
        <v>222088245.03</v>
      </c>
      <c r="E13" s="1">
        <v>380755830.49000001</v>
      </c>
      <c r="F13" s="1">
        <v>336952198.23000002</v>
      </c>
      <c r="G13" s="1">
        <v>581098628.32000005</v>
      </c>
      <c r="H13" s="1">
        <v>666157941.07000005</v>
      </c>
      <c r="I13" s="1">
        <v>376524528.80000001</v>
      </c>
      <c r="J13" s="6">
        <f t="shared" si="0"/>
        <v>72.457289601460985</v>
      </c>
    </row>
    <row r="14" spans="1:10" x14ac:dyDescent="0.25">
      <c r="A14" s="12">
        <v>13</v>
      </c>
      <c r="B14" s="116" t="s">
        <v>384</v>
      </c>
      <c r="C14" s="1">
        <v>9494413798.6000004</v>
      </c>
      <c r="D14" s="1">
        <v>9857045164.1399994</v>
      </c>
      <c r="E14" s="1">
        <v>9427784710.6800003</v>
      </c>
      <c r="F14" s="1">
        <v>9675533005.5100002</v>
      </c>
      <c r="G14" s="1">
        <v>9936521682.4899998</v>
      </c>
      <c r="H14" s="1">
        <v>11867364883.16</v>
      </c>
      <c r="I14" s="1">
        <v>10433436428.129999</v>
      </c>
      <c r="J14" s="6">
        <f t="shared" si="0"/>
        <v>2.697408781835307</v>
      </c>
    </row>
    <row r="15" spans="1:10" x14ac:dyDescent="0.25">
      <c r="A15" s="12">
        <v>14</v>
      </c>
      <c r="B15" s="116" t="s">
        <v>385</v>
      </c>
      <c r="C15" s="1">
        <v>167824370.94999999</v>
      </c>
      <c r="D15" s="1">
        <v>78013004.530000001</v>
      </c>
      <c r="E15" s="1">
        <v>256367658.28</v>
      </c>
      <c r="F15" s="1">
        <v>171483430.5</v>
      </c>
      <c r="G15" s="1">
        <v>782962832</v>
      </c>
      <c r="H15" s="1">
        <v>723668741.66999996</v>
      </c>
      <c r="I15" s="1">
        <v>221769155.84999999</v>
      </c>
      <c r="J15" s="6">
        <f t="shared" si="0"/>
        <v>356.5822072238052</v>
      </c>
    </row>
    <row r="16" spans="1:10" x14ac:dyDescent="0.25">
      <c r="A16" s="12">
        <v>15</v>
      </c>
      <c r="B16" s="116" t="s">
        <v>386</v>
      </c>
      <c r="C16" s="1">
        <v>191972612.61000001</v>
      </c>
      <c r="D16" s="1">
        <v>170452600</v>
      </c>
      <c r="E16" s="1">
        <v>130708758.13</v>
      </c>
      <c r="F16" s="1">
        <v>287479756.20999998</v>
      </c>
      <c r="G16" s="1">
        <v>492828790.08999997</v>
      </c>
      <c r="H16" s="1">
        <v>398949243.38</v>
      </c>
      <c r="I16" s="1">
        <v>137800615.97</v>
      </c>
      <c r="J16" s="6">
        <f t="shared" si="0"/>
        <v>71.430780583379715</v>
      </c>
    </row>
    <row r="17" spans="1:11" x14ac:dyDescent="0.25">
      <c r="A17" s="12">
        <v>16</v>
      </c>
      <c r="B17" s="116" t="s">
        <v>387</v>
      </c>
      <c r="C17" s="1">
        <v>271869028.32999998</v>
      </c>
      <c r="D17" s="1">
        <v>317089956.57999998</v>
      </c>
      <c r="E17" s="1">
        <v>309760281.25999999</v>
      </c>
      <c r="F17" s="1">
        <v>366064203.97000003</v>
      </c>
      <c r="G17" s="1">
        <v>466215257.44</v>
      </c>
      <c r="H17" s="1">
        <v>430465318.97000003</v>
      </c>
      <c r="I17" s="1">
        <v>125728312.20999999</v>
      </c>
      <c r="J17" s="6">
        <f t="shared" si="0"/>
        <v>27.358876498672231</v>
      </c>
    </row>
    <row r="18" spans="1:11" x14ac:dyDescent="0.25">
      <c r="A18" s="12">
        <v>17</v>
      </c>
      <c r="B18" s="116" t="s">
        <v>388</v>
      </c>
      <c r="C18" s="1">
        <v>17346368.940000001</v>
      </c>
      <c r="D18" s="1">
        <v>3899190.97</v>
      </c>
      <c r="E18" s="1">
        <v>32673400.359999999</v>
      </c>
      <c r="F18" s="1">
        <v>21919948.309999999</v>
      </c>
      <c r="G18" s="1">
        <v>125515780.34</v>
      </c>
      <c r="H18" s="1">
        <v>144361740.47</v>
      </c>
      <c r="I18" s="1">
        <v>30165263.16</v>
      </c>
      <c r="J18" s="6">
        <f t="shared" si="0"/>
        <v>472.60983723551499</v>
      </c>
    </row>
    <row r="19" spans="1:11" x14ac:dyDescent="0.25">
      <c r="A19" s="12">
        <v>18</v>
      </c>
      <c r="B19" s="116" t="s">
        <v>389</v>
      </c>
      <c r="C19" s="1">
        <v>961177752.61000001</v>
      </c>
      <c r="D19" s="1">
        <v>845413148.15999997</v>
      </c>
      <c r="E19" s="1">
        <v>876789737.51999998</v>
      </c>
      <c r="F19" s="1">
        <v>954397401.80999994</v>
      </c>
      <c r="G19" s="1">
        <v>1440009589.1900001</v>
      </c>
      <c r="H19" s="1">
        <v>1158821168.25</v>
      </c>
      <c r="I19" s="1">
        <v>701677018.76999998</v>
      </c>
      <c r="J19" s="6">
        <f t="shared" si="0"/>
        <v>50.881549599678721</v>
      </c>
    </row>
    <row r="20" spans="1:11" x14ac:dyDescent="0.25">
      <c r="A20" s="12">
        <v>19</v>
      </c>
      <c r="B20" s="116" t="s">
        <v>390</v>
      </c>
      <c r="C20" s="1">
        <v>1085351.8</v>
      </c>
      <c r="D20" s="1">
        <v>605475.25</v>
      </c>
      <c r="E20" s="1">
        <v>751846.97</v>
      </c>
      <c r="F20" s="1">
        <v>673858.23</v>
      </c>
      <c r="G20" s="1">
        <v>883208.68</v>
      </c>
      <c r="H20" s="1">
        <v>898005.33</v>
      </c>
      <c r="I20" s="1">
        <v>652640.59</v>
      </c>
      <c r="J20" s="6">
        <f t="shared" si="0"/>
        <v>31.067432388560434</v>
      </c>
    </row>
    <row r="21" spans="1:11" x14ac:dyDescent="0.25">
      <c r="A21" s="12">
        <v>20</v>
      </c>
      <c r="B21" s="116" t="s">
        <v>391</v>
      </c>
      <c r="C21">
        <v>0</v>
      </c>
      <c r="D21">
        <v>0</v>
      </c>
      <c r="E21">
        <v>0</v>
      </c>
      <c r="F21">
        <v>0</v>
      </c>
      <c r="G21" s="1">
        <v>220315629.16999999</v>
      </c>
      <c r="H21" s="1">
        <v>410484120.88999999</v>
      </c>
      <c r="I21" s="1">
        <v>597394475.27999997</v>
      </c>
      <c r="J21" s="6" t="e">
        <f t="shared" si="0"/>
        <v>#DIV/0!</v>
      </c>
    </row>
    <row r="22" spans="1:11" x14ac:dyDescent="0.25">
      <c r="A22" s="12">
        <v>50</v>
      </c>
      <c r="B22" s="116" t="s">
        <v>392</v>
      </c>
      <c r="C22" s="1">
        <v>334684385.57999998</v>
      </c>
      <c r="D22" s="1">
        <v>492486119.50999999</v>
      </c>
      <c r="E22" s="1">
        <v>384633341.43000001</v>
      </c>
      <c r="F22" s="1">
        <v>280934474.19999999</v>
      </c>
      <c r="G22" s="1">
        <v>412446687.48000002</v>
      </c>
      <c r="H22" s="1">
        <v>495132715.18000001</v>
      </c>
      <c r="I22" s="1">
        <v>457945052.92000002</v>
      </c>
      <c r="J22" s="6">
        <f t="shared" si="0"/>
        <v>46.812415476775982</v>
      </c>
    </row>
    <row r="23" spans="1:11" x14ac:dyDescent="0.25">
      <c r="A23" s="12">
        <v>60</v>
      </c>
      <c r="B23" s="116" t="s">
        <v>393</v>
      </c>
      <c r="C23" s="1">
        <v>31234.87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6" t="e">
        <f t="shared" si="0"/>
        <v>#DIV/0!</v>
      </c>
    </row>
    <row r="24" spans="1:11" x14ac:dyDescent="0.25">
      <c r="A24" s="12">
        <v>99</v>
      </c>
      <c r="B24" s="116" t="s">
        <v>394</v>
      </c>
      <c r="C24" s="1">
        <v>2644724797.8499999</v>
      </c>
      <c r="D24" s="1">
        <v>2663124770.6100001</v>
      </c>
      <c r="E24" s="1">
        <v>3992541060.25</v>
      </c>
      <c r="F24" s="1">
        <v>2930830488.8499999</v>
      </c>
      <c r="G24" s="1">
        <v>3541668955.6900001</v>
      </c>
      <c r="H24" s="1">
        <v>3361065116.1199999</v>
      </c>
      <c r="I24" s="1">
        <v>379105000</v>
      </c>
      <c r="J24" s="6">
        <f t="shared" si="0"/>
        <v>20.841821769080909</v>
      </c>
    </row>
    <row r="25" spans="1:11" x14ac:dyDescent="0.25">
      <c r="B25" s="4" t="s">
        <v>395</v>
      </c>
      <c r="C25" s="3">
        <f t="shared" ref="C25:D25" si="1">SUM(C2:C24)</f>
        <v>21051745905.149998</v>
      </c>
      <c r="D25" s="3">
        <f t="shared" si="1"/>
        <v>19666615341.68</v>
      </c>
      <c r="E25" s="3">
        <f t="shared" ref="E25:G25" si="2">SUM(E2:E24)</f>
        <v>20779884256.720001</v>
      </c>
      <c r="F25" s="3">
        <f t="shared" si="2"/>
        <v>20444480641.039997</v>
      </c>
      <c r="G25" s="3">
        <f t="shared" si="2"/>
        <v>27190140849.369995</v>
      </c>
      <c r="H25" s="3">
        <f t="shared" ref="H25:I25" si="3">SUM(H2:H24)</f>
        <v>30525184598.389999</v>
      </c>
      <c r="I25" s="3">
        <f t="shared" si="3"/>
        <v>21084625620.409996</v>
      </c>
      <c r="J25" s="6">
        <f t="shared" si="0"/>
        <v>32.995018688754755</v>
      </c>
    </row>
    <row r="26" spans="1:11" x14ac:dyDescent="0.25">
      <c r="B26" t="s">
        <v>396</v>
      </c>
      <c r="C26" s="1">
        <f t="shared" ref="C26:G26" si="4">C25-C23-C24</f>
        <v>18406989872.43</v>
      </c>
      <c r="D26" s="1">
        <f t="shared" si="4"/>
        <v>17003490571.07</v>
      </c>
      <c r="E26" s="1">
        <f t="shared" si="4"/>
        <v>16787343196.470001</v>
      </c>
      <c r="F26" s="1">
        <f t="shared" si="4"/>
        <v>17513650152.189999</v>
      </c>
      <c r="G26" s="1">
        <f t="shared" si="4"/>
        <v>23648471893.679996</v>
      </c>
      <c r="H26" s="1">
        <f t="shared" ref="H26:I26" si="5">H25-H23-H24</f>
        <v>27164119482.27</v>
      </c>
      <c r="I26" s="1">
        <f t="shared" si="5"/>
        <v>20705520620.409996</v>
      </c>
      <c r="J26" s="6">
        <f t="shared" si="0"/>
        <v>35.028801467310728</v>
      </c>
    </row>
    <row r="28" spans="1:11" x14ac:dyDescent="0.25">
      <c r="K28" t="s">
        <v>455</v>
      </c>
    </row>
    <row r="29" spans="1:11" x14ac:dyDescent="0.25">
      <c r="A29" t="s">
        <v>398</v>
      </c>
      <c r="B29" t="s">
        <v>397</v>
      </c>
      <c r="C29" s="1">
        <v>149831840.75999999</v>
      </c>
      <c r="D29" s="1">
        <v>149934462.02000001</v>
      </c>
      <c r="E29" s="1">
        <v>146411752.86000001</v>
      </c>
      <c r="F29" s="1">
        <v>144476788.41</v>
      </c>
      <c r="G29" s="1">
        <v>150675894.84999999</v>
      </c>
      <c r="H29" s="1">
        <v>147696580.94999999</v>
      </c>
      <c r="I29" s="1">
        <v>145097213.41999999</v>
      </c>
      <c r="K29" s="1">
        <v>66738509.439999998</v>
      </c>
    </row>
    <row r="30" spans="1:11" x14ac:dyDescent="0.25">
      <c r="A30" t="s">
        <v>399</v>
      </c>
      <c r="B30" t="s">
        <v>405</v>
      </c>
      <c r="C30" s="1">
        <v>8628206.9700000007</v>
      </c>
      <c r="D30" s="1">
        <v>5242641.5</v>
      </c>
      <c r="E30" s="1">
        <v>5810063.9800000004</v>
      </c>
      <c r="F30" s="1">
        <v>3995472.78</v>
      </c>
      <c r="G30" s="1">
        <v>6535280.5499999998</v>
      </c>
      <c r="H30" s="1">
        <v>17939044.300000001</v>
      </c>
      <c r="I30" s="1">
        <v>11053663.57</v>
      </c>
      <c r="K30" s="1">
        <v>3979806.33</v>
      </c>
    </row>
    <row r="31" spans="1:11" x14ac:dyDescent="0.25">
      <c r="A31" t="s">
        <v>400</v>
      </c>
      <c r="B31" t="s">
        <v>406</v>
      </c>
      <c r="C31" s="1">
        <v>1088328855.8699999</v>
      </c>
      <c r="D31" s="1">
        <v>454309194.30000001</v>
      </c>
      <c r="E31" s="1">
        <v>230303348.16</v>
      </c>
      <c r="F31" s="1">
        <v>940852149.38</v>
      </c>
      <c r="G31" s="1">
        <v>3331219125.3099999</v>
      </c>
      <c r="H31" s="1">
        <v>3188824953.2600002</v>
      </c>
      <c r="I31" s="1">
        <v>3097894406.6799998</v>
      </c>
      <c r="K31" s="1">
        <v>379591813.92000002</v>
      </c>
    </row>
    <row r="32" spans="1:11" x14ac:dyDescent="0.25">
      <c r="A32" t="s">
        <v>401</v>
      </c>
      <c r="B32" t="s">
        <v>407</v>
      </c>
      <c r="C32" s="1">
        <v>2285469125.4200001</v>
      </c>
      <c r="D32" s="1">
        <v>1410903741.23</v>
      </c>
      <c r="E32" s="1">
        <v>1719593708.6800001</v>
      </c>
      <c r="F32" s="1">
        <v>1394767947.77</v>
      </c>
      <c r="G32" s="1">
        <v>500273217.13999999</v>
      </c>
      <c r="H32" s="1">
        <v>1233338437.7</v>
      </c>
      <c r="I32" s="1">
        <v>1043418495.08</v>
      </c>
      <c r="K32" s="1">
        <v>107227611.20999999</v>
      </c>
    </row>
    <row r="33" spans="1:11" x14ac:dyDescent="0.25">
      <c r="A33" t="s">
        <v>402</v>
      </c>
      <c r="B33" t="s">
        <v>408</v>
      </c>
      <c r="C33" s="1">
        <v>62561017.700000003</v>
      </c>
      <c r="D33" s="1">
        <v>61099215.159999996</v>
      </c>
      <c r="E33" s="1">
        <v>44493970.880000003</v>
      </c>
      <c r="F33" s="1">
        <v>53235241.350000001</v>
      </c>
      <c r="G33" s="1">
        <v>43643735.280000001</v>
      </c>
      <c r="H33" s="1">
        <v>42895257.810000002</v>
      </c>
      <c r="I33" s="1">
        <v>64061933.840000004</v>
      </c>
      <c r="K33" s="1">
        <v>49346005.740000002</v>
      </c>
    </row>
    <row r="34" spans="1:11" x14ac:dyDescent="0.25">
      <c r="A34" t="s">
        <v>403</v>
      </c>
      <c r="B34" t="s">
        <v>409</v>
      </c>
      <c r="C34" s="1">
        <v>1663312.72</v>
      </c>
      <c r="D34" s="1">
        <v>773051.66</v>
      </c>
      <c r="E34" s="1">
        <v>869315.87</v>
      </c>
      <c r="F34" s="1">
        <v>948673.6</v>
      </c>
      <c r="G34" s="1">
        <v>1476798.2</v>
      </c>
      <c r="H34" s="1">
        <v>1486881.92</v>
      </c>
      <c r="I34" s="1">
        <v>1049322.8799999999</v>
      </c>
      <c r="K34" s="1">
        <v>0</v>
      </c>
    </row>
    <row r="35" spans="1:11" x14ac:dyDescent="0.25">
      <c r="A35" t="s">
        <v>404</v>
      </c>
      <c r="B35" t="s">
        <v>410</v>
      </c>
      <c r="C35" s="1">
        <v>1579110.47</v>
      </c>
      <c r="D35" s="1">
        <v>11773984.630000001</v>
      </c>
      <c r="E35" s="1">
        <v>9546708.5099999998</v>
      </c>
      <c r="F35" s="1">
        <v>890957.75</v>
      </c>
      <c r="G35" s="1">
        <v>1817000</v>
      </c>
      <c r="H35" s="1">
        <v>1027000</v>
      </c>
      <c r="I35" s="1">
        <v>14001000</v>
      </c>
      <c r="K35" s="1">
        <v>77547.19</v>
      </c>
    </row>
    <row r="36" spans="1:11" x14ac:dyDescent="0.25">
      <c r="A36" t="s">
        <v>412</v>
      </c>
      <c r="B36" t="s">
        <v>411</v>
      </c>
      <c r="C36" s="1">
        <v>24867029.460000001</v>
      </c>
      <c r="D36" s="1">
        <v>6450068.4199999999</v>
      </c>
      <c r="E36" s="1">
        <v>34972380.149999999</v>
      </c>
      <c r="F36" s="1">
        <v>20785383.48</v>
      </c>
      <c r="G36" s="1">
        <v>40490497.710000001</v>
      </c>
      <c r="H36" s="1">
        <v>60003654.859999999</v>
      </c>
      <c r="I36" s="1">
        <v>18473839.780000001</v>
      </c>
      <c r="K36" s="1">
        <v>75743416.409999996</v>
      </c>
    </row>
    <row r="37" spans="1:11" x14ac:dyDescent="0.25">
      <c r="A37" t="s">
        <v>453</v>
      </c>
      <c r="B37" t="s">
        <v>454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K37" s="1">
        <v>5502101.3099999996</v>
      </c>
    </row>
    <row r="38" spans="1:11" x14ac:dyDescent="0.25">
      <c r="A38" t="s">
        <v>413</v>
      </c>
      <c r="B38" t="s">
        <v>414</v>
      </c>
      <c r="C38" s="1">
        <v>1311362937.26</v>
      </c>
      <c r="D38" s="1">
        <v>1289468895.5899999</v>
      </c>
      <c r="E38" s="1">
        <v>1268931252.6099999</v>
      </c>
      <c r="F38" s="1">
        <v>1286298259.21</v>
      </c>
      <c r="G38" s="1">
        <v>1387444900.7</v>
      </c>
      <c r="H38" s="1">
        <v>1461336609.8800001</v>
      </c>
      <c r="I38" s="1">
        <v>1390202514.4400001</v>
      </c>
      <c r="K38" s="1">
        <v>43226588.859999999</v>
      </c>
    </row>
    <row r="39" spans="1:11" x14ac:dyDescent="0.25">
      <c r="A39" t="s">
        <v>416</v>
      </c>
      <c r="B39" t="s">
        <v>415</v>
      </c>
      <c r="C39" s="1">
        <v>81792338.900000006</v>
      </c>
      <c r="D39" s="1">
        <v>101644851.11</v>
      </c>
      <c r="E39" s="1">
        <v>76026450.129999995</v>
      </c>
      <c r="F39" s="1">
        <v>77853747.079999998</v>
      </c>
      <c r="G39" s="1">
        <v>112447224.18000001</v>
      </c>
      <c r="H39" s="1">
        <v>109644912.45999999</v>
      </c>
      <c r="I39" s="1">
        <v>80602293.769999996</v>
      </c>
      <c r="K39" s="1">
        <v>71931855.730000004</v>
      </c>
    </row>
    <row r="40" spans="1:11" x14ac:dyDescent="0.25">
      <c r="A40" t="s">
        <v>417</v>
      </c>
      <c r="B40" t="s">
        <v>418</v>
      </c>
      <c r="C40" s="1">
        <v>13231360.800000001</v>
      </c>
      <c r="D40" s="1">
        <v>8951223.6099999994</v>
      </c>
      <c r="E40" s="1">
        <v>81650553.920000002</v>
      </c>
      <c r="F40" s="1">
        <v>67087448.060000002</v>
      </c>
      <c r="G40" s="1">
        <v>190193318.63</v>
      </c>
      <c r="H40" s="1">
        <v>120667781.51000001</v>
      </c>
      <c r="I40" s="1">
        <v>54186841.189999998</v>
      </c>
      <c r="K40" s="1">
        <v>45307368.219999999</v>
      </c>
    </row>
    <row r="41" spans="1:11" x14ac:dyDescent="0.25">
      <c r="A41" t="s">
        <v>451</v>
      </c>
      <c r="B41" t="s">
        <v>452</v>
      </c>
      <c r="C41" s="1">
        <v>49259861.570000008</v>
      </c>
      <c r="D41" s="1">
        <v>32199374.25999999</v>
      </c>
      <c r="E41" s="1">
        <v>27254332.439999998</v>
      </c>
      <c r="F41" s="1">
        <v>26263900.519999981</v>
      </c>
      <c r="G41" s="1">
        <v>43045265.829999998</v>
      </c>
      <c r="H41" s="1">
        <v>40291348.909999996</v>
      </c>
      <c r="I41" s="1">
        <v>24656163.07</v>
      </c>
      <c r="K41" s="1">
        <v>54295656.899999999</v>
      </c>
    </row>
    <row r="42" spans="1:11" x14ac:dyDescent="0.25">
      <c r="A42" t="s">
        <v>426</v>
      </c>
      <c r="B42" t="s">
        <v>419</v>
      </c>
      <c r="C42" s="1">
        <v>43587420.979999997</v>
      </c>
      <c r="D42" s="1">
        <v>97785411.689999998</v>
      </c>
      <c r="E42" s="1">
        <v>288315132.69999999</v>
      </c>
      <c r="F42" s="1">
        <v>214719646.02000001</v>
      </c>
      <c r="G42" s="1">
        <v>346996769.39999998</v>
      </c>
      <c r="H42" s="1">
        <v>334473869.97000003</v>
      </c>
      <c r="I42" s="1">
        <v>238482482.31</v>
      </c>
      <c r="K42" s="1">
        <v>115585438.53</v>
      </c>
    </row>
    <row r="43" spans="1:11" x14ac:dyDescent="0.25">
      <c r="A43" t="s">
        <v>427</v>
      </c>
      <c r="B43" t="s">
        <v>420</v>
      </c>
      <c r="C43" s="1">
        <v>0</v>
      </c>
      <c r="D43" s="1">
        <v>0</v>
      </c>
      <c r="E43" s="1">
        <v>0</v>
      </c>
      <c r="F43" s="1">
        <v>0</v>
      </c>
      <c r="G43" s="1">
        <v>3893744.22</v>
      </c>
      <c r="H43" s="1">
        <v>0</v>
      </c>
      <c r="I43" s="1">
        <v>0</v>
      </c>
      <c r="K43" s="1">
        <v>3439643.29</v>
      </c>
    </row>
    <row r="44" spans="1:11" x14ac:dyDescent="0.25">
      <c r="A44" t="s">
        <v>428</v>
      </c>
      <c r="B44" t="s">
        <v>421</v>
      </c>
      <c r="C44" s="1">
        <v>34479711.270000003</v>
      </c>
      <c r="D44" s="1">
        <v>33949206.090000004</v>
      </c>
      <c r="E44" s="1">
        <v>33009031.190000001</v>
      </c>
      <c r="F44" s="1">
        <v>32110835.75</v>
      </c>
      <c r="G44" s="1">
        <v>46068579.920000002</v>
      </c>
      <c r="H44" s="1">
        <v>41790352.189999998</v>
      </c>
      <c r="I44" s="1">
        <v>29380054.190000001</v>
      </c>
      <c r="K44" s="1">
        <v>39983415.200000003</v>
      </c>
    </row>
    <row r="45" spans="1:11" x14ac:dyDescent="0.25">
      <c r="A45" t="s">
        <v>429</v>
      </c>
      <c r="B45" t="s">
        <v>422</v>
      </c>
      <c r="C45" s="1">
        <v>2753114.25</v>
      </c>
      <c r="D45" s="1">
        <v>1232349.6200000001</v>
      </c>
      <c r="E45" s="1">
        <v>354848.48</v>
      </c>
      <c r="F45" s="1">
        <v>981692.18</v>
      </c>
      <c r="G45" s="1">
        <v>6189200</v>
      </c>
      <c r="H45" s="1">
        <v>9237242.1099999994</v>
      </c>
      <c r="I45" s="1">
        <v>1321837.52</v>
      </c>
      <c r="K45" s="1">
        <v>25297472.48</v>
      </c>
    </row>
    <row r="46" spans="1:11" x14ac:dyDescent="0.25">
      <c r="A46" t="s">
        <v>430</v>
      </c>
      <c r="B46" t="s">
        <v>423</v>
      </c>
      <c r="C46" s="1">
        <v>410659.91</v>
      </c>
      <c r="D46" s="1">
        <v>397983.39</v>
      </c>
      <c r="E46" s="1">
        <v>279226.87</v>
      </c>
      <c r="F46" s="1">
        <v>195564.79999999999</v>
      </c>
      <c r="G46" s="1">
        <v>117639.99</v>
      </c>
      <c r="H46" s="1">
        <v>53296.43</v>
      </c>
      <c r="I46" s="1">
        <v>116423.66</v>
      </c>
      <c r="K46" s="1">
        <v>42795301.939999998</v>
      </c>
    </row>
    <row r="47" spans="1:11" x14ac:dyDescent="0.25">
      <c r="A47" t="s">
        <v>431</v>
      </c>
      <c r="B47" t="s">
        <v>424</v>
      </c>
      <c r="C47" s="1">
        <v>25264380.75</v>
      </c>
      <c r="D47" s="1">
        <v>45941661.960000001</v>
      </c>
      <c r="E47" s="1">
        <v>21900527.879999999</v>
      </c>
      <c r="F47" s="1">
        <v>46210588.189999998</v>
      </c>
      <c r="G47" s="1">
        <v>52432780.369999997</v>
      </c>
      <c r="H47" s="1">
        <v>85695885.030000001</v>
      </c>
      <c r="I47" s="1">
        <v>13471216.16</v>
      </c>
      <c r="K47" s="1">
        <v>94858373.359999999</v>
      </c>
    </row>
    <row r="48" spans="1:11" x14ac:dyDescent="0.25">
      <c r="A48" t="s">
        <v>432</v>
      </c>
      <c r="B48" t="s">
        <v>425</v>
      </c>
      <c r="C48" s="1">
        <v>77008.89</v>
      </c>
      <c r="D48" s="1">
        <v>127741.36</v>
      </c>
      <c r="E48" s="1">
        <v>157242.21</v>
      </c>
      <c r="F48" s="1">
        <v>1788667.02</v>
      </c>
      <c r="G48" s="1">
        <v>1546732.74</v>
      </c>
      <c r="H48" s="1">
        <v>2175486.5499999998</v>
      </c>
      <c r="I48" s="1">
        <v>15438231.380000001</v>
      </c>
      <c r="K48" s="1">
        <v>6344057.1200000001</v>
      </c>
    </row>
    <row r="49" spans="1:11" x14ac:dyDescent="0.25">
      <c r="A49" t="s">
        <v>433</v>
      </c>
      <c r="B49" t="s">
        <v>434</v>
      </c>
      <c r="C49" s="1">
        <v>9900652.0299999993</v>
      </c>
      <c r="D49" s="1">
        <v>10454516.66</v>
      </c>
      <c r="E49" s="1">
        <v>9485488.7200000007</v>
      </c>
      <c r="F49" s="1">
        <v>14681303.75</v>
      </c>
      <c r="G49" s="1">
        <v>80807915.849999994</v>
      </c>
      <c r="H49" s="1">
        <v>152440459.88</v>
      </c>
      <c r="I49" s="1">
        <v>53658120.509999998</v>
      </c>
      <c r="K49" s="1">
        <v>0</v>
      </c>
    </row>
    <row r="50" spans="1:11" x14ac:dyDescent="0.25">
      <c r="A50" t="s">
        <v>435</v>
      </c>
      <c r="B50" t="s">
        <v>443</v>
      </c>
      <c r="C50" s="1">
        <v>8977206605.3500004</v>
      </c>
      <c r="D50" s="1">
        <v>9181439963.7099991</v>
      </c>
      <c r="E50" s="1">
        <v>9159111995.3899994</v>
      </c>
      <c r="F50" s="1">
        <v>9233059614.9599991</v>
      </c>
      <c r="G50" s="1">
        <v>9755068452.9300003</v>
      </c>
      <c r="H50" s="1">
        <v>9839473644.3500004</v>
      </c>
      <c r="I50" s="1">
        <v>9709953775</v>
      </c>
      <c r="K50" s="1">
        <v>20158350421.209999</v>
      </c>
    </row>
    <row r="51" spans="1:11" x14ac:dyDescent="0.25">
      <c r="A51" t="s">
        <v>436</v>
      </c>
      <c r="B51" t="s">
        <v>444</v>
      </c>
      <c r="C51" s="1">
        <v>1658391.36</v>
      </c>
      <c r="D51" s="1">
        <v>2071817.06</v>
      </c>
      <c r="E51" s="1">
        <v>14266520.26</v>
      </c>
      <c r="F51" s="1">
        <v>5272529.6399999997</v>
      </c>
      <c r="G51" s="1">
        <v>561146.43000000005</v>
      </c>
      <c r="H51" s="1">
        <v>3524471.64</v>
      </c>
      <c r="I51" s="1">
        <v>0</v>
      </c>
      <c r="K51" s="1">
        <v>0</v>
      </c>
    </row>
    <row r="52" spans="1:11" x14ac:dyDescent="0.25">
      <c r="A52" t="s">
        <v>437</v>
      </c>
      <c r="B52" t="s">
        <v>445</v>
      </c>
      <c r="C52" s="1">
        <v>34966260.240000002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K52" s="1">
        <v>0</v>
      </c>
    </row>
    <row r="53" spans="1:11" x14ac:dyDescent="0.25">
      <c r="A53" t="s">
        <v>438</v>
      </c>
      <c r="B53" t="s">
        <v>446</v>
      </c>
      <c r="C53" s="1">
        <v>132948146.76000001</v>
      </c>
      <c r="D53" s="1">
        <v>132848927.91</v>
      </c>
      <c r="E53" s="1">
        <v>127848927.90000001</v>
      </c>
      <c r="F53" s="1">
        <v>128057610.73999999</v>
      </c>
      <c r="G53" s="1">
        <v>78489268.640000001</v>
      </c>
      <c r="H53" s="1">
        <v>1563266420.95</v>
      </c>
      <c r="I53" s="1">
        <v>601406057.75</v>
      </c>
      <c r="K53" s="1">
        <v>0</v>
      </c>
    </row>
    <row r="54" spans="1:11" x14ac:dyDescent="0.25">
      <c r="A54" t="s">
        <v>439</v>
      </c>
      <c r="B54" t="s">
        <v>447</v>
      </c>
      <c r="C54" s="1">
        <v>23136076.809999999</v>
      </c>
      <c r="D54" s="1">
        <v>38646012.990000002</v>
      </c>
      <c r="E54" s="1">
        <v>57679414.840000004</v>
      </c>
      <c r="F54" s="1">
        <v>10316531.619999999</v>
      </c>
      <c r="G54" s="1">
        <v>4679398.0999999996</v>
      </c>
      <c r="H54" s="1">
        <v>126875549.61</v>
      </c>
      <c r="I54" s="1">
        <v>87809440.659999996</v>
      </c>
      <c r="K54" s="1">
        <v>236391388.28</v>
      </c>
    </row>
    <row r="55" spans="1:11" x14ac:dyDescent="0.25">
      <c r="A55" t="s">
        <v>440</v>
      </c>
      <c r="B55" t="s">
        <v>448</v>
      </c>
      <c r="C55" s="1">
        <v>94168996</v>
      </c>
      <c r="D55" s="1">
        <v>448179745</v>
      </c>
      <c r="E55" s="1">
        <v>19025701</v>
      </c>
      <c r="F55" s="1">
        <v>242220371.47</v>
      </c>
      <c r="G55" s="1">
        <v>27634248.760000002</v>
      </c>
      <c r="H55" s="1">
        <v>66939552.280000001</v>
      </c>
      <c r="I55" s="1">
        <v>0</v>
      </c>
      <c r="K55" s="1">
        <v>18273327.699999999</v>
      </c>
    </row>
    <row r="56" spans="1:11" x14ac:dyDescent="0.25">
      <c r="A56" t="s">
        <v>441</v>
      </c>
      <c r="B56" t="s">
        <v>449</v>
      </c>
      <c r="C56" s="1">
        <v>180055898.22999999</v>
      </c>
      <c r="D56" s="1">
        <v>50940127.43</v>
      </c>
      <c r="E56" s="1">
        <v>49832252.299999997</v>
      </c>
      <c r="F56" s="1">
        <v>56106535.189999998</v>
      </c>
      <c r="G56" s="1">
        <v>62443199.700000003</v>
      </c>
      <c r="H56" s="1">
        <v>263659485.50999999</v>
      </c>
      <c r="I56" s="1">
        <v>33168278.010000002</v>
      </c>
      <c r="K56" s="1">
        <v>37471326.380000003</v>
      </c>
    </row>
    <row r="57" spans="1:11" x14ac:dyDescent="0.25">
      <c r="A57" t="s">
        <v>442</v>
      </c>
      <c r="B57" t="s">
        <v>450</v>
      </c>
      <c r="C57" s="1">
        <v>50273423.850000001</v>
      </c>
      <c r="D57" s="1">
        <v>2918570.04</v>
      </c>
      <c r="E57" s="1">
        <v>19898.990000000002</v>
      </c>
      <c r="F57" s="1">
        <v>499811.89</v>
      </c>
      <c r="G57" s="1">
        <v>7645967.9299999997</v>
      </c>
      <c r="H57" s="1">
        <v>3625758.82</v>
      </c>
      <c r="I57" s="1">
        <v>1098876.71</v>
      </c>
      <c r="K57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G10" sqref="G10"/>
    </sheetView>
  </sheetViews>
  <sheetFormatPr defaultRowHeight="15" x14ac:dyDescent="0.25"/>
  <cols>
    <col min="1" max="1" width="50.7109375" bestFit="1" customWidth="1"/>
    <col min="2" max="6" width="12.5703125" bestFit="1" customWidth="1"/>
    <col min="7" max="7" width="13.28515625" bestFit="1" customWidth="1"/>
  </cols>
  <sheetData>
    <row r="1" spans="1:7" x14ac:dyDescent="0.25">
      <c r="A1" s="41"/>
      <c r="B1" s="42">
        <v>2016</v>
      </c>
      <c r="C1" s="42">
        <v>2017</v>
      </c>
      <c r="D1" s="42">
        <v>2018</v>
      </c>
      <c r="E1" s="42">
        <v>2019</v>
      </c>
      <c r="F1" s="42" t="s">
        <v>264</v>
      </c>
      <c r="G1" s="42" t="s">
        <v>335</v>
      </c>
    </row>
    <row r="2" spans="1:7" x14ac:dyDescent="0.25">
      <c r="A2" s="62" t="s">
        <v>296</v>
      </c>
      <c r="B2" s="64">
        <f>Entrate_Uscite!B58</f>
        <v>267989845.75999832</v>
      </c>
      <c r="C2" s="64">
        <f>Entrate_Uscite!E58</f>
        <v>481714716.52999878</v>
      </c>
      <c r="D2" s="64">
        <f>Entrate_Uscite!H58</f>
        <v>380249252.90999985</v>
      </c>
      <c r="E2" s="64">
        <f>Entrate_Uscite!K58</f>
        <v>916328940.40999794</v>
      </c>
      <c r="F2" s="64">
        <f>E2-D2</f>
        <v>536079687.49999809</v>
      </c>
      <c r="G2" s="64">
        <f>Entrate_Uscite!L58</f>
        <v>1386147112.8000011</v>
      </c>
    </row>
    <row r="3" spans="1:7" x14ac:dyDescent="0.25">
      <c r="A3" s="62" t="s">
        <v>71</v>
      </c>
      <c r="B3" s="64">
        <f>Entrate_Uscite!B59</f>
        <v>26199945.049999952</v>
      </c>
      <c r="C3" s="64">
        <f>Entrate_Uscite!E59</f>
        <v>30844589.200000167</v>
      </c>
      <c r="D3" s="64">
        <f>Entrate_Uscite!H59</f>
        <v>-457993349.09000003</v>
      </c>
      <c r="E3" s="64">
        <f>Entrate_Uscite!K59</f>
        <v>-109150125.38000011</v>
      </c>
      <c r="F3" s="64">
        <f>E3-D3</f>
        <v>348843223.70999992</v>
      </c>
      <c r="G3" s="64">
        <f>Entrate_Uscite!L59</f>
        <v>71894538.470000029</v>
      </c>
    </row>
    <row r="4" spans="1:7" x14ac:dyDescent="0.25">
      <c r="A4" s="62" t="s">
        <v>299</v>
      </c>
      <c r="B4" s="65">
        <f>Entrate_Uscite!B16-Entrate_Uscite!B52</f>
        <v>69361422.639999866</v>
      </c>
      <c r="C4" s="65">
        <f>Entrate_Uscite!E16-Entrate_Uscite!E52</f>
        <v>29636005.439999998</v>
      </c>
      <c r="D4" s="65">
        <f>Entrate_Uscite!H16-Entrate_Uscite!H52</f>
        <v>-83995642.87999998</v>
      </c>
      <c r="E4" s="65">
        <f>Entrate_Uscite!K16-Entrate_Uscite!K52</f>
        <v>-24504701.24000001</v>
      </c>
      <c r="F4" s="64">
        <f t="shared" ref="F4:F6" si="0">E4-D4</f>
        <v>59490941.639999971</v>
      </c>
      <c r="G4" s="65">
        <f>Entrate_Uscite!L16-Entrate_Uscite!L52</f>
        <v>-24887651.549999952</v>
      </c>
    </row>
    <row r="5" spans="1:7" x14ac:dyDescent="0.25">
      <c r="A5" s="47" t="s">
        <v>297</v>
      </c>
      <c r="B5" s="66">
        <f>Entrate_Uscite!B60</f>
        <v>363551213.44999695</v>
      </c>
      <c r="C5" s="66">
        <f>Entrate_Uscite!E60</f>
        <v>542195311.16999817</v>
      </c>
      <c r="D5" s="66">
        <f>Entrate_Uscite!H60</f>
        <v>-161739739.05999947</v>
      </c>
      <c r="E5" s="66">
        <f>Entrate_Uscite!K60</f>
        <v>782674113.7899971</v>
      </c>
      <c r="F5" s="66">
        <f t="shared" si="0"/>
        <v>944413852.84999657</v>
      </c>
      <c r="G5" s="66">
        <f>SUM(Entrate_Uscite!L14:L16)-SUM(Entrate_Uscite!L50:L52)</f>
        <v>1433153999.7200012</v>
      </c>
    </row>
    <row r="6" spans="1:7" x14ac:dyDescent="0.25">
      <c r="A6" s="38" t="s">
        <v>298</v>
      </c>
      <c r="B6" s="67">
        <f>Entrate_Uscite!B61</f>
        <v>183300517.60999298</v>
      </c>
      <c r="C6" s="67">
        <f>Entrate_Uscite!E61</f>
        <v>281405164.70000076</v>
      </c>
      <c r="D6" s="67">
        <f>Entrate_Uscite!H61</f>
        <v>-427795937.95999908</v>
      </c>
      <c r="E6" s="67">
        <f>Entrate_Uscite!K61</f>
        <v>562300458.02999878</v>
      </c>
      <c r="F6" s="67">
        <f t="shared" si="0"/>
        <v>990096395.98999786</v>
      </c>
      <c r="G6" s="67">
        <f>Entrate_Uscite!L61</f>
        <v>1212780343.9600029</v>
      </c>
    </row>
    <row r="7" spans="1:7" x14ac:dyDescent="0.25">
      <c r="G7" s="6"/>
    </row>
    <row r="8" spans="1:7" x14ac:dyDescent="0.25">
      <c r="G8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G4" sqref="G4"/>
    </sheetView>
  </sheetViews>
  <sheetFormatPr defaultRowHeight="15" x14ac:dyDescent="0.25"/>
  <cols>
    <col min="1" max="1" width="36.42578125" bestFit="1" customWidth="1"/>
    <col min="2" max="6" width="13.5703125" bestFit="1" customWidth="1"/>
    <col min="7" max="7" width="13.7109375" bestFit="1" customWidth="1"/>
    <col min="8" max="8" width="13.5703125" bestFit="1" customWidth="1"/>
    <col min="9" max="9" width="10" bestFit="1" customWidth="1"/>
  </cols>
  <sheetData>
    <row r="1" spans="1:8" x14ac:dyDescent="0.25">
      <c r="A1" s="41"/>
      <c r="B1" s="95">
        <v>2016</v>
      </c>
      <c r="C1" s="95">
        <v>2017</v>
      </c>
      <c r="D1" s="69">
        <v>2018</v>
      </c>
      <c r="E1" s="95">
        <v>2019</v>
      </c>
      <c r="F1" s="95">
        <v>2019</v>
      </c>
    </row>
    <row r="2" spans="1:8" x14ac:dyDescent="0.25">
      <c r="A2" t="s">
        <v>5</v>
      </c>
      <c r="B2" s="101">
        <f>724856609.15+1840305.48-735003548.82</f>
        <v>-8306634.1900000572</v>
      </c>
      <c r="C2" s="1">
        <v>1126277817.46</v>
      </c>
      <c r="D2" s="1">
        <v>314291938.08999997</v>
      </c>
      <c r="E2" s="1">
        <v>1426274294.6800001</v>
      </c>
      <c r="F2" s="1">
        <v>1426274294.6800001</v>
      </c>
      <c r="G2" s="1"/>
    </row>
    <row r="3" spans="1:8" x14ac:dyDescent="0.25">
      <c r="A3" t="s">
        <v>6</v>
      </c>
      <c r="B3" s="1">
        <v>4195895664.2199998</v>
      </c>
      <c r="C3" s="1">
        <v>3473829536.8200002</v>
      </c>
      <c r="D3" s="1">
        <v>4484244951.2700005</v>
      </c>
      <c r="E3" s="1">
        <v>4104231217.5</v>
      </c>
      <c r="F3" s="1">
        <v>4104231217.5</v>
      </c>
      <c r="G3" s="1"/>
    </row>
    <row r="4" spans="1:8" x14ac:dyDescent="0.25">
      <c r="A4" t="s">
        <v>7</v>
      </c>
      <c r="B4" s="1">
        <v>2988738998.77</v>
      </c>
      <c r="C4" s="1">
        <v>3250553809.1799998</v>
      </c>
      <c r="D4" s="1">
        <v>3524549763.77</v>
      </c>
      <c r="E4" s="1">
        <v>3562994740.1500001</v>
      </c>
      <c r="F4" s="1">
        <v>3562994740.1500001</v>
      </c>
      <c r="G4" s="1"/>
    </row>
    <row r="5" spans="1:8" x14ac:dyDescent="0.25">
      <c r="A5" t="s">
        <v>8</v>
      </c>
      <c r="B5" s="1">
        <v>512248448.08999997</v>
      </c>
      <c r="C5" s="1">
        <v>444493517.37</v>
      </c>
      <c r="D5" s="1">
        <v>355916442.67000002</v>
      </c>
      <c r="E5" s="1">
        <v>277771984.22000003</v>
      </c>
      <c r="F5" s="1">
        <v>277771984.22000003</v>
      </c>
      <c r="G5" s="1"/>
    </row>
    <row r="6" spans="1:8" x14ac:dyDescent="0.25">
      <c r="A6" t="s">
        <v>355</v>
      </c>
      <c r="B6" s="1">
        <f>763034559.66+23476344.15</f>
        <v>786510903.80999994</v>
      </c>
      <c r="C6" s="1">
        <v>713296891.48000002</v>
      </c>
      <c r="D6" s="1">
        <v>560729299.24000001</v>
      </c>
      <c r="E6" s="1">
        <v>843332780.36000001</v>
      </c>
      <c r="F6" s="1">
        <v>843332780.36000001</v>
      </c>
      <c r="G6" s="1"/>
    </row>
    <row r="7" spans="1:8" x14ac:dyDescent="0.25">
      <c r="A7" s="4" t="s">
        <v>0</v>
      </c>
      <c r="B7" s="3">
        <f t="shared" ref="B7:C7" si="0">B2+B3-B4-B5-B6</f>
        <v>-99909320.640000105</v>
      </c>
      <c r="C7" s="3">
        <f t="shared" si="0"/>
        <v>191763136.25000083</v>
      </c>
      <c r="D7" s="3">
        <f>D2+D3-D4-D5-D6</f>
        <v>357341383.68000054</v>
      </c>
      <c r="E7" s="3">
        <f>E2+E3-E4-E5-E6</f>
        <v>846406007.45000017</v>
      </c>
      <c r="F7" s="3">
        <f>F2+F3-F4-F5-F6</f>
        <v>846406007.45000017</v>
      </c>
      <c r="G7" s="3"/>
    </row>
    <row r="8" spans="1:8" x14ac:dyDescent="0.25">
      <c r="A8" t="s">
        <v>9</v>
      </c>
      <c r="B8" s="1">
        <v>67901259.459999993</v>
      </c>
      <c r="C8" s="1">
        <v>79742106</v>
      </c>
      <c r="D8" s="1">
        <v>121897644.42</v>
      </c>
      <c r="E8" s="1">
        <v>167996686.40000001</v>
      </c>
      <c r="F8" s="1">
        <v>167996686.40000001</v>
      </c>
    </row>
    <row r="9" spans="1:8" x14ac:dyDescent="0.25">
      <c r="A9" t="s">
        <v>349</v>
      </c>
      <c r="B9" s="1">
        <v>95280000</v>
      </c>
      <c r="C9" s="1">
        <v>114336000</v>
      </c>
      <c r="D9" s="1">
        <v>520966376.29000002</v>
      </c>
      <c r="E9" s="1">
        <v>544625815.42999995</v>
      </c>
      <c r="F9" s="1">
        <v>544625815.42999995</v>
      </c>
      <c r="G9" s="1"/>
    </row>
    <row r="10" spans="1:8" x14ac:dyDescent="0.25">
      <c r="A10" t="s">
        <v>10</v>
      </c>
      <c r="B10" s="1">
        <v>0</v>
      </c>
      <c r="C10" s="1">
        <v>2515569000</v>
      </c>
      <c r="D10" s="1">
        <v>2438598061.1999998</v>
      </c>
      <c r="E10" s="1">
        <v>2360763351.5799999</v>
      </c>
      <c r="F10" s="1">
        <v>2360763351.5799999</v>
      </c>
    </row>
    <row r="11" spans="1:8" x14ac:dyDescent="0.25">
      <c r="A11" t="s">
        <v>11</v>
      </c>
      <c r="B11" s="1">
        <v>4289629.67</v>
      </c>
      <c r="C11" s="1">
        <v>3321840.21</v>
      </c>
      <c r="D11" s="1">
        <v>4778010.26</v>
      </c>
      <c r="E11" s="1">
        <v>27268594</v>
      </c>
      <c r="F11" s="1">
        <v>27268594</v>
      </c>
    </row>
    <row r="12" spans="1:8" x14ac:dyDescent="0.25">
      <c r="A12" t="s">
        <v>12</v>
      </c>
      <c r="B12" s="1">
        <v>103552170.69</v>
      </c>
      <c r="C12" s="1">
        <v>109378278.59999999</v>
      </c>
      <c r="D12" s="1">
        <v>201223228.09999999</v>
      </c>
      <c r="E12" s="1">
        <v>243067458.46000001</v>
      </c>
      <c r="F12" s="1">
        <v>243067458.46000001</v>
      </c>
    </row>
    <row r="13" spans="1:8" x14ac:dyDescent="0.25">
      <c r="A13" t="s">
        <v>13</v>
      </c>
      <c r="B13" s="1">
        <v>0</v>
      </c>
      <c r="C13" s="1">
        <v>0</v>
      </c>
      <c r="D13" s="1">
        <v>159642911.69</v>
      </c>
      <c r="E13" s="1">
        <v>454240300.63999999</v>
      </c>
      <c r="F13" s="1">
        <v>454240300.63999999</v>
      </c>
    </row>
    <row r="14" spans="1:8" x14ac:dyDescent="0.25">
      <c r="A14" s="4" t="s">
        <v>1</v>
      </c>
      <c r="B14" s="3">
        <f t="shared" ref="B14:C14" si="1">SUM(B8:B13)</f>
        <v>271023059.81999993</v>
      </c>
      <c r="C14" s="3">
        <f t="shared" si="1"/>
        <v>2822347224.8099999</v>
      </c>
      <c r="D14" s="3">
        <f>SUM(D8:D13)</f>
        <v>3447106231.96</v>
      </c>
      <c r="E14" s="3">
        <f>SUM(E8:E13)</f>
        <v>3797962206.5099998</v>
      </c>
      <c r="F14" s="3">
        <f>SUM(F8:F13)</f>
        <v>3797962206.5099998</v>
      </c>
      <c r="G14" s="97"/>
      <c r="H14" s="97"/>
    </row>
    <row r="15" spans="1:8" x14ac:dyDescent="0.25">
      <c r="A15" t="s">
        <v>15</v>
      </c>
      <c r="B15" s="1">
        <v>192163435.71000001</v>
      </c>
      <c r="C15" s="1">
        <v>20500542.780000001</v>
      </c>
      <c r="D15" s="1">
        <v>20500542.780000001</v>
      </c>
      <c r="E15" s="1">
        <v>20500542.780000001</v>
      </c>
      <c r="F15" s="1">
        <v>20500542.780000001</v>
      </c>
    </row>
    <row r="16" spans="1:8" x14ac:dyDescent="0.25">
      <c r="A16" t="s">
        <v>14</v>
      </c>
      <c r="B16" s="1">
        <v>2777871599.4499998</v>
      </c>
      <c r="C16" s="1">
        <v>3265068029</v>
      </c>
      <c r="D16" s="1">
        <v>3623154256.5799999</v>
      </c>
      <c r="E16" s="1">
        <v>3502794431.02</v>
      </c>
      <c r="F16" s="1">
        <v>3502794431.02</v>
      </c>
    </row>
    <row r="17" spans="1:6" x14ac:dyDescent="0.25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25">
      <c r="A18" t="s">
        <v>17</v>
      </c>
      <c r="B18" s="1">
        <v>2591690000</v>
      </c>
      <c r="C18" s="1">
        <v>283343149.99000001</v>
      </c>
      <c r="D18" s="1">
        <v>299473482.85000002</v>
      </c>
      <c r="E18" s="1">
        <v>386642196.08999997</v>
      </c>
      <c r="F18" s="1">
        <v>386642196.08999997</v>
      </c>
    </row>
    <row r="19" spans="1:6" x14ac:dyDescent="0.25">
      <c r="A19" t="s">
        <v>18</v>
      </c>
      <c r="B19" s="1">
        <f>20500542.78+3373162.64+106030947.2</f>
        <v>129904652.62</v>
      </c>
      <c r="C19" s="1">
        <v>54115202.490000002</v>
      </c>
      <c r="D19" s="1">
        <v>255856393.83000001</v>
      </c>
      <c r="E19" s="1">
        <v>0</v>
      </c>
      <c r="F19" s="1">
        <v>0</v>
      </c>
    </row>
    <row r="20" spans="1:6" x14ac:dyDescent="0.25">
      <c r="A20" s="4" t="s">
        <v>2</v>
      </c>
      <c r="B20" s="3">
        <f t="shared" ref="B20" si="2">SUM(B15:B19)</f>
        <v>5691629687.7799997</v>
      </c>
      <c r="C20" s="3">
        <f>SUM(C15:C19)</f>
        <v>3623026924.2600002</v>
      </c>
      <c r="D20" s="3">
        <f>SUM(D15:D19)</f>
        <v>4198984676.04</v>
      </c>
      <c r="E20" s="3">
        <f>SUM(E15:E19)</f>
        <v>3909937169.8900003</v>
      </c>
      <c r="F20" s="3">
        <f>SUM(F15:F19)</f>
        <v>3909937169.8900003</v>
      </c>
    </row>
    <row r="21" spans="1:6" x14ac:dyDescent="0.25">
      <c r="A21" s="4" t="s">
        <v>3</v>
      </c>
      <c r="B21" s="3">
        <v>36998397.850000001</v>
      </c>
      <c r="C21" s="3">
        <v>33168311.699999999</v>
      </c>
      <c r="D21" s="3">
        <v>24648549.649999999</v>
      </c>
      <c r="E21" s="3">
        <v>25910670.440000001</v>
      </c>
      <c r="F21" s="3">
        <v>25910670.440000001</v>
      </c>
    </row>
    <row r="22" spans="1:6" x14ac:dyDescent="0.25">
      <c r="A22" s="70" t="s">
        <v>4</v>
      </c>
      <c r="B22" s="37">
        <f t="shared" ref="B22" si="3">B7-B14-B20-B21</f>
        <v>-6099560466.0900002</v>
      </c>
      <c r="C22" s="37">
        <f>C7-C14-C20-C21</f>
        <v>-6286779324.5199995</v>
      </c>
      <c r="D22" s="37">
        <f>D7-D14-D20-D21</f>
        <v>-7313398073.9699993</v>
      </c>
      <c r="E22" s="37">
        <f>E7-E14-E20-E21</f>
        <v>-6887404039.3899994</v>
      </c>
      <c r="F22" s="37">
        <f>F7-F14-F20-F21</f>
        <v>-6887404039.3899994</v>
      </c>
    </row>
    <row r="23" spans="1:6" x14ac:dyDescent="0.25">
      <c r="B23" s="1">
        <v>-150431783.21000001</v>
      </c>
      <c r="C23" s="1">
        <v>-243496060.63</v>
      </c>
      <c r="D23" s="1">
        <v>195813902.84999999</v>
      </c>
      <c r="E23" s="1">
        <v>-10545566.1</v>
      </c>
      <c r="F23" s="1">
        <v>-10545566.1</v>
      </c>
    </row>
    <row r="24" spans="1:6" x14ac:dyDescent="0.25">
      <c r="A24" t="s">
        <v>366</v>
      </c>
      <c r="B24" s="6">
        <f t="shared" ref="B24:D24" si="4">B8/B3*100</f>
        <v>1.6182780720459731</v>
      </c>
      <c r="C24" s="6">
        <f t="shared" si="4"/>
        <v>2.2955100460397726</v>
      </c>
      <c r="D24" s="6">
        <f t="shared" si="4"/>
        <v>2.7183538309047304</v>
      </c>
      <c r="E24" s="6">
        <f t="shared" ref="E24:F24" si="5">E8/E3*100</f>
        <v>4.0932558985390548</v>
      </c>
      <c r="F24" s="6">
        <f t="shared" si="5"/>
        <v>4.0932558985390548</v>
      </c>
    </row>
    <row r="25" spans="1:6" x14ac:dyDescent="0.25">
      <c r="A25" t="s">
        <v>356</v>
      </c>
    </row>
    <row r="26" spans="1:6" x14ac:dyDescent="0.25">
      <c r="B26" s="100" t="s">
        <v>361</v>
      </c>
    </row>
    <row r="52" spans="1:6" x14ac:dyDescent="0.25">
      <c r="A52" t="s">
        <v>13</v>
      </c>
      <c r="B52" s="1">
        <f t="shared" ref="B52:D52" si="6">SUM(B11:B13)</f>
        <v>107841800.36</v>
      </c>
      <c r="C52" s="1">
        <f t="shared" si="6"/>
        <v>112700118.80999999</v>
      </c>
      <c r="D52" s="1">
        <f t="shared" si="6"/>
        <v>365644150.04999995</v>
      </c>
      <c r="E52" s="1">
        <f t="shared" ref="E52:F52" si="7">SUM(E11:E13)</f>
        <v>724576353.10000002</v>
      </c>
      <c r="F52" s="1">
        <f t="shared" si="7"/>
        <v>724576353.10000002</v>
      </c>
    </row>
  </sheetData>
  <conditionalFormatting sqref="B22:D22">
    <cfRule type="cellIs" dxfId="59" priority="21" operator="greaterThan">
      <formula>0</formula>
    </cfRule>
  </conditionalFormatting>
  <conditionalFormatting sqref="B22:D22">
    <cfRule type="cellIs" dxfId="58" priority="18" operator="greaterThan">
      <formula>0</formula>
    </cfRule>
    <cfRule type="cellIs" dxfId="57" priority="19" operator="lessThan">
      <formula>0</formula>
    </cfRule>
  </conditionalFormatting>
  <conditionalFormatting sqref="E22">
    <cfRule type="cellIs" dxfId="56" priority="6" operator="greaterThan">
      <formula>0</formula>
    </cfRule>
  </conditionalFormatting>
  <conditionalFormatting sqref="E22">
    <cfRule type="cellIs" dxfId="55" priority="4" operator="greaterThan">
      <formula>0</formula>
    </cfRule>
    <cfRule type="cellIs" dxfId="54" priority="5" operator="lessThan">
      <formula>0</formula>
    </cfRule>
  </conditionalFormatting>
  <conditionalFormatting sqref="F22">
    <cfRule type="cellIs" dxfId="53" priority="3" operator="greaterThan">
      <formula>0</formula>
    </cfRule>
  </conditionalFormatting>
  <conditionalFormatting sqref="F22">
    <cfRule type="cellIs" dxfId="52" priority="1" operator="greaterThan">
      <formula>0</formula>
    </cfRule>
    <cfRule type="cellIs" dxfId="51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" sqref="F2:F28"/>
    </sheetView>
  </sheetViews>
  <sheetFormatPr defaultRowHeight="15" x14ac:dyDescent="0.25"/>
  <cols>
    <col min="1" max="1" width="65.28515625" bestFit="1" customWidth="1"/>
    <col min="2" max="2" width="3.42578125" bestFit="1" customWidth="1"/>
    <col min="3" max="4" width="15.42578125" bestFit="1" customWidth="1"/>
    <col min="5" max="6" width="15.5703125" customWidth="1"/>
    <col min="7" max="7" width="12.28515625" bestFit="1" customWidth="1"/>
  </cols>
  <sheetData>
    <row r="1" spans="1:7" x14ac:dyDescent="0.25">
      <c r="C1" s="99">
        <v>2016</v>
      </c>
      <c r="D1" s="12">
        <v>2017</v>
      </c>
      <c r="E1" s="12">
        <v>2018</v>
      </c>
      <c r="F1" s="12">
        <v>2019</v>
      </c>
      <c r="G1" s="12" t="s">
        <v>264</v>
      </c>
    </row>
    <row r="2" spans="1:7" x14ac:dyDescent="0.25">
      <c r="A2" t="s">
        <v>234</v>
      </c>
      <c r="B2" s="26" t="s">
        <v>258</v>
      </c>
      <c r="C2" s="1">
        <v>11290718973</v>
      </c>
      <c r="D2" s="1">
        <v>11717452293</v>
      </c>
      <c r="E2" s="1">
        <v>12009791207</v>
      </c>
      <c r="F2" s="1">
        <v>11841494291</v>
      </c>
      <c r="G2" s="1">
        <f t="shared" ref="G2:G28" si="0">F2-E2</f>
        <v>-168296916</v>
      </c>
    </row>
    <row r="3" spans="1:7" x14ac:dyDescent="0.25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f t="shared" si="0"/>
        <v>0</v>
      </c>
    </row>
    <row r="4" spans="1:7" x14ac:dyDescent="0.25">
      <c r="A4" t="s">
        <v>236</v>
      </c>
      <c r="B4" s="26" t="s">
        <v>258</v>
      </c>
      <c r="C4" s="1">
        <v>5610067146</v>
      </c>
      <c r="D4" s="1">
        <v>4938526725</v>
      </c>
      <c r="E4" s="1">
        <v>4380580359</v>
      </c>
      <c r="F4" s="1">
        <v>4392292613</v>
      </c>
      <c r="G4" s="1">
        <f t="shared" si="0"/>
        <v>11712254</v>
      </c>
    </row>
    <row r="5" spans="1:7" x14ac:dyDescent="0.25">
      <c r="A5" t="s">
        <v>237</v>
      </c>
      <c r="B5" s="26" t="s">
        <v>258</v>
      </c>
      <c r="C5" s="1">
        <v>81451115</v>
      </c>
      <c r="D5" s="1">
        <v>132143719</v>
      </c>
      <c r="E5" s="1">
        <v>159367088</v>
      </c>
      <c r="F5" s="1">
        <v>154944582</v>
      </c>
      <c r="G5" s="1">
        <f t="shared" si="0"/>
        <v>-4422506</v>
      </c>
    </row>
    <row r="6" spans="1:7" x14ac:dyDescent="0.25">
      <c r="A6" t="s">
        <v>238</v>
      </c>
      <c r="B6" s="26" t="s">
        <v>258</v>
      </c>
      <c r="C6" s="1"/>
      <c r="D6" s="1"/>
      <c r="E6" s="1"/>
      <c r="F6" s="1"/>
      <c r="G6" s="1">
        <f t="shared" si="0"/>
        <v>0</v>
      </c>
    </row>
    <row r="7" spans="1:7" x14ac:dyDescent="0.25">
      <c r="A7" t="s">
        <v>239</v>
      </c>
      <c r="B7" s="26" t="s">
        <v>258</v>
      </c>
      <c r="C7" s="1"/>
      <c r="D7" s="1"/>
      <c r="E7" s="1"/>
      <c r="F7" s="1"/>
      <c r="G7" s="1">
        <f t="shared" si="0"/>
        <v>0</v>
      </c>
    </row>
    <row r="8" spans="1:7" x14ac:dyDescent="0.25">
      <c r="A8" t="s">
        <v>240</v>
      </c>
      <c r="B8" s="26" t="s">
        <v>258</v>
      </c>
      <c r="C8" s="1"/>
      <c r="D8" s="1"/>
      <c r="E8" s="1"/>
      <c r="F8" s="1"/>
      <c r="G8" s="1">
        <f t="shared" si="0"/>
        <v>0</v>
      </c>
    </row>
    <row r="9" spans="1:7" x14ac:dyDescent="0.25">
      <c r="A9" s="32" t="s">
        <v>241</v>
      </c>
      <c r="B9" s="33" t="s">
        <v>258</v>
      </c>
      <c r="C9" s="34">
        <v>311208427</v>
      </c>
      <c r="D9" s="34">
        <v>649834114</v>
      </c>
      <c r="E9" s="34">
        <v>633712758</v>
      </c>
      <c r="F9" s="34">
        <v>538534666</v>
      </c>
      <c r="G9" s="1">
        <f t="shared" si="0"/>
        <v>-95178092</v>
      </c>
    </row>
    <row r="10" spans="1:7" x14ac:dyDescent="0.25">
      <c r="A10" s="35" t="s">
        <v>262</v>
      </c>
      <c r="B10" s="36" t="s">
        <v>258</v>
      </c>
      <c r="C10" s="93">
        <f t="shared" ref="C10" si="1">SUM(C2:C9)</f>
        <v>17293445661</v>
      </c>
      <c r="D10" s="93">
        <f t="shared" ref="D10:E10" si="2">SUM(D2:D9)</f>
        <v>17437956851</v>
      </c>
      <c r="E10" s="93">
        <f t="shared" si="2"/>
        <v>17183451412</v>
      </c>
      <c r="F10" s="93">
        <f t="shared" ref="F10" si="3">SUM(F2:F9)</f>
        <v>16927266152</v>
      </c>
      <c r="G10" s="11">
        <f t="shared" si="0"/>
        <v>-256185260</v>
      </c>
    </row>
    <row r="11" spans="1:7" x14ac:dyDescent="0.25">
      <c r="A11" t="s">
        <v>242</v>
      </c>
      <c r="B11" s="26" t="s">
        <v>259</v>
      </c>
      <c r="C11" s="1">
        <v>13002924</v>
      </c>
      <c r="D11" s="1">
        <v>7778761</v>
      </c>
      <c r="E11" s="1">
        <v>5737851</v>
      </c>
      <c r="F11" s="1">
        <v>7499184</v>
      </c>
      <c r="G11" s="1">
        <f t="shared" si="0"/>
        <v>1761333</v>
      </c>
    </row>
    <row r="12" spans="1:7" x14ac:dyDescent="0.25">
      <c r="A12" t="s">
        <v>243</v>
      </c>
      <c r="B12" s="26" t="s">
        <v>259</v>
      </c>
      <c r="C12" s="1">
        <v>840263035</v>
      </c>
      <c r="D12" s="1">
        <v>1444528764</v>
      </c>
      <c r="E12" s="1">
        <v>1393483056</v>
      </c>
      <c r="F12" s="1">
        <v>1446409725</v>
      </c>
      <c r="G12" s="1">
        <f t="shared" si="0"/>
        <v>52926669</v>
      </c>
    </row>
    <row r="13" spans="1:7" x14ac:dyDescent="0.25">
      <c r="A13" t="s">
        <v>244</v>
      </c>
      <c r="B13" s="26" t="s">
        <v>259</v>
      </c>
      <c r="C13" s="1">
        <v>74335514</v>
      </c>
      <c r="D13" s="1">
        <v>63185274</v>
      </c>
      <c r="E13" s="1">
        <v>49081672</v>
      </c>
      <c r="F13" s="1">
        <v>49295286</v>
      </c>
      <c r="G13" s="1">
        <f t="shared" si="0"/>
        <v>213614</v>
      </c>
    </row>
    <row r="14" spans="1:7" x14ac:dyDescent="0.25">
      <c r="A14" t="s">
        <v>245</v>
      </c>
      <c r="B14" s="26" t="s">
        <v>259</v>
      </c>
      <c r="C14" s="1">
        <v>11322823331</v>
      </c>
      <c r="D14" s="1">
        <v>12855667766</v>
      </c>
      <c r="E14" s="1">
        <v>13033985919</v>
      </c>
      <c r="F14" s="1">
        <v>12968407923</v>
      </c>
      <c r="G14" s="1">
        <f t="shared" si="0"/>
        <v>-65577996</v>
      </c>
    </row>
    <row r="15" spans="1:7" x14ac:dyDescent="0.25">
      <c r="A15" t="s">
        <v>246</v>
      </c>
      <c r="B15" s="26" t="s">
        <v>259</v>
      </c>
      <c r="C15" s="1">
        <v>1347791461</v>
      </c>
      <c r="D15" s="1">
        <v>791072118</v>
      </c>
      <c r="E15" s="1">
        <v>738016682</v>
      </c>
      <c r="F15" s="1">
        <v>716302029</v>
      </c>
      <c r="G15" s="1">
        <f t="shared" si="0"/>
        <v>-21714653</v>
      </c>
    </row>
    <row r="16" spans="1:7" x14ac:dyDescent="0.25">
      <c r="A16" t="s">
        <v>247</v>
      </c>
      <c r="B16" s="26" t="s">
        <v>259</v>
      </c>
      <c r="C16" s="1">
        <v>85444419</v>
      </c>
      <c r="D16" s="1">
        <v>88844880</v>
      </c>
      <c r="E16" s="1">
        <v>473855340</v>
      </c>
      <c r="F16" s="1">
        <v>630497968</v>
      </c>
      <c r="G16" s="1">
        <f t="shared" si="0"/>
        <v>156642628</v>
      </c>
    </row>
    <row r="17" spans="1:7" x14ac:dyDescent="0.25">
      <c r="A17" t="s">
        <v>248</v>
      </c>
      <c r="B17" s="26" t="s">
        <v>259</v>
      </c>
      <c r="C17" s="1">
        <v>0</v>
      </c>
      <c r="D17" s="1">
        <v>0</v>
      </c>
      <c r="E17" s="1">
        <v>0</v>
      </c>
      <c r="F17" s="1">
        <v>0</v>
      </c>
      <c r="G17" s="1">
        <f t="shared" si="0"/>
        <v>0</v>
      </c>
    </row>
    <row r="18" spans="1:7" x14ac:dyDescent="0.25">
      <c r="A18" t="s">
        <v>249</v>
      </c>
      <c r="B18" s="26" t="s">
        <v>259</v>
      </c>
      <c r="C18" s="1">
        <v>0</v>
      </c>
      <c r="D18" s="1">
        <v>228336554</v>
      </c>
      <c r="E18" s="1">
        <v>142802547</v>
      </c>
      <c r="F18" s="1">
        <v>41763176</v>
      </c>
      <c r="G18" s="1">
        <f t="shared" si="0"/>
        <v>-101039371</v>
      </c>
    </row>
    <row r="19" spans="1:7" x14ac:dyDescent="0.25">
      <c r="A19" t="s">
        <v>13</v>
      </c>
      <c r="B19" s="26" t="s">
        <v>259</v>
      </c>
      <c r="C19" s="1">
        <v>0</v>
      </c>
      <c r="D19" s="1">
        <v>25719036</v>
      </c>
      <c r="E19" s="1">
        <v>159642912</v>
      </c>
      <c r="F19" s="1">
        <v>297357067</v>
      </c>
      <c r="G19" s="1">
        <f t="shared" si="0"/>
        <v>137714155</v>
      </c>
    </row>
    <row r="20" spans="1:7" x14ac:dyDescent="0.25">
      <c r="A20" s="32" t="s">
        <v>250</v>
      </c>
      <c r="B20" s="33" t="s">
        <v>259</v>
      </c>
      <c r="C20" s="34">
        <v>1769114996</v>
      </c>
      <c r="D20" s="34">
        <v>512556844</v>
      </c>
      <c r="E20" s="34">
        <v>116765964</v>
      </c>
      <c r="F20" s="34">
        <v>449263055</v>
      </c>
      <c r="G20" s="1">
        <f t="shared" si="0"/>
        <v>332497091</v>
      </c>
    </row>
    <row r="21" spans="1:7" x14ac:dyDescent="0.25">
      <c r="A21" s="35" t="s">
        <v>263</v>
      </c>
      <c r="B21" s="36" t="s">
        <v>259</v>
      </c>
      <c r="C21" s="93">
        <f>SUM(C11:C20)</f>
        <v>15452775680</v>
      </c>
      <c r="D21" s="93">
        <f t="shared" ref="D21:E21" si="4">SUM(D11:D20)</f>
        <v>16017689997</v>
      </c>
      <c r="E21" s="93">
        <f t="shared" si="4"/>
        <v>16113371943</v>
      </c>
      <c r="F21" s="93">
        <f t="shared" ref="F21" si="5">SUM(F11:F20)</f>
        <v>16606795413</v>
      </c>
      <c r="G21" s="11">
        <f t="shared" si="0"/>
        <v>493423470</v>
      </c>
    </row>
    <row r="22" spans="1:7" x14ac:dyDescent="0.25">
      <c r="A22" t="s">
        <v>251</v>
      </c>
      <c r="B22" s="26" t="s">
        <v>258</v>
      </c>
      <c r="C22" s="1">
        <v>6933303</v>
      </c>
      <c r="D22" s="1">
        <v>7946774</v>
      </c>
      <c r="E22" s="1">
        <v>9181327</v>
      </c>
      <c r="F22" s="1">
        <v>6707565</v>
      </c>
      <c r="G22" s="1">
        <f t="shared" si="0"/>
        <v>-2473762</v>
      </c>
    </row>
    <row r="23" spans="1:7" x14ac:dyDescent="0.25">
      <c r="A23" t="s">
        <v>252</v>
      </c>
      <c r="B23" s="26" t="s">
        <v>259</v>
      </c>
      <c r="C23" s="1">
        <v>311754001</v>
      </c>
      <c r="D23" s="1">
        <v>389350764</v>
      </c>
      <c r="E23" s="1">
        <v>296211341</v>
      </c>
      <c r="F23" s="1">
        <v>218906870</v>
      </c>
      <c r="G23" s="1">
        <f t="shared" si="0"/>
        <v>-77304471</v>
      </c>
    </row>
    <row r="24" spans="1:7" x14ac:dyDescent="0.25">
      <c r="A24" t="s">
        <v>253</v>
      </c>
      <c r="B24" s="26" t="s">
        <v>258</v>
      </c>
      <c r="C24" s="1">
        <v>-31064473</v>
      </c>
      <c r="D24" s="1">
        <v>25719036</v>
      </c>
      <c r="E24" s="1">
        <v>-126935496</v>
      </c>
      <c r="F24" s="1">
        <v>-110962368</v>
      </c>
      <c r="G24" s="1">
        <f t="shared" si="0"/>
        <v>15973128</v>
      </c>
    </row>
    <row r="25" spans="1:7" x14ac:dyDescent="0.25">
      <c r="A25" t="s">
        <v>254</v>
      </c>
      <c r="B25" s="26" t="s">
        <v>258</v>
      </c>
      <c r="C25" s="1">
        <v>1026370029</v>
      </c>
      <c r="D25" s="1">
        <v>574156489</v>
      </c>
      <c r="E25" s="1">
        <v>510350210</v>
      </c>
      <c r="F25" s="1">
        <v>1429850265</v>
      </c>
      <c r="G25" s="1">
        <f t="shared" si="0"/>
        <v>919500055</v>
      </c>
    </row>
    <row r="26" spans="1:7" x14ac:dyDescent="0.25">
      <c r="A26" t="s">
        <v>255</v>
      </c>
      <c r="B26" s="26" t="s">
        <v>259</v>
      </c>
      <c r="C26" s="1">
        <v>1536681913</v>
      </c>
      <c r="D26" s="1">
        <v>883422663</v>
      </c>
      <c r="E26" s="1">
        <v>639796383</v>
      </c>
      <c r="F26" s="1">
        <v>778799758</v>
      </c>
      <c r="G26" s="1">
        <f t="shared" si="0"/>
        <v>139003375</v>
      </c>
    </row>
    <row r="27" spans="1:7" x14ac:dyDescent="0.25">
      <c r="A27" t="s">
        <v>256</v>
      </c>
      <c r="B27" s="26" t="s">
        <v>259</v>
      </c>
      <c r="C27" s="1">
        <v>69020685</v>
      </c>
      <c r="D27" s="1">
        <v>64321847</v>
      </c>
      <c r="E27" s="1">
        <v>62049535</v>
      </c>
      <c r="F27" s="1">
        <v>66110418</v>
      </c>
      <c r="G27" s="1">
        <f t="shared" si="0"/>
        <v>4060883</v>
      </c>
    </row>
    <row r="28" spans="1:7" x14ac:dyDescent="0.25">
      <c r="A28" s="10" t="s">
        <v>257</v>
      </c>
      <c r="B28" s="36" t="s">
        <v>260</v>
      </c>
      <c r="C28" s="37">
        <f>C10-C21+C22-C23+C24+C25-C26-C27</f>
        <v>925452241</v>
      </c>
      <c r="D28" s="37">
        <f t="shared" ref="D28:E28" si="6">D10-D21+D22-D23+D24+D25-D26-D27</f>
        <v>690993879</v>
      </c>
      <c r="E28" s="37">
        <f t="shared" si="6"/>
        <v>464618251</v>
      </c>
      <c r="F28" s="37">
        <f t="shared" ref="F28" si="7">F10-F21+F22-F23+F24+F25-F26-F27</f>
        <v>582249155</v>
      </c>
      <c r="G28" s="37">
        <f t="shared" si="0"/>
        <v>117630904</v>
      </c>
    </row>
  </sheetData>
  <conditionalFormatting sqref="C28:E28">
    <cfRule type="cellIs" dxfId="50" priority="17" operator="greaterThan">
      <formula>0</formula>
    </cfRule>
  </conditionalFormatting>
  <conditionalFormatting sqref="C28:E28">
    <cfRule type="cellIs" dxfId="49" priority="14" operator="greaterThan">
      <formula>0</formula>
    </cfRule>
  </conditionalFormatting>
  <conditionalFormatting sqref="F28">
    <cfRule type="cellIs" dxfId="48" priority="3" operator="greaterThan">
      <formula>0</formula>
    </cfRule>
  </conditionalFormatting>
  <conditionalFormatting sqref="F28">
    <cfRule type="cellIs" dxfId="47" priority="2" operator="greaterThan">
      <formula>0</formula>
    </cfRule>
  </conditionalFormatting>
  <conditionalFormatting sqref="G28">
    <cfRule type="cellIs" dxfId="4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1" sqref="C1:E1"/>
    </sheetView>
  </sheetViews>
  <sheetFormatPr defaultRowHeight="15" x14ac:dyDescent="0.25"/>
  <cols>
    <col min="1" max="1" width="50.7109375" bestFit="1" customWidth="1"/>
    <col min="2" max="5" width="14.28515625" bestFit="1" customWidth="1"/>
    <col min="6" max="6" width="12.28515625" bestFit="1" customWidth="1"/>
  </cols>
  <sheetData>
    <row r="1" spans="1:6" x14ac:dyDescent="0.25">
      <c r="A1" s="41"/>
      <c r="B1" s="42">
        <v>2016</v>
      </c>
      <c r="C1" s="42">
        <v>2017</v>
      </c>
      <c r="D1" s="42">
        <v>2018</v>
      </c>
      <c r="E1" s="42">
        <v>2019</v>
      </c>
      <c r="F1" s="42" t="s">
        <v>264</v>
      </c>
    </row>
    <row r="2" spans="1:6" x14ac:dyDescent="0.25">
      <c r="A2" s="71" t="s">
        <v>341</v>
      </c>
      <c r="B2" s="64">
        <f>Conto_economico!C10</f>
        <v>17293445661</v>
      </c>
      <c r="C2" s="64">
        <f>Conto_economico!D10</f>
        <v>17437956851</v>
      </c>
      <c r="D2" s="64">
        <f>Conto_economico!E10</f>
        <v>17183451412</v>
      </c>
      <c r="E2" s="64">
        <f>Conto_economico!F10</f>
        <v>16927266152</v>
      </c>
      <c r="F2" s="64">
        <f t="shared" ref="F2:F15" si="0">E2-D2</f>
        <v>-256185260</v>
      </c>
    </row>
    <row r="3" spans="1:6" x14ac:dyDescent="0.25">
      <c r="A3" s="71" t="s">
        <v>336</v>
      </c>
      <c r="B3" s="64">
        <f>Conto_economico!C2</f>
        <v>11290718973</v>
      </c>
      <c r="C3" s="64">
        <f>Conto_economico!D2</f>
        <v>11717452293</v>
      </c>
      <c r="D3" s="64">
        <f>Conto_economico!E2</f>
        <v>12009791207</v>
      </c>
      <c r="E3" s="64">
        <f>Conto_economico!F2</f>
        <v>11841494291</v>
      </c>
      <c r="F3" s="64">
        <f t="shared" si="0"/>
        <v>-168296916</v>
      </c>
    </row>
    <row r="4" spans="1:6" x14ac:dyDescent="0.25">
      <c r="A4" s="71" t="s">
        <v>337</v>
      </c>
      <c r="B4" s="64">
        <f>Conto_economico!C4</f>
        <v>5610067146</v>
      </c>
      <c r="C4" s="64">
        <f>Conto_economico!D4</f>
        <v>4938526725</v>
      </c>
      <c r="D4" s="64">
        <f>Conto_economico!E4</f>
        <v>4380580359</v>
      </c>
      <c r="E4" s="64">
        <f>Conto_economico!F4</f>
        <v>4392292613</v>
      </c>
      <c r="F4" s="64">
        <f t="shared" si="0"/>
        <v>11712254</v>
      </c>
    </row>
    <row r="5" spans="1:6" x14ac:dyDescent="0.25">
      <c r="A5" s="71" t="s">
        <v>342</v>
      </c>
      <c r="B5" s="65">
        <f>Conto_economico!C21</f>
        <v>15452775680</v>
      </c>
      <c r="C5" s="65">
        <f>Conto_economico!D21</f>
        <v>16017689997</v>
      </c>
      <c r="D5" s="65">
        <f>Conto_economico!E21</f>
        <v>16113371943</v>
      </c>
      <c r="E5" s="65">
        <f>Conto_economico!F21</f>
        <v>16606795413</v>
      </c>
      <c r="F5" s="64">
        <f t="shared" si="0"/>
        <v>493423470</v>
      </c>
    </row>
    <row r="6" spans="1:6" x14ac:dyDescent="0.25">
      <c r="A6" s="71" t="s">
        <v>338</v>
      </c>
      <c r="B6" s="64">
        <f>Conto_economico!C12</f>
        <v>840263035</v>
      </c>
      <c r="C6" s="64">
        <f>Conto_economico!D12</f>
        <v>1444528764</v>
      </c>
      <c r="D6" s="64">
        <f>Conto_economico!E12</f>
        <v>1393483056</v>
      </c>
      <c r="E6" s="64">
        <f>Conto_economico!F12</f>
        <v>1446409725</v>
      </c>
      <c r="F6" s="64">
        <f t="shared" si="0"/>
        <v>52926669</v>
      </c>
    </row>
    <row r="7" spans="1:6" x14ac:dyDescent="0.25">
      <c r="A7" s="71" t="s">
        <v>339</v>
      </c>
      <c r="B7" s="64">
        <f>Conto_economico!C15</f>
        <v>1347791461</v>
      </c>
      <c r="C7" s="64">
        <f>Conto_economico!D15</f>
        <v>791072118</v>
      </c>
      <c r="D7" s="64">
        <f>Conto_economico!E15</f>
        <v>738016682</v>
      </c>
      <c r="E7" s="64">
        <f>Conto_economico!F15</f>
        <v>716302029</v>
      </c>
      <c r="F7" s="64">
        <f t="shared" si="0"/>
        <v>-21714653</v>
      </c>
    </row>
    <row r="8" spans="1:6" x14ac:dyDescent="0.25">
      <c r="A8" s="71" t="s">
        <v>340</v>
      </c>
      <c r="B8" s="64">
        <f>Conto_economico!C16</f>
        <v>85444419</v>
      </c>
      <c r="C8" s="64">
        <f>Conto_economico!D16</f>
        <v>88844880</v>
      </c>
      <c r="D8" s="64">
        <f>Conto_economico!E16</f>
        <v>473855340</v>
      </c>
      <c r="E8" s="64">
        <f>Conto_economico!F16</f>
        <v>630497968</v>
      </c>
      <c r="F8" s="64">
        <f t="shared" si="0"/>
        <v>156642628</v>
      </c>
    </row>
    <row r="9" spans="1:6" x14ac:dyDescent="0.25">
      <c r="A9" s="47" t="s">
        <v>304</v>
      </c>
      <c r="B9" s="66">
        <f t="shared" ref="B9:D9" si="1">B2-B5</f>
        <v>1840669981</v>
      </c>
      <c r="C9" s="66">
        <f t="shared" si="1"/>
        <v>1420266854</v>
      </c>
      <c r="D9" s="66">
        <f t="shared" si="1"/>
        <v>1070079469</v>
      </c>
      <c r="E9" s="66">
        <f t="shared" ref="E9" si="2">E2-E5</f>
        <v>320470739</v>
      </c>
      <c r="F9" s="66">
        <f t="shared" si="0"/>
        <v>-749608730</v>
      </c>
    </row>
    <row r="10" spans="1:6" x14ac:dyDescent="0.25">
      <c r="A10" s="71" t="s">
        <v>305</v>
      </c>
      <c r="B10" s="64">
        <f>Conto_economico!C22-Conto_economico!C23</f>
        <v>-304820698</v>
      </c>
      <c r="C10" s="64">
        <f>Conto_economico!D22-Conto_economico!D23</f>
        <v>-381403990</v>
      </c>
      <c r="D10" s="64">
        <f>Conto_economico!E22-Conto_economico!E23</f>
        <v>-287030014</v>
      </c>
      <c r="E10" s="64">
        <f>Conto_economico!F22-Conto_economico!F23</f>
        <v>-212199305</v>
      </c>
      <c r="F10" s="64">
        <f t="shared" si="0"/>
        <v>74830709</v>
      </c>
    </row>
    <row r="11" spans="1:6" x14ac:dyDescent="0.25">
      <c r="A11" s="71" t="s">
        <v>306</v>
      </c>
      <c r="B11" s="65">
        <f>Conto_economico!C25-Conto_economico!C26</f>
        <v>-510311884</v>
      </c>
      <c r="C11" s="65">
        <f>Conto_economico!D25-Conto_economico!D26</f>
        <v>-309266174</v>
      </c>
      <c r="D11" s="65">
        <f>Conto_economico!E25-Conto_economico!E26</f>
        <v>-129446173</v>
      </c>
      <c r="E11" s="65">
        <f>Conto_economico!F25-Conto_economico!F26</f>
        <v>651050507</v>
      </c>
      <c r="F11" s="64">
        <f t="shared" si="0"/>
        <v>780496680</v>
      </c>
    </row>
    <row r="12" spans="1:6" x14ac:dyDescent="0.25">
      <c r="A12" s="71" t="s">
        <v>253</v>
      </c>
      <c r="B12" s="65">
        <f>Conto_economico!C24</f>
        <v>-31064473</v>
      </c>
      <c r="C12" s="65">
        <f>Conto_economico!D24</f>
        <v>25719036</v>
      </c>
      <c r="D12" s="65">
        <f>Conto_economico!E24</f>
        <v>-126935496</v>
      </c>
      <c r="E12" s="65">
        <f>Conto_economico!F24</f>
        <v>-110962368</v>
      </c>
      <c r="F12" s="64">
        <f t="shared" si="0"/>
        <v>15973128</v>
      </c>
    </row>
    <row r="13" spans="1:6" x14ac:dyDescent="0.25">
      <c r="A13" s="47" t="s">
        <v>307</v>
      </c>
      <c r="B13" s="66">
        <f t="shared" ref="B13:D13" si="3">SUM(B9:B12)</f>
        <v>994472926</v>
      </c>
      <c r="C13" s="66">
        <f t="shared" si="3"/>
        <v>755315726</v>
      </c>
      <c r="D13" s="66">
        <f t="shared" si="3"/>
        <v>526667786</v>
      </c>
      <c r="E13" s="66">
        <f t="shared" ref="E13" si="4">SUM(E9:E12)</f>
        <v>648359573</v>
      </c>
      <c r="F13" s="66">
        <f t="shared" si="0"/>
        <v>121691787</v>
      </c>
    </row>
    <row r="14" spans="1:6" x14ac:dyDescent="0.25">
      <c r="A14" s="71" t="s">
        <v>256</v>
      </c>
      <c r="B14" s="64">
        <f>Conto_economico!C27</f>
        <v>69020685</v>
      </c>
      <c r="C14" s="64">
        <f>Conto_economico!D27</f>
        <v>64321847</v>
      </c>
      <c r="D14" s="64">
        <f>Conto_economico!E27</f>
        <v>62049535</v>
      </c>
      <c r="E14" s="64">
        <f>Conto_economico!F27</f>
        <v>66110418</v>
      </c>
      <c r="F14" s="64">
        <f t="shared" si="0"/>
        <v>4060883</v>
      </c>
    </row>
    <row r="15" spans="1:6" x14ac:dyDescent="0.25">
      <c r="A15" s="70" t="s">
        <v>257</v>
      </c>
      <c r="B15" s="67">
        <f t="shared" ref="B15:D15" si="5">B13-B14</f>
        <v>925452241</v>
      </c>
      <c r="C15" s="67">
        <f t="shared" si="5"/>
        <v>690993879</v>
      </c>
      <c r="D15" s="67">
        <f t="shared" si="5"/>
        <v>464618251</v>
      </c>
      <c r="E15" s="67">
        <f t="shared" ref="E15" si="6">E13-E14</f>
        <v>582249155</v>
      </c>
      <c r="F15" s="67">
        <f t="shared" si="0"/>
        <v>117630904</v>
      </c>
    </row>
  </sheetData>
  <conditionalFormatting sqref="B15:D15">
    <cfRule type="cellIs" dxfId="45" priority="17" operator="greaterThan">
      <formula>0</formula>
    </cfRule>
  </conditionalFormatting>
  <conditionalFormatting sqref="B9:D9 B13:D13">
    <cfRule type="cellIs" dxfId="44" priority="16" operator="lessThan">
      <formula>0</formula>
    </cfRule>
  </conditionalFormatting>
  <conditionalFormatting sqref="E15">
    <cfRule type="cellIs" dxfId="43" priority="4" operator="greaterThan">
      <formula>0</formula>
    </cfRule>
  </conditionalFormatting>
  <conditionalFormatting sqref="E9 E13">
    <cfRule type="cellIs" dxfId="42" priority="3" operator="lessThan">
      <formula>0</formula>
    </cfRule>
  </conditionalFormatting>
  <conditionalFormatting sqref="F13 F9">
    <cfRule type="cellIs" dxfId="41" priority="1" operator="lessThan">
      <formula>0</formula>
    </cfRule>
  </conditionalFormatting>
  <conditionalFormatting sqref="F15">
    <cfRule type="cellIs" dxfId="4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opLeftCell="A2" workbookViewId="0">
      <selection activeCell="E29" sqref="E29:F29"/>
    </sheetView>
  </sheetViews>
  <sheetFormatPr defaultRowHeight="15" x14ac:dyDescent="0.25"/>
  <cols>
    <col min="1" max="1" width="51.7109375" style="32" bestFit="1" customWidth="1"/>
    <col min="2" max="6" width="13.85546875" bestFit="1" customWidth="1"/>
    <col min="7" max="8" width="12.7109375" bestFit="1" customWidth="1"/>
  </cols>
  <sheetData>
    <row r="1" spans="1:6" x14ac:dyDescent="0.25">
      <c r="A1" s="73"/>
      <c r="B1" s="95">
        <v>2015</v>
      </c>
      <c r="C1" s="95">
        <v>2016</v>
      </c>
      <c r="D1" s="69">
        <v>2017</v>
      </c>
      <c r="E1" s="69">
        <v>2018</v>
      </c>
      <c r="F1" s="69">
        <v>2019</v>
      </c>
    </row>
    <row r="2" spans="1:6" x14ac:dyDescent="0.25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 x14ac:dyDescent="0.25">
      <c r="A3" s="32" t="s">
        <v>212</v>
      </c>
      <c r="B3" s="1">
        <v>0</v>
      </c>
      <c r="C3" s="1">
        <v>0</v>
      </c>
      <c r="D3" s="1">
        <v>14001734</v>
      </c>
      <c r="E3" s="1">
        <v>68704431</v>
      </c>
      <c r="F3" s="1">
        <v>82114272</v>
      </c>
    </row>
    <row r="4" spans="1:6" x14ac:dyDescent="0.25">
      <c r="A4" s="32" t="s">
        <v>213</v>
      </c>
      <c r="B4" s="1">
        <v>797658389.25</v>
      </c>
      <c r="C4" s="1">
        <v>774058180</v>
      </c>
      <c r="D4" s="1">
        <v>1995301328</v>
      </c>
      <c r="E4" s="1">
        <v>2138212948</v>
      </c>
      <c r="F4" s="1">
        <v>2303892432</v>
      </c>
    </row>
    <row r="5" spans="1:6" x14ac:dyDescent="0.25">
      <c r="A5" s="32" t="s">
        <v>227</v>
      </c>
      <c r="B5" s="1">
        <v>386823320.38</v>
      </c>
      <c r="C5" s="1">
        <v>403643636</v>
      </c>
      <c r="D5" s="1">
        <v>429362672</v>
      </c>
      <c r="E5" s="1">
        <v>472367468</v>
      </c>
      <c r="F5" s="1">
        <v>453124275</v>
      </c>
    </row>
    <row r="6" spans="1:6" x14ac:dyDescent="0.25">
      <c r="A6" s="32" t="s">
        <v>228</v>
      </c>
      <c r="B6" s="1">
        <v>1522461135</v>
      </c>
      <c r="C6" s="1">
        <v>1239460530</v>
      </c>
      <c r="D6" s="1">
        <v>1105937093</v>
      </c>
      <c r="E6" s="1">
        <v>1023215857</v>
      </c>
      <c r="F6" s="1">
        <v>876642410</v>
      </c>
    </row>
    <row r="7" spans="1:6" x14ac:dyDescent="0.25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52531996</v>
      </c>
    </row>
    <row r="8" spans="1:6" x14ac:dyDescent="0.25">
      <c r="A8" s="32" t="s">
        <v>230</v>
      </c>
      <c r="B8" s="1">
        <v>0</v>
      </c>
      <c r="C8" s="1">
        <v>0</v>
      </c>
      <c r="D8" s="1">
        <v>0</v>
      </c>
      <c r="E8" s="1">
        <v>0</v>
      </c>
      <c r="F8" s="1">
        <v>0</v>
      </c>
    </row>
    <row r="9" spans="1:6" x14ac:dyDescent="0.25">
      <c r="A9" s="32" t="s">
        <v>214</v>
      </c>
      <c r="B9" s="1">
        <v>4162617587.2399998</v>
      </c>
      <c r="C9" s="1">
        <v>4195895664</v>
      </c>
      <c r="D9" s="1">
        <v>3471683472</v>
      </c>
      <c r="E9" s="1">
        <v>4432453967</v>
      </c>
      <c r="F9" s="1">
        <v>4031569958</v>
      </c>
    </row>
    <row r="10" spans="1:6" x14ac:dyDescent="0.25">
      <c r="A10" s="98" t="s">
        <v>358</v>
      </c>
      <c r="B10" s="1">
        <v>639751113.5</v>
      </c>
      <c r="C10" s="1">
        <v>716695710</v>
      </c>
      <c r="D10" s="1">
        <v>865770414</v>
      </c>
      <c r="E10" s="1">
        <v>926361306</v>
      </c>
      <c r="F10" s="1">
        <v>847749964</v>
      </c>
    </row>
    <row r="11" spans="1:6" x14ac:dyDescent="0.25">
      <c r="A11" s="98" t="s">
        <v>362</v>
      </c>
      <c r="B11" s="1">
        <v>1558183862.3699999</v>
      </c>
      <c r="C11" s="1">
        <v>1483081822.0699999</v>
      </c>
      <c r="D11" s="1">
        <v>2088799383</v>
      </c>
      <c r="E11" s="1">
        <v>2490173035</v>
      </c>
      <c r="F11" s="1">
        <v>2533891634</v>
      </c>
    </row>
    <row r="12" spans="1:6" x14ac:dyDescent="0.25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25">
      <c r="A13" s="32" t="s">
        <v>215</v>
      </c>
      <c r="B13" s="1">
        <v>957243690.05999994</v>
      </c>
      <c r="C13" s="1">
        <v>726696915</v>
      </c>
      <c r="D13" s="1">
        <v>1128423882</v>
      </c>
      <c r="E13" s="1">
        <v>316822405</v>
      </c>
      <c r="F13" s="1">
        <v>1458593861</v>
      </c>
    </row>
    <row r="14" spans="1:6" x14ac:dyDescent="0.25">
      <c r="A14" s="32" t="s">
        <v>216</v>
      </c>
      <c r="B14" s="1">
        <v>0</v>
      </c>
      <c r="C14" s="1">
        <v>0</v>
      </c>
      <c r="D14" s="1">
        <v>2676959</v>
      </c>
      <c r="E14" s="1">
        <v>311007</v>
      </c>
      <c r="F14" s="1">
        <v>192344</v>
      </c>
    </row>
    <row r="15" spans="1:6" x14ac:dyDescent="0.25">
      <c r="A15" s="10" t="s">
        <v>217</v>
      </c>
      <c r="B15" s="11">
        <f t="shared" ref="B15:D15" si="0">SUM(B2:B9)+SUM(B12:B14)</f>
        <v>7826804121.9300003</v>
      </c>
      <c r="C15" s="11">
        <f t="shared" si="0"/>
        <v>7339754925</v>
      </c>
      <c r="D15" s="11">
        <f t="shared" si="0"/>
        <v>8147387140</v>
      </c>
      <c r="E15" s="11">
        <f>SUM(E2:E9)+SUM(E12:E14)</f>
        <v>8452088083</v>
      </c>
      <c r="F15" s="11">
        <f>SUM(F2:F9)+SUM(F12:F14)</f>
        <v>9258661548</v>
      </c>
    </row>
    <row r="16" spans="1:6" x14ac:dyDescent="0.25">
      <c r="A16" s="32" t="s">
        <v>218</v>
      </c>
      <c r="B16" s="1">
        <v>0</v>
      </c>
      <c r="C16" s="1">
        <v>0</v>
      </c>
      <c r="D16" s="1">
        <v>-8336717311</v>
      </c>
      <c r="E16" s="1">
        <v>-7645723432</v>
      </c>
      <c r="F16" s="1">
        <v>-7181105182</v>
      </c>
    </row>
    <row r="17" spans="1:8" x14ac:dyDescent="0.25">
      <c r="A17" s="32" t="s">
        <v>219</v>
      </c>
      <c r="B17" s="1">
        <v>-8552965685</v>
      </c>
      <c r="C17" s="1">
        <v>-8552965685</v>
      </c>
      <c r="D17" s="1">
        <v>1893667895</v>
      </c>
      <c r="E17" s="1">
        <v>1901353878</v>
      </c>
      <c r="F17" s="1">
        <v>1935272196</v>
      </c>
    </row>
    <row r="18" spans="1:8" x14ac:dyDescent="0.25">
      <c r="A18" s="32" t="s">
        <v>220</v>
      </c>
      <c r="B18" s="1">
        <v>0</v>
      </c>
      <c r="C18" s="1">
        <v>925452241</v>
      </c>
      <c r="D18" s="1">
        <v>690993879</v>
      </c>
      <c r="E18" s="1">
        <v>464618251</v>
      </c>
      <c r="F18" s="1">
        <v>582249156</v>
      </c>
    </row>
    <row r="19" spans="1:8" x14ac:dyDescent="0.25">
      <c r="A19" s="32" t="s">
        <v>221</v>
      </c>
      <c r="B19" s="1">
        <v>0</v>
      </c>
      <c r="C19" s="1">
        <v>0</v>
      </c>
      <c r="D19" s="1">
        <v>228336553</v>
      </c>
      <c r="E19" s="1">
        <v>416446012</v>
      </c>
      <c r="F19" s="1">
        <v>716190096</v>
      </c>
    </row>
    <row r="20" spans="1:8" x14ac:dyDescent="0.25">
      <c r="A20" s="32" t="s">
        <v>208</v>
      </c>
      <c r="B20" s="1">
        <v>9660156131.8500004</v>
      </c>
      <c r="C20" s="1">
        <v>9403298972</v>
      </c>
      <c r="D20" s="1">
        <v>8808399159</v>
      </c>
      <c r="E20" s="1">
        <v>8484133602</v>
      </c>
      <c r="F20" s="1">
        <v>8005983399</v>
      </c>
    </row>
    <row r="21" spans="1:8" x14ac:dyDescent="0.25">
      <c r="A21" s="32" t="s">
        <v>222</v>
      </c>
      <c r="B21" s="1">
        <v>184244876.91999999</v>
      </c>
      <c r="C21" s="1">
        <v>84157378</v>
      </c>
      <c r="D21" s="1">
        <v>258880591</v>
      </c>
      <c r="E21" s="1">
        <v>215730319</v>
      </c>
      <c r="F21" s="1">
        <v>159545753</v>
      </c>
    </row>
    <row r="22" spans="1:8" x14ac:dyDescent="0.25">
      <c r="A22" s="32" t="s">
        <v>223</v>
      </c>
      <c r="B22" s="1">
        <v>2348492420.6799998</v>
      </c>
      <c r="C22" s="1">
        <v>2142702022</v>
      </c>
      <c r="D22" s="1">
        <v>1847378033</v>
      </c>
      <c r="E22" s="1">
        <v>1888556459</v>
      </c>
      <c r="F22" s="1">
        <v>2228969410</v>
      </c>
    </row>
    <row r="23" spans="1:8" x14ac:dyDescent="0.25">
      <c r="A23" s="98" t="s">
        <v>359</v>
      </c>
      <c r="B23" s="1">
        <v>1361711936.7</v>
      </c>
      <c r="C23" s="1">
        <v>1414809006</v>
      </c>
      <c r="D23" s="1">
        <v>0</v>
      </c>
      <c r="E23" s="1">
        <v>0</v>
      </c>
      <c r="F23" s="1">
        <v>0</v>
      </c>
    </row>
    <row r="24" spans="1:8" x14ac:dyDescent="0.25">
      <c r="A24" s="98" t="s">
        <v>360</v>
      </c>
      <c r="B24" s="1">
        <v>820676839.23000002</v>
      </c>
      <c r="C24" s="1">
        <v>559071589</v>
      </c>
      <c r="D24" s="1">
        <v>1704189105</v>
      </c>
      <c r="E24" s="1">
        <v>1724079729</v>
      </c>
      <c r="F24" s="1">
        <v>1979353204</v>
      </c>
    </row>
    <row r="25" spans="1:8" x14ac:dyDescent="0.25">
      <c r="A25" s="32" t="s">
        <v>224</v>
      </c>
      <c r="B25" s="1">
        <v>2800979954.2199998</v>
      </c>
      <c r="C25" s="1">
        <v>2038350645</v>
      </c>
      <c r="D25" s="1">
        <v>1597919760</v>
      </c>
      <c r="E25" s="1">
        <v>1788725417</v>
      </c>
      <c r="F25" s="1">
        <v>1670354198</v>
      </c>
      <c r="G25" s="1"/>
      <c r="H25" s="1"/>
    </row>
    <row r="26" spans="1:8" x14ac:dyDescent="0.25">
      <c r="A26" s="32" t="s">
        <v>225</v>
      </c>
      <c r="B26" s="1">
        <v>1385896423.75</v>
      </c>
      <c r="C26" s="1">
        <v>1298759352</v>
      </c>
      <c r="D26" s="1">
        <v>1158528581</v>
      </c>
      <c r="E26" s="1">
        <v>938247577</v>
      </c>
      <c r="F26" s="1">
        <v>1141202522</v>
      </c>
    </row>
    <row r="27" spans="1:8" x14ac:dyDescent="0.25">
      <c r="A27" s="72" t="s">
        <v>226</v>
      </c>
      <c r="B27" s="3">
        <f t="shared" ref="B27:D27" si="1">SUM(B16:B26)-B23-B24</f>
        <v>7826804122.4200001</v>
      </c>
      <c r="C27" s="3">
        <f t="shared" si="1"/>
        <v>7339754925</v>
      </c>
      <c r="D27" s="3">
        <f t="shared" si="1"/>
        <v>8147387140</v>
      </c>
      <c r="E27" s="3">
        <f>SUM(E16:E26)-E23-E24</f>
        <v>8452088083</v>
      </c>
      <c r="F27" s="3">
        <f>SUM(F16:F26)-F23-F24</f>
        <v>9258661548</v>
      </c>
    </row>
    <row r="28" spans="1:8" x14ac:dyDescent="0.25">
      <c r="A28" s="10" t="s">
        <v>265</v>
      </c>
      <c r="B28" s="11">
        <f>B16+B17+B18</f>
        <v>-8552965685</v>
      </c>
      <c r="C28" s="11">
        <f>C16+C17+C18</f>
        <v>-7627513444</v>
      </c>
      <c r="D28" s="11">
        <f>D16+D17+D18</f>
        <v>-5752055537</v>
      </c>
      <c r="E28" s="11">
        <f>E16+E17+E18</f>
        <v>-5279751303</v>
      </c>
      <c r="F28" s="11">
        <f>F16+F17+F18</f>
        <v>-4663583830</v>
      </c>
    </row>
    <row r="29" spans="1:8" x14ac:dyDescent="0.25">
      <c r="E29" s="6">
        <f>E28/E27*100</f>
        <v>-62.466827737152443</v>
      </c>
      <c r="F29" s="6">
        <f>F28/F27*100</f>
        <v>-50.369956886558832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Entrate_Uscite</vt:lpstr>
      <vt:lpstr>Tav_Entrate</vt:lpstr>
      <vt:lpstr>Tav_Uscite</vt:lpstr>
      <vt:lpstr>Tav_UsciteMissione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 Mostacci</cp:lastModifiedBy>
  <dcterms:created xsi:type="dcterms:W3CDTF">2019-02-06T21:02:13Z</dcterms:created>
  <dcterms:modified xsi:type="dcterms:W3CDTF">2022-09-12T15:16:23Z</dcterms:modified>
</cp:coreProperties>
</file>