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5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 l="1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E10" i="8" s="1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5" i="7" s="1"/>
  <c r="E10" i="7"/>
  <c r="E9" i="7"/>
  <c r="E8" i="7"/>
  <c r="E7" i="7"/>
  <c r="E6" i="7"/>
  <c r="E4" i="7"/>
  <c r="E3" i="7"/>
  <c r="E2" i="7"/>
  <c r="F2" i="7"/>
  <c r="F3" i="7"/>
  <c r="F4" i="7"/>
  <c r="F6" i="7"/>
  <c r="F7" i="7"/>
  <c r="F8" i="7"/>
  <c r="F9" i="7"/>
  <c r="F10" i="7"/>
  <c r="F12" i="7"/>
  <c r="F13" i="7"/>
  <c r="F14" i="7"/>
  <c r="F17" i="7"/>
  <c r="F18" i="7"/>
  <c r="F19" i="7"/>
  <c r="O55" i="2"/>
  <c r="N55" i="2"/>
  <c r="O54" i="2"/>
  <c r="N54" i="2"/>
  <c r="O53" i="2"/>
  <c r="N53" i="2"/>
  <c r="O52" i="2"/>
  <c r="N52" i="2"/>
  <c r="O51" i="2"/>
  <c r="N51" i="2"/>
  <c r="O50" i="2"/>
  <c r="N50" i="2"/>
  <c r="O20" i="2"/>
  <c r="O21" i="2" s="1"/>
  <c r="R21" i="2" s="1"/>
  <c r="O16" i="2"/>
  <c r="N16" i="2"/>
  <c r="O15" i="2"/>
  <c r="N15" i="2"/>
  <c r="Q15" i="2" s="1"/>
  <c r="O14" i="2"/>
  <c r="R14" i="2" s="1"/>
  <c r="N14" i="2"/>
  <c r="N20" i="2" s="1"/>
  <c r="R59" i="2"/>
  <c r="Q59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R16" i="2"/>
  <c r="Q16" i="2"/>
  <c r="R15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27" i="8" l="1"/>
  <c r="E20" i="8"/>
  <c r="E30" i="8"/>
  <c r="E31" i="8" s="1"/>
  <c r="E21" i="8"/>
  <c r="E5" i="7"/>
  <c r="E11" i="7"/>
  <c r="F5" i="7"/>
  <c r="F15" i="7"/>
  <c r="E20" i="7"/>
  <c r="E21" i="7" s="1"/>
  <c r="E16" i="7"/>
  <c r="F11" i="7"/>
  <c r="F16" i="7" s="1"/>
  <c r="N21" i="2"/>
  <c r="Q21" i="2" s="1"/>
  <c r="Q20" i="2"/>
  <c r="Q14" i="2"/>
  <c r="R20" i="2"/>
  <c r="F20" i="7" l="1"/>
  <c r="F21" i="7" s="1"/>
  <c r="G11" i="7" s="1"/>
  <c r="G15" i="7"/>
  <c r="G9" i="7"/>
  <c r="G5" i="7"/>
  <c r="G4" i="7"/>
  <c r="G8" i="7"/>
  <c r="G12" i="7"/>
  <c r="G21" i="7"/>
  <c r="G13" i="7"/>
  <c r="G14" i="7"/>
  <c r="G2" i="7"/>
  <c r="G17" i="7"/>
  <c r="G10" i="7"/>
  <c r="G6" i="7"/>
  <c r="G18" i="7"/>
  <c r="G7" i="7"/>
  <c r="G3" i="7" l="1"/>
  <c r="G16" i="7"/>
  <c r="L59" i="2" l="1"/>
  <c r="L56" i="2"/>
  <c r="L57" i="2" s="1"/>
  <c r="L55" i="2"/>
  <c r="K55" i="2"/>
  <c r="M55" i="2" s="1"/>
  <c r="L54" i="2"/>
  <c r="K54" i="2"/>
  <c r="M54" i="2" s="1"/>
  <c r="M53" i="2"/>
  <c r="L53" i="2"/>
  <c r="K53" i="2"/>
  <c r="L52" i="2"/>
  <c r="K52" i="2"/>
  <c r="M52" i="2" s="1"/>
  <c r="L51" i="2"/>
  <c r="K51" i="2"/>
  <c r="M51" i="2" s="1"/>
  <c r="M50" i="2"/>
  <c r="L50" i="2"/>
  <c r="L63" i="2" s="1"/>
  <c r="K50" i="2"/>
  <c r="K56" i="2" s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L16" i="2"/>
  <c r="K16" i="2"/>
  <c r="K20" i="2" s="1"/>
  <c r="L15" i="2"/>
  <c r="K15" i="2"/>
  <c r="K59" i="2" s="1"/>
  <c r="M14" i="2"/>
  <c r="L14" i="2"/>
  <c r="L58" i="2" s="1"/>
  <c r="K14" i="2"/>
  <c r="K58" i="2" s="1"/>
  <c r="M13" i="2"/>
  <c r="M12" i="2"/>
  <c r="M11" i="2"/>
  <c r="M10" i="2"/>
  <c r="M9" i="2"/>
  <c r="M8" i="2"/>
  <c r="M7" i="2"/>
  <c r="M6" i="2"/>
  <c r="M5" i="2"/>
  <c r="M4" i="2"/>
  <c r="M3" i="2"/>
  <c r="G25" i="5"/>
  <c r="F28" i="5"/>
  <c r="F27" i="5"/>
  <c r="F29" i="5" s="1"/>
  <c r="F15" i="5"/>
  <c r="K57" i="2" l="1"/>
  <c r="M57" i="2" s="1"/>
  <c r="M56" i="2"/>
  <c r="K21" i="2"/>
  <c r="M15" i="2"/>
  <c r="L20" i="2"/>
  <c r="L21" i="2" s="1"/>
  <c r="L61" i="2" s="1"/>
  <c r="K60" i="2"/>
  <c r="M16" i="2"/>
  <c r="L60" i="2"/>
  <c r="L62" i="2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E14" i="10"/>
  <c r="E12" i="10"/>
  <c r="E11" i="10"/>
  <c r="E10" i="10"/>
  <c r="E9" i="10"/>
  <c r="E13" i="10" s="1"/>
  <c r="E15" i="10" s="1"/>
  <c r="E8" i="10"/>
  <c r="E7" i="10"/>
  <c r="E6" i="10"/>
  <c r="E5" i="10"/>
  <c r="E4" i="10"/>
  <c r="E3" i="10"/>
  <c r="E2" i="10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1" i="6"/>
  <c r="F10" i="6"/>
  <c r="F28" i="6" s="1"/>
  <c r="G6" i="1"/>
  <c r="F52" i="1"/>
  <c r="F24" i="1"/>
  <c r="F20" i="1"/>
  <c r="F14" i="1"/>
  <c r="F7" i="1"/>
  <c r="F22" i="1" s="1"/>
  <c r="F3" i="13"/>
  <c r="C2" i="13"/>
  <c r="K61" i="2" l="1"/>
  <c r="M21" i="2"/>
  <c r="M20" i="2"/>
  <c r="G9" i="12"/>
  <c r="G8" i="12"/>
  <c r="G7" i="12"/>
  <c r="G6" i="12"/>
  <c r="G5" i="12"/>
  <c r="G4" i="12"/>
  <c r="G3" i="12"/>
  <c r="G2" i="12"/>
  <c r="D26" i="8" l="1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D5" i="7" s="1"/>
  <c r="D27" i="8" l="1"/>
  <c r="D20" i="8"/>
  <c r="D10" i="8"/>
  <c r="D15" i="8"/>
  <c r="D11" i="7"/>
  <c r="D15" i="7"/>
  <c r="D16" i="7" l="1"/>
  <c r="D21" i="8"/>
  <c r="D20" i="7"/>
  <c r="D21" i="7" l="1"/>
  <c r="F4" i="9"/>
  <c r="I55" i="2"/>
  <c r="H55" i="2"/>
  <c r="I54" i="2"/>
  <c r="H54" i="2"/>
  <c r="I53" i="2"/>
  <c r="H53" i="2"/>
  <c r="I52" i="2"/>
  <c r="H52" i="2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H16" i="2"/>
  <c r="I15" i="2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I20" i="2" l="1"/>
  <c r="I62" i="2"/>
  <c r="I60" i="2"/>
  <c r="I58" i="2"/>
  <c r="J55" i="2"/>
  <c r="J15" i="2"/>
  <c r="H59" i="2"/>
  <c r="J52" i="2"/>
  <c r="I59" i="2"/>
  <c r="H56" i="2"/>
  <c r="J53" i="2"/>
  <c r="H5" i="9"/>
  <c r="O60" i="2"/>
  <c r="R60" i="2" s="1"/>
  <c r="O58" i="2"/>
  <c r="O62" i="2"/>
  <c r="H60" i="2"/>
  <c r="H58" i="2"/>
  <c r="O63" i="2"/>
  <c r="N60" i="2"/>
  <c r="N58" i="2"/>
  <c r="D4" i="9"/>
  <c r="I56" i="2"/>
  <c r="I63" i="2"/>
  <c r="N59" i="2"/>
  <c r="F3" i="9" s="1"/>
  <c r="J54" i="2"/>
  <c r="D28" i="8"/>
  <c r="O59" i="2"/>
  <c r="H3" i="9" s="1"/>
  <c r="J16" i="2"/>
  <c r="J51" i="2"/>
  <c r="D29" i="8"/>
  <c r="H4" i="9"/>
  <c r="H57" i="2"/>
  <c r="H20" i="2"/>
  <c r="J14" i="2"/>
  <c r="J50" i="2"/>
  <c r="G28" i="5"/>
  <c r="G27" i="5"/>
  <c r="G15" i="5"/>
  <c r="F14" i="10"/>
  <c r="F12" i="10"/>
  <c r="F11" i="10"/>
  <c r="F10" i="10"/>
  <c r="F8" i="10"/>
  <c r="F7" i="10"/>
  <c r="F6" i="10"/>
  <c r="F4" i="10"/>
  <c r="F3" i="10"/>
  <c r="G21" i="6"/>
  <c r="H21" i="6" s="1"/>
  <c r="G10" i="6"/>
  <c r="G52" i="1"/>
  <c r="G24" i="1"/>
  <c r="G20" i="1"/>
  <c r="G14" i="1"/>
  <c r="G7" i="1"/>
  <c r="F4" i="13"/>
  <c r="C3" i="13"/>
  <c r="E52" i="1"/>
  <c r="D52" i="1"/>
  <c r="B52" i="1"/>
  <c r="E24" i="1"/>
  <c r="D24" i="1"/>
  <c r="C24" i="1"/>
  <c r="B24" i="1"/>
  <c r="H2" i="9" l="1"/>
  <c r="R58" i="2"/>
  <c r="F5" i="9"/>
  <c r="Q60" i="2"/>
  <c r="F2" i="9"/>
  <c r="Q58" i="2"/>
  <c r="F2" i="10"/>
  <c r="H10" i="6"/>
  <c r="I57" i="2"/>
  <c r="D5" i="9"/>
  <c r="J57" i="2"/>
  <c r="J56" i="2"/>
  <c r="D2" i="9"/>
  <c r="F5" i="10"/>
  <c r="D30" i="8"/>
  <c r="D3" i="9"/>
  <c r="I21" i="2"/>
  <c r="J20" i="2"/>
  <c r="H21" i="2"/>
  <c r="G29" i="5"/>
  <c r="G28" i="6"/>
  <c r="H28" i="6" s="1"/>
  <c r="G22" i="1"/>
  <c r="F55" i="2"/>
  <c r="E55" i="2"/>
  <c r="F54" i="2"/>
  <c r="E54" i="2"/>
  <c r="F53" i="2"/>
  <c r="E53" i="2"/>
  <c r="F52" i="2"/>
  <c r="E52" i="2"/>
  <c r="F51" i="2"/>
  <c r="E51" i="2"/>
  <c r="F50" i="2"/>
  <c r="E50" i="2"/>
  <c r="F16" i="2"/>
  <c r="E16" i="2"/>
  <c r="F15" i="2"/>
  <c r="E15" i="2"/>
  <c r="F14" i="2"/>
  <c r="E14" i="2"/>
  <c r="B55" i="2"/>
  <c r="C54" i="2"/>
  <c r="B54" i="2"/>
  <c r="C53" i="2"/>
  <c r="B53" i="2"/>
  <c r="C52" i="2"/>
  <c r="B52" i="2"/>
  <c r="C51" i="2"/>
  <c r="B51" i="2"/>
  <c r="C50" i="2"/>
  <c r="B50" i="2"/>
  <c r="C16" i="2"/>
  <c r="B16" i="2"/>
  <c r="C15" i="2"/>
  <c r="B15" i="2"/>
  <c r="C14" i="2"/>
  <c r="B14" i="2"/>
  <c r="B7" i="1"/>
  <c r="B14" i="1"/>
  <c r="B20" i="1"/>
  <c r="C13" i="1"/>
  <c r="C52" i="1" s="1"/>
  <c r="F63" i="2" l="1"/>
  <c r="I61" i="2"/>
  <c r="E59" i="2"/>
  <c r="C3" i="9" s="1"/>
  <c r="D31" i="8"/>
  <c r="E20" i="2"/>
  <c r="E21" i="2" s="1"/>
  <c r="E60" i="2"/>
  <c r="C5" i="9" s="1"/>
  <c r="E58" i="2"/>
  <c r="C2" i="9" s="1"/>
  <c r="B59" i="2"/>
  <c r="B3" i="9" s="1"/>
  <c r="C59" i="2"/>
  <c r="B4" i="9"/>
  <c r="F20" i="2"/>
  <c r="F21" i="2" s="1"/>
  <c r="F59" i="2"/>
  <c r="C4" i="9"/>
  <c r="F60" i="2"/>
  <c r="F58" i="2"/>
  <c r="F62" i="2"/>
  <c r="B20" i="2"/>
  <c r="B21" i="2" s="1"/>
  <c r="B60" i="2"/>
  <c r="B5" i="9" s="1"/>
  <c r="B58" i="2"/>
  <c r="B2" i="9" s="1"/>
  <c r="C20" i="2"/>
  <c r="C21" i="2" s="1"/>
  <c r="C62" i="2"/>
  <c r="C58" i="2"/>
  <c r="C60" i="2"/>
  <c r="C63" i="2"/>
  <c r="H61" i="2"/>
  <c r="D6" i="9" s="1"/>
  <c r="F9" i="10"/>
  <c r="J21" i="2"/>
  <c r="B22" i="1"/>
  <c r="F13" i="10" l="1"/>
  <c r="F8" i="13"/>
  <c r="F7" i="13"/>
  <c r="C7" i="13"/>
  <c r="F6" i="13"/>
  <c r="C6" i="13"/>
  <c r="F5" i="13"/>
  <c r="C5" i="13"/>
  <c r="C4" i="13"/>
  <c r="B27" i="5"/>
  <c r="C27" i="5"/>
  <c r="D27" i="5"/>
  <c r="E27" i="5"/>
  <c r="F15" i="10" l="1"/>
  <c r="B15" i="5"/>
  <c r="C15" i="5"/>
  <c r="D15" i="5"/>
  <c r="E15" i="5"/>
  <c r="D7" i="1" l="1"/>
  <c r="C28" i="5"/>
  <c r="C7" i="1"/>
  <c r="E7" i="1"/>
  <c r="C10" i="6"/>
  <c r="C21" i="6"/>
  <c r="F56" i="2"/>
  <c r="F57" i="2" s="1"/>
  <c r="F61" i="2" s="1"/>
  <c r="E56" i="2"/>
  <c r="E57" i="2" s="1"/>
  <c r="E61" i="2" s="1"/>
  <c r="C6" i="9" s="1"/>
  <c r="C28" i="6" l="1"/>
  <c r="D21" i="6" l="1"/>
  <c r="E21" i="6"/>
  <c r="E10" i="6"/>
  <c r="D10" i="6"/>
  <c r="B28" i="5" l="1"/>
  <c r="D20" i="1"/>
  <c r="C20" i="1"/>
  <c r="E20" i="1"/>
  <c r="C14" i="1"/>
  <c r="D14" i="1"/>
  <c r="E14" i="1"/>
  <c r="E28" i="5" l="1"/>
  <c r="D28" i="5"/>
  <c r="D28" i="6"/>
  <c r="E28" i="6"/>
  <c r="E29" i="5" l="1"/>
  <c r="C22" i="1"/>
  <c r="D22" i="1"/>
  <c r="E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I2" i="8" l="1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F18" i="8"/>
  <c r="F17" i="8"/>
  <c r="J17" i="8" s="1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5" i="8" l="1"/>
  <c r="J9" i="8"/>
  <c r="J19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J3" i="7"/>
  <c r="C5" i="7"/>
  <c r="F21" i="8" l="1"/>
  <c r="B21" i="8"/>
  <c r="C21" i="8"/>
  <c r="I21" i="8"/>
  <c r="C16" i="7"/>
  <c r="I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J5" i="7"/>
  <c r="J21" i="8" l="1"/>
  <c r="J16" i="7"/>
  <c r="J20" i="7"/>
  <c r="I28" i="8"/>
  <c r="I30" i="8" s="1"/>
  <c r="I31" i="8" s="1"/>
  <c r="J21" i="7" l="1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P55" i="2" l="1"/>
  <c r="F29" i="8"/>
  <c r="J28" i="8"/>
  <c r="P51" i="2"/>
  <c r="P54" i="2"/>
  <c r="P53" i="2"/>
  <c r="P52" i="2"/>
  <c r="P50" i="2"/>
  <c r="P16" i="2"/>
  <c r="P14" i="2"/>
  <c r="P15" i="2"/>
  <c r="O56" i="2"/>
  <c r="R56" i="2" s="1"/>
  <c r="N56" i="2"/>
  <c r="Q56" i="2" s="1"/>
  <c r="F30" i="8" l="1"/>
  <c r="O57" i="2"/>
  <c r="R57" i="2" s="1"/>
  <c r="J29" i="8"/>
  <c r="P21" i="2"/>
  <c r="P20" i="2"/>
  <c r="N57" i="2"/>
  <c r="Q57" i="2" s="1"/>
  <c r="P56" i="2"/>
  <c r="G12" i="2"/>
  <c r="D55" i="2"/>
  <c r="D54" i="2"/>
  <c r="P57" i="2" l="1"/>
  <c r="N61" i="2"/>
  <c r="F6" i="9" s="1"/>
  <c r="J30" i="8"/>
  <c r="F31" i="8"/>
  <c r="G16" i="8" s="1"/>
  <c r="O61" i="2"/>
  <c r="H6" i="9" s="1"/>
  <c r="G17" i="8"/>
  <c r="G25" i="8"/>
  <c r="G4" i="8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C61" i="2" s="1"/>
  <c r="B56" i="2"/>
  <c r="G20" i="8" l="1"/>
  <c r="G5" i="8"/>
  <c r="G3" i="8"/>
  <c r="G8" i="8"/>
  <c r="G12" i="8"/>
  <c r="G10" i="8"/>
  <c r="G31" i="8"/>
  <c r="G19" i="8"/>
  <c r="G6" i="8"/>
  <c r="G21" i="8"/>
  <c r="G14" i="8"/>
  <c r="G2" i="8"/>
  <c r="G18" i="8"/>
  <c r="G7" i="8"/>
  <c r="G15" i="8"/>
  <c r="G11" i="8"/>
  <c r="G28" i="8"/>
  <c r="G26" i="8"/>
  <c r="J31" i="8"/>
  <c r="G24" i="8"/>
  <c r="G23" i="8"/>
  <c r="G27" i="8"/>
  <c r="G22" i="8"/>
  <c r="G9" i="8"/>
  <c r="G13" i="8"/>
  <c r="G20" i="2"/>
  <c r="G56" i="2"/>
  <c r="G16" i="2"/>
  <c r="D21" i="2"/>
  <c r="D20" i="2"/>
  <c r="B57" i="2"/>
  <c r="D56" i="2"/>
  <c r="D57" i="2" l="1"/>
  <c r="B61" i="2"/>
  <c r="B6" i="9" s="1"/>
  <c r="G21" i="2"/>
  <c r="G57" i="2"/>
</calcChain>
</file>

<file path=xl/sharedStrings.xml><?xml version="1.0" encoding="utf-8"?>
<sst xmlns="http://schemas.openxmlformats.org/spreadsheetml/2006/main" count="475" uniqueCount="372">
  <si>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</si>
  <si>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</si>
  <si>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</si>
  <si>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</si>
  <si>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</si>
  <si>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</si>
  <si>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</si>
  <si>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</si>
  <si>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</si>
  <si>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</si>
  <si>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</si>
  <si>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</si>
  <si>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</si>
  <si>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</si>
  <si>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</si>
  <si>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</si>
  <si>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</si>
  <si>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</si>
  <si>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</si>
  <si>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</si>
  <si>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</si>
  <si>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</si>
  <si>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</si>
  <si>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</si>
  <si>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</si>
  <si>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</si>
  <si>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</si>
  <si>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</si>
  <si>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</si>
  <si>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</si>
  <si>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</si>
  <si>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</si>
  <si>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</si>
  <si>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</si>
  <si>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</si>
  <si>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</si>
  <si>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</si>
  <si>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</si>
  <si>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</si>
  <si>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</si>
  <si>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</si>
  <si>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</si>
  <si>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</si>
  <si>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</si>
  <si>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</si>
  <si>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</si>
  <si>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</si>
  <si>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</si>
  <si>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</si>
  <si>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</si>
  <si>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</si>
  <si>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</si>
  <si>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</si>
  <si>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</si>
  <si>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</si>
  <si>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</si>
  <si>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</si>
  <si>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</si>
  <si>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</si>
  <si>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</si>
  <si>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</si>
  <si>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</si>
  <si>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</si>
  <si>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</si>
  <si>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</si>
  <si>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</si>
  <si>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</si>
  <si>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</si>
  <si>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</si>
  <si>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</si>
  <si>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</si>
  <si>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</si>
  <si>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</si>
  <si>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</si>
  <si>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</si>
  <si>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</si>
  <si>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</si>
  <si>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</si>
  <si>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</si>
  <si>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</si>
  <si>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</si>
  <si>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</si>
  <si>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</si>
  <si>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</si>
  <si>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</si>
  <si>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</si>
  <si>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</si>
  <si>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</si>
  <si>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</si>
  <si>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</si>
  <si>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</si>
  <si>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</si>
  <si>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</si>
  <si>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</si>
  <si>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</si>
  <si>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</si>
  <si>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</si>
  <si>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</si>
  <si>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</si>
  <si>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</si>
  <si>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</si>
  <si>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</si>
  <si>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</si>
  <si>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</si>
  <si>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</si>
  <si>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</si>
  <si>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</si>
  <si>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</si>
  <si>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</si>
  <si>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</si>
  <si>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</si>
  <si>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</si>
  <si>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</si>
  <si>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</si>
  <si>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</si>
  <si>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</si>
  <si>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</si>
  <si>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</si>
  <si>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</si>
  <si>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</si>
  <si>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</si>
  <si>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</si>
  <si>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</si>
  <si>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</si>
  <si>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</si>
  <si>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</si>
  <si>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</si>
  <si>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</si>
  <si>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</si>
  <si>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</si>
  <si>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</si>
  <si>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</si>
  <si>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</si>
  <si>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</si>
  <si>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</si>
  <si>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</si>
  <si>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</si>
  <si>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</si>
  <si>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</si>
  <si>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</si>
  <si>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</si>
  <si>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</si>
  <si>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</si>
  <si>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</si>
  <si>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</si>
  <si>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</si>
  <si>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</si>
  <si>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</si>
  <si>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</si>
  <si>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</si>
  <si>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</si>
  <si>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</si>
  <si>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</si>
  <si>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</si>
  <si>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</si>
  <si>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</si>
  <si>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</si>
  <si>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</si>
  <si>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</si>
  <si>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</si>
  <si>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</si>
  <si>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</si>
  <si>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</si>
  <si>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</si>
  <si>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</si>
  <si>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</si>
  <si>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</si>
  <si>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</si>
  <si>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</si>
  <si>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</si>
  <si>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</si>
  <si>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</si>
  <si>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</si>
  <si>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</si>
  <si>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</si>
  <si>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</si>
  <si>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</si>
  <si>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</si>
  <si>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</si>
  <si>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</si>
  <si>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</si>
  <si>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</si>
  <si>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</si>
  <si>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</si>
  <si>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</si>
  <si>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</si>
  <si>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</si>
  <si>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</si>
  <si>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</si>
  <si>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</si>
  <si>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</si>
  <si>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</si>
  <si>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</si>
  <si>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</si>
  <si>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</si>
  <si>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</si>
  <si>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</si>
  <si>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</si>
  <si>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</si>
  <si>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</si>
  <si>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</si>
  <si>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</si>
  <si>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</si>
  <si>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</si>
  <si>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</si>
  <si>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</si>
  <si>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</si>
  <si>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</si>
  <si>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</si>
  <si>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</si>
  <si>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</si>
  <si>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</si>
  <si>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</si>
  <si>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</si>
  <si>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</si>
  <si>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</si>
  <si>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</si>
  <si>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</si>
  <si>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</si>
  <si>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</si>
  <si>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</si>
  <si>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</si>
  <si>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</si>
  <si>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</si>
  <si>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</si>
  <si>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</si>
  <si>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</si>
  <si>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</si>
  <si>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</si>
  <si>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</si>
  <si>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</si>
  <si>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</si>
  <si>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</si>
  <si>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</si>
  <si>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</si>
  <si>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</si>
  <si>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</si>
  <si>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</si>
  <si>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</si>
  <si>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</si>
  <si>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</si>
  <si>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</si>
  <si>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</si>
  <si>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</si>
  <si>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</si>
  <si>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</si>
  <si>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</si>
  <si>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</si>
  <si>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</si>
  <si>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</si>
  <si>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</si>
  <si>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</si>
  <si>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</si>
  <si>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</si>
  <si>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</si>
  <si>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</si>
  <si>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</si>
  <si>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</si>
  <si>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</si>
  <si>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</si>
  <si>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</si>
  <si>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</si>
  <si>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</si>
  <si>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</si>
  <si>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</si>
  <si>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</si>
  <si>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</si>
  <si>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</si>
  <si>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</si>
  <si>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</si>
  <si>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</si>
  <si>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</si>
  <si>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</si>
  <si>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</si>
  <si>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</si>
  <si>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</si>
  <si>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</si>
  <si>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</si>
  <si>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</si>
  <si>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</si>
  <si>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</si>
  <si>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</si>
  <si>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</si>
  <si>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</si>
  <si>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</si>
  <si>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</si>
  <si>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</si>
  <si>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</si>
  <si>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</si>
  <si>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</si>
  <si>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</si>
  <si>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</si>
  <si>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</si>
  <si>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</si>
  <si>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</si>
  <si>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</si>
  <si>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</si>
  <si>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</si>
  <si>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</si>
  <si>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</si>
  <si>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</si>
  <si>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</si>
  <si>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</si>
  <si>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</si>
  <si>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</si>
  <si>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</si>
  <si>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</si>
  <si>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</si>
  <si>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</si>
  <si>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</si>
  <si>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</si>
  <si>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</si>
  <si>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</si>
  <si>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</si>
  <si>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</si>
  <si>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</si>
  <si>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</si>
  <si>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</si>
  <si>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</si>
  <si>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</si>
  <si>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</si>
  <si>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</si>
  <si>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</si>
  <si>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</si>
  <si>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</si>
  <si>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</si>
  <si>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</si>
  <si>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</si>
  <si>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</si>
  <si>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</si>
  <si>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</si>
  <si>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</si>
  <si>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</si>
  <si>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</si>
  <si>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</si>
  <si>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</si>
  <si>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</si>
  <si>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</si>
  <si>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</si>
  <si>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</si>
  <si>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</si>
  <si>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</si>
  <si>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</si>
  <si>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</si>
  <si>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</si>
  <si>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</si>
  <si>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</si>
  <si>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</si>
  <si>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</si>
  <si>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</si>
  <si>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</si>
  <si>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</si>
  <si>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</si>
  <si>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</si>
  <si>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</si>
  <si>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</si>
  <si>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</si>
  <si>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</si>
  <si>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</si>
  <si>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</si>
  <si>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</si>
  <si>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Anno</t>
  </si>
  <si>
    <t>Regione</t>
  </si>
  <si>
    <t>Popolazione al 1° gennaio</t>
  </si>
  <si>
    <t xml:space="preserve">     di cui da trasferimenti e contributi da amm.ni pubbliche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</si>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</sst>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7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4" fontId="0" fillId="0" borderId="0" xfId="0" applyNumberFormat="1"/>
    <xf numFmtId="0" fontId="0" fillId="0" borderId="0" xfId="0" applyFill="1" applyBorder="1"/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/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78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52"/>
          <c:y val="5.4234059497589075E-2"/>
          <c:w val="0.80361249792401179"/>
          <c:h val="0.79078030630786522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Risultato_amministrazione!$B$3:$G$3</c:f>
              <c:numCache>
                <c:formatCode>#,##0</c:formatCode>
                <c:ptCount val="6"/>
                <c:pt idx="0">
                  <c:v>877695708.38</c:v>
                </c:pt>
                <c:pt idx="1">
                  <c:v>1836868992.22</c:v>
                </c:pt>
                <c:pt idx="2">
                  <c:v>2007877156.9300001</c:v>
                </c:pt>
                <c:pt idx="3">
                  <c:v>2276403857.6399999</c:v>
                </c:pt>
                <c:pt idx="4">
                  <c:v>2585299791.25</c:v>
                </c:pt>
                <c:pt idx="5">
                  <c:v>3263800034.6300001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Risultato_amministrazione!$B$4:$G$4</c:f>
              <c:numCache>
                <c:formatCode>#,##0</c:formatCode>
                <c:ptCount val="6"/>
                <c:pt idx="0">
                  <c:v>1502234081.6700001</c:v>
                </c:pt>
                <c:pt idx="1">
                  <c:v>1400963879.52</c:v>
                </c:pt>
                <c:pt idx="2">
                  <c:v>1466021544.21</c:v>
                </c:pt>
                <c:pt idx="3">
                  <c:v>1088982865.9400001</c:v>
                </c:pt>
                <c:pt idx="4">
                  <c:v>1422156238.4000001</c:v>
                </c:pt>
                <c:pt idx="5">
                  <c:v>1856803251.52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5217728"/>
        <c:axId val="-1445222080"/>
      </c:lineChart>
      <c:catAx>
        <c:axId val="-144521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45222080"/>
        <c:crosses val="autoZero"/>
        <c:auto val="1"/>
        <c:lblAlgn val="ctr"/>
        <c:lblOffset val="100"/>
        <c:noMultiLvlLbl val="0"/>
      </c:catAx>
      <c:valAx>
        <c:axId val="-14452220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4452177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9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528.91999999999996</c:v>
                </c:pt>
                <c:pt idx="1">
                  <c:v>529.12</c:v>
                </c:pt>
                <c:pt idx="2">
                  <c:v>451.42</c:v>
                </c:pt>
                <c:pt idx="3">
                  <c:v>484.69</c:v>
                </c:pt>
                <c:pt idx="4">
                  <c:v>596.08000000000004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9008928"/>
        <c:axId val="-1039013824"/>
      </c:barChart>
      <c:catAx>
        <c:axId val="-10390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039013824"/>
        <c:crosses val="autoZero"/>
        <c:auto val="1"/>
        <c:lblAlgn val="ctr"/>
        <c:lblOffset val="100"/>
        <c:noMultiLvlLbl val="0"/>
      </c:catAx>
      <c:valAx>
        <c:axId val="-1039013824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03900892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65E-2"/>
          <c:y val="3.6934441366574598E-3"/>
          <c:w val="0.95679921453118932"/>
          <c:h val="0.87188450837759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-4.7300000000000004</c:v>
                </c:pt>
                <c:pt idx="1">
                  <c:v>-6.59</c:v>
                </c:pt>
                <c:pt idx="2">
                  <c:v>-8.93</c:v>
                </c:pt>
                <c:pt idx="3">
                  <c:v>-9.74</c:v>
                </c:pt>
                <c:pt idx="4">
                  <c:v>-11.41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9012736"/>
        <c:axId val="-1039012192"/>
      </c:barChart>
      <c:catAx>
        <c:axId val="-10390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039012192"/>
        <c:crosses val="autoZero"/>
        <c:auto val="1"/>
        <c:lblAlgn val="ctr"/>
        <c:lblOffset val="100"/>
        <c:noMultiLvlLbl val="0"/>
      </c:catAx>
      <c:valAx>
        <c:axId val="-1039012192"/>
        <c:scaling>
          <c:orientation val="minMax"/>
          <c:min val="-12"/>
        </c:scaling>
        <c:delete val="1"/>
        <c:axPos val="l"/>
        <c:numFmt formatCode="0" sourceLinked="0"/>
        <c:majorTickMark val="out"/>
        <c:minorTickMark val="none"/>
        <c:tickLblPos val="nextTo"/>
        <c:crossAx val="-103901273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65E-2"/>
          <c:y val="2.2927788960021081E-2"/>
          <c:w val="0.95679921453118932"/>
          <c:h val="0.77955906117621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806.95</c:v>
                </c:pt>
                <c:pt idx="1">
                  <c:v>811.56</c:v>
                </c:pt>
                <c:pt idx="2">
                  <c:v>871.7</c:v>
                </c:pt>
                <c:pt idx="3">
                  <c:v>901.83</c:v>
                </c:pt>
                <c:pt idx="4">
                  <c:v>927.88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9010016"/>
        <c:axId val="-1189734896"/>
      </c:barChart>
      <c:catAx>
        <c:axId val="-103901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189734896"/>
        <c:crosses val="autoZero"/>
        <c:auto val="1"/>
        <c:lblAlgn val="ctr"/>
        <c:lblOffset val="100"/>
        <c:noMultiLvlLbl val="0"/>
      </c:catAx>
      <c:valAx>
        <c:axId val="-1189734896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03901001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692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1590044</c:v>
                </c:pt>
                <c:pt idx="1">
                  <c:v>1611621</c:v>
                </c:pt>
                <c:pt idx="2">
                  <c:v>1622257</c:v>
                </c:pt>
                <c:pt idx="3">
                  <c:v>1631040</c:v>
                </c:pt>
                <c:pt idx="4">
                  <c:v>1636839</c:v>
                </c:pt>
                <c:pt idx="5">
                  <c:v>1642492</c:v>
                </c:pt>
                <c:pt idx="6">
                  <c:v>1648642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9737616"/>
        <c:axId val="-1189733264"/>
      </c:barChart>
      <c:catAx>
        <c:axId val="-118973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189733264"/>
        <c:crosses val="autoZero"/>
        <c:auto val="1"/>
        <c:lblAlgn val="ctr"/>
        <c:lblOffset val="100"/>
        <c:noMultiLvlLbl val="0"/>
      </c:catAx>
      <c:valAx>
        <c:axId val="-1189733264"/>
        <c:scaling>
          <c:orientation val="minMax"/>
          <c:max val="25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189737616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92202549596193"/>
          <c:y val="4.3834824045052623E-2"/>
          <c:w val="0.79610821632540074"/>
          <c:h val="0.725505695283235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Risultato_amministrazione!$B$8:$G$8</c:f>
              <c:numCache>
                <c:formatCode>#,##0</c:formatCode>
                <c:ptCount val="6"/>
                <c:pt idx="0">
                  <c:v>41739560.799999997</c:v>
                </c:pt>
                <c:pt idx="1">
                  <c:v>52796560.799999997</c:v>
                </c:pt>
                <c:pt idx="2">
                  <c:v>75712112.769999996</c:v>
                </c:pt>
                <c:pt idx="3">
                  <c:v>187345002.03999999</c:v>
                </c:pt>
                <c:pt idx="4">
                  <c:v>166642686.47</c:v>
                </c:pt>
                <c:pt idx="5">
                  <c:v>384917302.95999998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Risultato_amministrazione!$B$9:$G$9</c:f>
              <c:numCache>
                <c:formatCode>#,##0</c:formatCode>
                <c:ptCount val="6"/>
                <c:pt idx="0">
                  <c:v>400788035.51999998</c:v>
                </c:pt>
                <c:pt idx="1">
                  <c:v>480946000</c:v>
                </c:pt>
                <c:pt idx="2">
                  <c:v>577135200</c:v>
                </c:pt>
                <c:pt idx="3">
                  <c:v>521011826.97000003</c:v>
                </c:pt>
                <c:pt idx="4">
                  <c:v>431677177.49000001</c:v>
                </c:pt>
                <c:pt idx="5">
                  <c:v>347025058.02999997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Risultato_amministrazione!$B$10:$G$10</c:f>
              <c:numCache>
                <c:formatCode>#,##0</c:formatCode>
                <c:ptCount val="6"/>
                <c:pt idx="0">
                  <c:v>31543224.100000001</c:v>
                </c:pt>
                <c:pt idx="1">
                  <c:v>215658000</c:v>
                </c:pt>
                <c:pt idx="2">
                  <c:v>208910463.55000001</c:v>
                </c:pt>
                <c:pt idx="3">
                  <c:v>202133917.80000001</c:v>
                </c:pt>
                <c:pt idx="4">
                  <c:v>195328029.61000001</c:v>
                </c:pt>
                <c:pt idx="5">
                  <c:v>188492671.93000001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Risultato_amministrazione!$B$52:$G$52</c:f>
              <c:numCache>
                <c:formatCode>#,##0</c:formatCode>
                <c:ptCount val="6"/>
                <c:pt idx="0">
                  <c:v>2411037</c:v>
                </c:pt>
                <c:pt idx="1">
                  <c:v>42082195.160000004</c:v>
                </c:pt>
                <c:pt idx="2">
                  <c:v>734813956.75</c:v>
                </c:pt>
                <c:pt idx="3">
                  <c:v>429589268.56</c:v>
                </c:pt>
                <c:pt idx="4">
                  <c:v>109225262.52000001</c:v>
                </c:pt>
                <c:pt idx="5">
                  <c:v>192573806.82999998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45219360"/>
        <c:axId val="-1445218272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8161180476730977E-2"/>
                  <c:y val="4.2071197411003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20885357548265E-2"/>
                  <c:y val="2.9126213592233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188043889519517E-2"/>
                  <c:y val="1.618122977346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594021944759635E-2"/>
                  <c:y val="2.9126213592232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Risultato_amministrazione!$B$24:$G$24</c:f>
              <c:numCache>
                <c:formatCode>0.0</c:formatCode>
                <c:ptCount val="6"/>
                <c:pt idx="0">
                  <c:v>4.755584469820465</c:v>
                </c:pt>
                <c:pt idx="1">
                  <c:v>2.8742692605525022</c:v>
                </c:pt>
                <c:pt idx="2">
                  <c:v>3.7707542271043191</c:v>
                </c:pt>
                <c:pt idx="3">
                  <c:v>8.2298666561839724</c:v>
                </c:pt>
                <c:pt idx="4">
                  <c:v>6.4457780499579034</c:v>
                </c:pt>
                <c:pt idx="5">
                  <c:v>11.793532044730064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5221536"/>
        <c:axId val="-1445217184"/>
      </c:lineChart>
      <c:catAx>
        <c:axId val="-144521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45218272"/>
        <c:crosses val="autoZero"/>
        <c:auto val="1"/>
        <c:lblAlgn val="ctr"/>
        <c:lblOffset val="100"/>
        <c:noMultiLvlLbl val="0"/>
      </c:catAx>
      <c:valAx>
        <c:axId val="-14452182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45219360"/>
        <c:crosses val="autoZero"/>
        <c:crossBetween val="between"/>
      </c:valAx>
      <c:valAx>
        <c:axId val="-144521718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45221536"/>
        <c:crosses val="max"/>
        <c:crossBetween val="between"/>
      </c:valAx>
      <c:catAx>
        <c:axId val="-1445221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4452171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5455325462296854E-3"/>
          <c:y val="0.8494916290803457"/>
          <c:w val="0.98482027998486554"/>
          <c:h val="0.15050837091965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723E-2"/>
          <c:y val="1.9227205294990474E-2"/>
          <c:w val="0.84271298884412438"/>
          <c:h val="0.95738476168739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08752133003718E-3"/>
                  <c:y val="-1.587158273894097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963655837855647E-2"/>
                  <c:y val="3.86473429951695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901719362</c:v>
                </c:pt>
                <c:pt idx="1">
                  <c:v>136034179</c:v>
                </c:pt>
                <c:pt idx="2">
                  <c:v>494699368</c:v>
                </c:pt>
                <c:pt idx="3">
                  <c:v>592247997</c:v>
                </c:pt>
                <c:pt idx="4">
                  <c:v>484548895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45220992"/>
        <c:axId val="-1445224256"/>
      </c:barChart>
      <c:catAx>
        <c:axId val="-1445220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445224256"/>
        <c:crosses val="autoZero"/>
        <c:auto val="1"/>
        <c:lblAlgn val="ctr"/>
        <c:lblOffset val="100"/>
        <c:noMultiLvlLbl val="0"/>
      </c:catAx>
      <c:valAx>
        <c:axId val="-14452242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-14452209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3542483231086"/>
          <c:y val="4.0081172780231725E-2"/>
          <c:w val="0.84900634168851685"/>
          <c:h val="0.80293092631713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1143873404</c:v>
                </c:pt>
                <c:pt idx="1">
                  <c:v>1338032677</c:v>
                </c:pt>
                <c:pt idx="2">
                  <c:v>1341618383</c:v>
                </c:pt>
                <c:pt idx="3">
                  <c:v>1436721118</c:v>
                </c:pt>
                <c:pt idx="4">
                  <c:v>1478634948</c:v>
                </c:pt>
                <c:pt idx="5">
                  <c:v>1495397971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122245669</c:v>
                </c:pt>
                <c:pt idx="1">
                  <c:v>15491492</c:v>
                </c:pt>
                <c:pt idx="2">
                  <c:v>46924961</c:v>
                </c:pt>
                <c:pt idx="3">
                  <c:v>38031440</c:v>
                </c:pt>
                <c:pt idx="4">
                  <c:v>53774192</c:v>
                </c:pt>
                <c:pt idx="5">
                  <c:v>44102198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1342069448</c:v>
                </c:pt>
                <c:pt idx="1">
                  <c:v>1174593883</c:v>
                </c:pt>
                <c:pt idx="2">
                  <c:v>1241189215</c:v>
                </c:pt>
                <c:pt idx="3">
                  <c:v>864549191</c:v>
                </c:pt>
                <c:pt idx="4">
                  <c:v>1197064979</c:v>
                </c:pt>
                <c:pt idx="5">
                  <c:v>1614473994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1804120765</c:v>
                </c:pt>
                <c:pt idx="1">
                  <c:v>1572730826</c:v>
                </c:pt>
                <c:pt idx="2">
                  <c:v>1261219515</c:v>
                </c:pt>
                <c:pt idx="3">
                  <c:v>869370717</c:v>
                </c:pt>
                <c:pt idx="4">
                  <c:v>700608965</c:v>
                </c:pt>
                <c:pt idx="5">
                  <c:v>660787509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45219904"/>
        <c:axId val="-1445218816"/>
      </c:barChart>
      <c:catAx>
        <c:axId val="-14452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445218816"/>
        <c:crosses val="autoZero"/>
        <c:auto val="1"/>
        <c:lblAlgn val="ctr"/>
        <c:lblOffset val="100"/>
        <c:noMultiLvlLbl val="0"/>
      </c:catAx>
      <c:valAx>
        <c:axId val="-1445218816"/>
        <c:scaling>
          <c:orientation val="minMax"/>
          <c:max val="45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44521990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174712118813258E-2"/>
          <c:y val="0.89428589718968132"/>
          <c:w val="0.96263602434343465"/>
          <c:h val="8.6201907688368135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92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Stato_patrimoniale!$B$16:$G$16</c:f>
              <c:numCache>
                <c:formatCode>#,##0</c:formatCode>
                <c:ptCount val="6"/>
                <c:pt idx="0">
                  <c:v>-15945678</c:v>
                </c:pt>
                <c:pt idx="1">
                  <c:v>204377720</c:v>
                </c:pt>
                <c:pt idx="2">
                  <c:v>402261202</c:v>
                </c:pt>
                <c:pt idx="3">
                  <c:v>405326201</c:v>
                </c:pt>
                <c:pt idx="4">
                  <c:v>405326201</c:v>
                </c:pt>
                <c:pt idx="5">
                  <c:v>405326201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Stato_patrimoniale!$B$17:$G$17</c:f>
              <c:numCache>
                <c:formatCode>#,##0</c:formatCode>
                <c:ptCount val="6"/>
                <c:pt idx="0">
                  <c:v>0</c:v>
                </c:pt>
                <c:pt idx="1">
                  <c:v>8958185</c:v>
                </c:pt>
                <c:pt idx="2">
                  <c:v>910056916</c:v>
                </c:pt>
                <c:pt idx="3">
                  <c:v>1033154353</c:v>
                </c:pt>
                <c:pt idx="4">
                  <c:v>1503041066</c:v>
                </c:pt>
                <c:pt idx="5">
                  <c:v>2076264209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Stato_patrimoniale!$B$18:$G$18</c:f>
              <c:numCache>
                <c:formatCode>#,##0</c:formatCode>
                <c:ptCount val="6"/>
                <c:pt idx="0">
                  <c:v>0</c:v>
                </c:pt>
                <c:pt idx="1">
                  <c:v>901719362</c:v>
                </c:pt>
                <c:pt idx="2">
                  <c:v>136034179</c:v>
                </c:pt>
                <c:pt idx="3">
                  <c:v>494699368</c:v>
                </c:pt>
                <c:pt idx="4">
                  <c:v>592247997</c:v>
                </c:pt>
                <c:pt idx="5">
                  <c:v>484548895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45223712"/>
        <c:axId val="-1039011104"/>
      </c:barChart>
      <c:catAx>
        <c:axId val="-1445223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039011104"/>
        <c:crosses val="autoZero"/>
        <c:auto val="1"/>
        <c:lblAlgn val="ctr"/>
        <c:lblOffset val="100"/>
        <c:noMultiLvlLbl val="0"/>
      </c:catAx>
      <c:valAx>
        <c:axId val="-1039011104"/>
        <c:scaling>
          <c:orientation val="minMax"/>
          <c:max val="25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-144522371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17E-2"/>
          <c:w val="0.91226637907374408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91.71</c:v>
                </c:pt>
                <c:pt idx="1">
                  <c:v>93.19</c:v>
                </c:pt>
                <c:pt idx="2">
                  <c:v>94.39</c:v>
                </c:pt>
                <c:pt idx="3">
                  <c:v>96.26</c:v>
                </c:pt>
                <c:pt idx="4">
                  <c:v>97.45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81.143207556306706</c:v>
                </c:pt>
                <c:pt idx="1">
                  <c:v>80.475540786601044</c:v>
                </c:pt>
                <c:pt idx="2">
                  <c:v>78.536617014367778</c:v>
                </c:pt>
                <c:pt idx="3">
                  <c:v>76.088889749601293</c:v>
                </c:pt>
                <c:pt idx="4">
                  <c:v>71.816415402362907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80.899366785346174</c:v>
                </c:pt>
                <c:pt idx="1">
                  <c:v>80.310655445295893</c:v>
                </c:pt>
                <c:pt idx="2">
                  <c:v>78.234646957190989</c:v>
                </c:pt>
                <c:pt idx="3">
                  <c:v>75.723341268662807</c:v>
                </c:pt>
                <c:pt idx="4">
                  <c:v>71.415018980038838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39009472"/>
        <c:axId val="-1039014912"/>
      </c:lineChart>
      <c:catAx>
        <c:axId val="-103900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039014912"/>
        <c:crosses val="autoZero"/>
        <c:auto val="1"/>
        <c:lblAlgn val="ctr"/>
        <c:lblOffset val="100"/>
        <c:noMultiLvlLbl val="0"/>
      </c:catAx>
      <c:valAx>
        <c:axId val="-1039014912"/>
        <c:scaling>
          <c:orientation val="minMax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03900947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43"/>
          <c:w val="0.96177967444791623"/>
          <c:h val="0.1795680460155261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9709485646718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2.7087349092015831</c:v>
                </c:pt>
                <c:pt idx="1">
                  <c:v>2.1568826940685728</c:v>
                </c:pt>
                <c:pt idx="2">
                  <c:v>2.1551285961167022</c:v>
                </c:pt>
                <c:pt idx="3">
                  <c:v>2.1265771265771267</c:v>
                </c:pt>
                <c:pt idx="4">
                  <c:v>1.9450101832993889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7.5986608501572492</c:v>
                </c:pt>
                <c:pt idx="1">
                  <c:v>10.051887272357311</c:v>
                </c:pt>
                <c:pt idx="2">
                  <c:v>10.084375317678154</c:v>
                </c:pt>
                <c:pt idx="3">
                  <c:v>9.0862840862840848</c:v>
                </c:pt>
                <c:pt idx="4">
                  <c:v>9.2871690427698557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7.7711271177843173</c:v>
                </c:pt>
                <c:pt idx="1">
                  <c:v>7.9051785532607584</c:v>
                </c:pt>
                <c:pt idx="2">
                  <c:v>6.9940022364542029</c:v>
                </c:pt>
                <c:pt idx="3">
                  <c:v>7.5193325193325196</c:v>
                </c:pt>
                <c:pt idx="4">
                  <c:v>7.5763747454175148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3.1449731155523999</c:v>
                </c:pt>
                <c:pt idx="1">
                  <c:v>3.2454980160748805</c:v>
                </c:pt>
                <c:pt idx="2">
                  <c:v>3.6799837348785198</c:v>
                </c:pt>
                <c:pt idx="3">
                  <c:v>4.0700040700040701</c:v>
                </c:pt>
                <c:pt idx="4">
                  <c:v>4.877800407331975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41.077406918940859</c:v>
                </c:pt>
                <c:pt idx="1">
                  <c:v>41.570861735680126</c:v>
                </c:pt>
                <c:pt idx="2">
                  <c:v>42.950086408457864</c:v>
                </c:pt>
                <c:pt idx="3">
                  <c:v>43.538868538868535</c:v>
                </c:pt>
                <c:pt idx="4">
                  <c:v>43.380855397148679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39016000"/>
        <c:axId val="-1039014368"/>
      </c:barChart>
      <c:catAx>
        <c:axId val="-10390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039014368"/>
        <c:crosses val="autoZero"/>
        <c:auto val="1"/>
        <c:lblAlgn val="ctr"/>
        <c:lblOffset val="100"/>
        <c:noMultiLvlLbl val="0"/>
      </c:catAx>
      <c:valAx>
        <c:axId val="-1039014368"/>
        <c:scaling>
          <c:orientation val="minMax"/>
          <c:max val="9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03901600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670972494627494"/>
          <c:w val="0.96273135461591564"/>
          <c:h val="0.1632902750537250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24E-2"/>
          <c:w val="0.9122665336936"/>
          <c:h val="0.71915787122354591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44.65</c:v>
                </c:pt>
                <c:pt idx="1">
                  <c:v>50.14</c:v>
                </c:pt>
                <c:pt idx="2">
                  <c:v>65.540000000000006</c:v>
                </c:pt>
                <c:pt idx="3">
                  <c:v>60.94</c:v>
                </c:pt>
                <c:pt idx="4">
                  <c:v>58.18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58.47</c:v>
                </c:pt>
                <c:pt idx="1">
                  <c:v>67.150000000000006</c:v>
                </c:pt>
                <c:pt idx="2">
                  <c:v>73.88</c:v>
                </c:pt>
                <c:pt idx="3">
                  <c:v>66.59</c:v>
                </c:pt>
                <c:pt idx="4">
                  <c:v>62.61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77.849999999999994</c:v>
                </c:pt>
                <c:pt idx="1">
                  <c:v>73.11</c:v>
                </c:pt>
                <c:pt idx="2">
                  <c:v>81.53</c:v>
                </c:pt>
                <c:pt idx="3">
                  <c:v>81.97</c:v>
                </c:pt>
                <c:pt idx="4">
                  <c:v>79.25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76.7</c:v>
                </c:pt>
                <c:pt idx="1">
                  <c:v>86.29</c:v>
                </c:pt>
                <c:pt idx="2">
                  <c:v>89.12</c:v>
                </c:pt>
                <c:pt idx="3">
                  <c:v>83.35</c:v>
                </c:pt>
                <c:pt idx="4">
                  <c:v>74.569999999999993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95.74</c:v>
                </c:pt>
                <c:pt idx="1">
                  <c:v>95.55</c:v>
                </c:pt>
                <c:pt idx="2">
                  <c:v>98.48</c:v>
                </c:pt>
                <c:pt idx="3">
                  <c:v>92.5</c:v>
                </c:pt>
                <c:pt idx="4">
                  <c:v>92.61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39013280"/>
        <c:axId val="-1039011648"/>
      </c:lineChart>
      <c:catAx>
        <c:axId val="-10390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039011648"/>
        <c:crosses val="autoZero"/>
        <c:auto val="1"/>
        <c:lblAlgn val="ctr"/>
        <c:lblOffset val="100"/>
        <c:noMultiLvlLbl val="0"/>
      </c:catAx>
      <c:valAx>
        <c:axId val="-1039011648"/>
        <c:scaling>
          <c:orientation val="minMax"/>
          <c:max val="100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03901328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92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8E-2"/>
          <c:y val="0"/>
          <c:w val="0.95679921453118866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150.75</c:v>
                </c:pt>
                <c:pt idx="1">
                  <c:v>142.54</c:v>
                </c:pt>
                <c:pt idx="2">
                  <c:v>158.31</c:v>
                </c:pt>
                <c:pt idx="3">
                  <c:v>159.35</c:v>
                </c:pt>
                <c:pt idx="4">
                  <c:v>150.71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9015456"/>
        <c:axId val="-1039010560"/>
      </c:barChart>
      <c:catAx>
        <c:axId val="-103901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039010560"/>
        <c:crosses val="autoZero"/>
        <c:auto val="1"/>
        <c:lblAlgn val="ctr"/>
        <c:lblOffset val="100"/>
        <c:noMultiLvlLbl val="0"/>
      </c:catAx>
      <c:valAx>
        <c:axId val="-103901056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03901545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10</xdr:col>
      <xdr:colOff>247650</xdr:colOff>
      <xdr:row>49</xdr:row>
      <xdr:rowOff>95249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1476375</xdr:colOff>
      <xdr:row>52</xdr:row>
      <xdr:rowOff>114300</xdr:rowOff>
    </xdr:from>
    <xdr:to>
      <xdr:col>10</xdr:col>
      <xdr:colOff>295275</xdr:colOff>
      <xdr:row>73</xdr:row>
      <xdr:rowOff>38100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466723</xdr:colOff>
      <xdr:row>30</xdr:row>
      <xdr:rowOff>28575</xdr:rowOff>
    </xdr:from>
    <xdr:to>
      <xdr:col>7</xdr:col>
      <xdr:colOff>685800</xdr:colOff>
      <xdr:row>50</xdr:row>
      <xdr:rowOff>123825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419100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pane xSplit="1" ySplit="2" topLeftCell="G38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3">
        <v>2016</v>
      </c>
      <c r="C1" s="113"/>
      <c r="D1" s="114"/>
      <c r="E1" s="115">
        <v>2017</v>
      </c>
      <c r="F1" s="113"/>
      <c r="G1" s="114"/>
      <c r="H1" s="115">
        <v>2018</v>
      </c>
      <c r="I1" s="113"/>
      <c r="J1" s="114"/>
      <c r="K1" s="115">
        <v>2019</v>
      </c>
      <c r="L1" s="113"/>
      <c r="M1" s="114"/>
      <c r="N1" s="115">
        <v>2020</v>
      </c>
      <c r="O1" s="113"/>
      <c r="P1" s="114"/>
      <c r="Q1" s="112" t="s">
        <v>232</v>
      </c>
      <c r="R1" s="112"/>
    </row>
    <row r="2" spans="1:18" x14ac:dyDescent="0.3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 x14ac:dyDescent="0.3">
      <c r="A3" t="s">
        <v>19</v>
      </c>
      <c r="B3" s="28">
        <v>6973199419.3199997</v>
      </c>
      <c r="C3" s="28">
        <v>6445686481.5799999</v>
      </c>
      <c r="D3" s="20">
        <f>IF(B3&gt;0,C3/B3*100,"-")</f>
        <v>92.435137646021303</v>
      </c>
      <c r="E3" s="28">
        <v>6963652000.6899996</v>
      </c>
      <c r="F3" s="28">
        <v>6752394214.4899998</v>
      </c>
      <c r="G3" s="20">
        <f>IF(E3&gt;0,F3/E3*100,"-")</f>
        <v>96.966278812050533</v>
      </c>
      <c r="H3" s="28">
        <v>7151335335.96</v>
      </c>
      <c r="I3" s="28">
        <v>6882725859.1300001</v>
      </c>
      <c r="J3" s="20">
        <f>IF(H3&gt;0,I3/H3*100,"-")</f>
        <v>96.243925585766959</v>
      </c>
      <c r="K3" s="28">
        <v>7019293998.3299999</v>
      </c>
      <c r="L3" s="28">
        <v>6856506958.2399998</v>
      </c>
      <c r="M3" s="20">
        <f>IF(K3&gt;0,L3/K3*100,"-")</f>
        <v>97.680863059322917</v>
      </c>
      <c r="N3" s="28">
        <v>6951508212.6499996</v>
      </c>
      <c r="O3" s="28">
        <v>6782287681.8599997</v>
      </c>
      <c r="P3" s="20">
        <f>IF(N3&gt;0,O3/N3*100,"-")</f>
        <v>97.565700483787666</v>
      </c>
      <c r="Q3" s="13">
        <f t="shared" ref="Q3:R18" si="0">IF(K3&gt;0,N3/K3*100-100,"-")</f>
        <v>-0.96570660377136619</v>
      </c>
      <c r="R3" s="13">
        <f t="shared" si="0"/>
        <v>-1.0824648298621611</v>
      </c>
    </row>
    <row r="4" spans="1:18" x14ac:dyDescent="0.3">
      <c r="A4" t="s">
        <v>20</v>
      </c>
      <c r="B4" s="28">
        <v>300345906.83999997</v>
      </c>
      <c r="C4" s="28">
        <v>221907003.28</v>
      </c>
      <c r="D4" s="20">
        <f t="shared" ref="D4:D21" si="1">IF(B4&gt;0,C4/B4*100,"-")</f>
        <v>73.883811374267907</v>
      </c>
      <c r="E4" s="28">
        <v>284756064.05000001</v>
      </c>
      <c r="F4" s="28">
        <v>178934604.25999999</v>
      </c>
      <c r="G4" s="20">
        <f t="shared" ref="G4:G21" si="2">IF(E4&gt;0,F4/E4*100,"-")</f>
        <v>62.837855571911916</v>
      </c>
      <c r="H4" s="28">
        <v>357256192.69</v>
      </c>
      <c r="I4" s="28">
        <v>203226988.94</v>
      </c>
      <c r="J4" s="20">
        <f t="shared" ref="J4:J13" si="3">IF(H4&gt;0,I4/H4*100,"-")</f>
        <v>56.885504883702623</v>
      </c>
      <c r="K4" s="28">
        <v>274309208.31</v>
      </c>
      <c r="L4" s="28">
        <v>168294096.05000001</v>
      </c>
      <c r="M4" s="20">
        <f t="shared" ref="M4:M21" si="4">IF(K4&gt;0,L4/K4*100,"-")</f>
        <v>61.351967397247897</v>
      </c>
      <c r="N4" s="28">
        <v>576681849.07000005</v>
      </c>
      <c r="O4" s="28">
        <v>456870179.66000003</v>
      </c>
      <c r="P4" s="20">
        <f t="shared" ref="P4:P21" si="5">IF(N4&gt;0,O4/N4*100,"-")</f>
        <v>79.223956917801857</v>
      </c>
      <c r="Q4" s="13">
        <f t="shared" si="0"/>
        <v>110.23058344373376</v>
      </c>
      <c r="R4" s="13">
        <f t="shared" si="0"/>
        <v>171.47130551998947</v>
      </c>
    </row>
    <row r="5" spans="1:18" x14ac:dyDescent="0.3">
      <c r="A5" t="s">
        <v>21</v>
      </c>
      <c r="B5" s="28">
        <v>76151112.760000005</v>
      </c>
      <c r="C5" s="28">
        <v>61041418.289999999</v>
      </c>
      <c r="D5" s="20">
        <f t="shared" si="1"/>
        <v>80.158274879554085</v>
      </c>
      <c r="E5" s="28">
        <v>262738876.5</v>
      </c>
      <c r="F5" s="28">
        <v>219143864.62</v>
      </c>
      <c r="G5" s="20">
        <f t="shared" si="2"/>
        <v>83.407475718577189</v>
      </c>
      <c r="H5" s="28">
        <v>287771452.82999998</v>
      </c>
      <c r="I5" s="28">
        <v>113410636.19</v>
      </c>
      <c r="J5" s="20">
        <f t="shared" si="3"/>
        <v>39.409967554007849</v>
      </c>
      <c r="K5" s="28">
        <v>204542916.03999999</v>
      </c>
      <c r="L5" s="28">
        <v>156656901.21000001</v>
      </c>
      <c r="M5" s="20">
        <f t="shared" si="4"/>
        <v>76.588768872036866</v>
      </c>
      <c r="N5" s="28">
        <v>739446453.65999997</v>
      </c>
      <c r="O5" s="28">
        <v>83097853.75</v>
      </c>
      <c r="P5" s="20">
        <f t="shared" si="5"/>
        <v>11.237846004764082</v>
      </c>
      <c r="Q5" s="13">
        <f t="shared" si="0"/>
        <v>261.51164165245171</v>
      </c>
      <c r="R5" s="13">
        <f t="shared" si="0"/>
        <v>-46.95551034894622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28">
        <v>0</v>
      </c>
      <c r="G6" s="20" t="str">
        <f t="shared" si="2"/>
        <v>-</v>
      </c>
      <c r="H6" s="28">
        <v>0</v>
      </c>
      <c r="I6" s="28">
        <v>0</v>
      </c>
      <c r="J6" s="20" t="str">
        <f t="shared" si="3"/>
        <v>-</v>
      </c>
      <c r="K6" s="28">
        <v>0</v>
      </c>
      <c r="L6" s="28">
        <v>0</v>
      </c>
      <c r="M6" s="20" t="str">
        <f t="shared" si="4"/>
        <v>-</v>
      </c>
      <c r="N6" s="28">
        <v>0</v>
      </c>
      <c r="O6" s="28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v>866260868.25999999</v>
      </c>
      <c r="C7" s="28">
        <v>82880637.959999993</v>
      </c>
      <c r="D7" s="20">
        <f t="shared" si="1"/>
        <v>9.567630375186722</v>
      </c>
      <c r="E7" s="28">
        <v>608423128.53999996</v>
      </c>
      <c r="F7" s="28">
        <v>114796109.56999999</v>
      </c>
      <c r="G7" s="20">
        <f t="shared" si="2"/>
        <v>18.867808303979171</v>
      </c>
      <c r="H7" s="28">
        <v>373200097.60000002</v>
      </c>
      <c r="I7" s="28">
        <v>64489548.119999997</v>
      </c>
      <c r="J7" s="20">
        <f t="shared" si="3"/>
        <v>17.280153069284726</v>
      </c>
      <c r="K7" s="28">
        <v>548118972.28999996</v>
      </c>
      <c r="L7" s="28">
        <v>36688445.810000002</v>
      </c>
      <c r="M7" s="20">
        <f t="shared" si="4"/>
        <v>6.6935186820332868</v>
      </c>
      <c r="N7" s="28">
        <v>336710250.77999997</v>
      </c>
      <c r="O7" s="28">
        <v>53486850.310000002</v>
      </c>
      <c r="P7" s="20">
        <f t="shared" si="5"/>
        <v>15.885126807424491</v>
      </c>
      <c r="Q7" s="13">
        <f t="shared" si="0"/>
        <v>-38.569860230663103</v>
      </c>
      <c r="R7" s="13">
        <f t="shared" si="0"/>
        <v>45.786634263535177</v>
      </c>
    </row>
    <row r="8" spans="1:18" x14ac:dyDescent="0.3">
      <c r="A8" t="s">
        <v>24</v>
      </c>
      <c r="B8" s="28">
        <v>6301894.1799999997</v>
      </c>
      <c r="C8" s="28">
        <v>3329921.79</v>
      </c>
      <c r="D8" s="20">
        <f t="shared" si="1"/>
        <v>52.840014365331669</v>
      </c>
      <c r="E8" s="28">
        <v>1249256.51</v>
      </c>
      <c r="F8" s="28">
        <v>1249256.5</v>
      </c>
      <c r="G8" s="20">
        <f t="shared" si="2"/>
        <v>99.999999199523884</v>
      </c>
      <c r="H8" s="28">
        <v>2389254.83</v>
      </c>
      <c r="I8" s="28">
        <v>2388063.84</v>
      </c>
      <c r="J8" s="20">
        <f t="shared" si="3"/>
        <v>99.950152240562801</v>
      </c>
      <c r="K8" s="28">
        <v>79794664.450000003</v>
      </c>
      <c r="L8" s="28">
        <v>2450605.34</v>
      </c>
      <c r="M8" s="20">
        <f t="shared" si="4"/>
        <v>3.0711393510973024</v>
      </c>
      <c r="N8" s="28">
        <v>2516152.86</v>
      </c>
      <c r="O8" s="28">
        <v>2516152.86</v>
      </c>
      <c r="P8" s="20">
        <f t="shared" si="5"/>
        <v>100</v>
      </c>
      <c r="Q8" s="13">
        <f t="shared" si="0"/>
        <v>-96.846715407172823</v>
      </c>
      <c r="R8" s="13">
        <f t="shared" si="0"/>
        <v>2.6747481093793795</v>
      </c>
    </row>
    <row r="9" spans="1:18" x14ac:dyDescent="0.3">
      <c r="A9" t="s">
        <v>25</v>
      </c>
      <c r="B9" s="28">
        <v>6414671.6299999999</v>
      </c>
      <c r="C9" s="28">
        <v>6411822.0300000003</v>
      </c>
      <c r="D9" s="20">
        <f t="shared" si="1"/>
        <v>99.955576837531751</v>
      </c>
      <c r="E9" s="28">
        <v>562170.99</v>
      </c>
      <c r="F9" s="28">
        <v>537699.25</v>
      </c>
      <c r="G9" s="20">
        <f t="shared" si="2"/>
        <v>95.646922300277353</v>
      </c>
      <c r="H9" s="28">
        <v>1796748.83</v>
      </c>
      <c r="I9" s="28">
        <v>1781538.79</v>
      </c>
      <c r="J9" s="20">
        <f t="shared" si="3"/>
        <v>99.153468768364235</v>
      </c>
      <c r="K9" s="28">
        <v>3618362.05</v>
      </c>
      <c r="L9" s="28">
        <v>3582606.43</v>
      </c>
      <c r="M9" s="20">
        <f t="shared" si="4"/>
        <v>99.011828570333364</v>
      </c>
      <c r="N9" s="28">
        <v>457247.39</v>
      </c>
      <c r="O9" s="28">
        <v>424627.69</v>
      </c>
      <c r="P9" s="20">
        <f t="shared" si="5"/>
        <v>92.866071909125608</v>
      </c>
      <c r="Q9" s="13">
        <f t="shared" si="0"/>
        <v>-87.363138799225467</v>
      </c>
      <c r="R9" s="13">
        <f t="shared" si="0"/>
        <v>-88.147520574845842</v>
      </c>
    </row>
    <row r="10" spans="1:18" x14ac:dyDescent="0.3">
      <c r="A10" t="s">
        <v>26</v>
      </c>
      <c r="B10" s="28">
        <v>19750414.09</v>
      </c>
      <c r="C10" s="28">
        <v>15476969.49</v>
      </c>
      <c r="D10" s="20">
        <f t="shared" si="1"/>
        <v>78.362759481768421</v>
      </c>
      <c r="E10" s="28">
        <v>6412632.5300000003</v>
      </c>
      <c r="F10" s="28">
        <v>781741.7</v>
      </c>
      <c r="G10" s="20">
        <f t="shared" si="2"/>
        <v>12.19065175406207</v>
      </c>
      <c r="H10" s="28">
        <v>3835116.9</v>
      </c>
      <c r="I10" s="28">
        <v>701841.88</v>
      </c>
      <c r="J10" s="20">
        <f t="shared" si="3"/>
        <v>18.300403828629058</v>
      </c>
      <c r="K10" s="28">
        <v>5750255.75</v>
      </c>
      <c r="L10" s="28">
        <v>2386460.7599999998</v>
      </c>
      <c r="M10" s="20">
        <f t="shared" si="4"/>
        <v>41.501819462551722</v>
      </c>
      <c r="N10" s="28">
        <v>12714106.359999999</v>
      </c>
      <c r="O10" s="28">
        <v>11725800.49</v>
      </c>
      <c r="P10" s="20">
        <f t="shared" si="5"/>
        <v>92.226698109830835</v>
      </c>
      <c r="Q10" s="13">
        <f t="shared" si="0"/>
        <v>121.10505884890421</v>
      </c>
      <c r="R10" s="13">
        <f t="shared" si="0"/>
        <v>391.3468801389385</v>
      </c>
    </row>
    <row r="11" spans="1:18" x14ac:dyDescent="0.3">
      <c r="A11" t="s">
        <v>27</v>
      </c>
      <c r="B11" s="28">
        <v>0</v>
      </c>
      <c r="C11" s="28">
        <v>0</v>
      </c>
      <c r="D11" s="20" t="str">
        <f t="shared" si="1"/>
        <v>-</v>
      </c>
      <c r="E11" s="28">
        <v>0</v>
      </c>
      <c r="F11" s="28">
        <v>0</v>
      </c>
      <c r="G11" s="20" t="str">
        <f t="shared" si="2"/>
        <v>-</v>
      </c>
      <c r="H11" s="28">
        <v>0</v>
      </c>
      <c r="I11" s="28">
        <v>0</v>
      </c>
      <c r="J11" s="20" t="str">
        <f t="shared" si="3"/>
        <v>-</v>
      </c>
      <c r="K11" s="28">
        <v>0</v>
      </c>
      <c r="L11" s="28">
        <v>0</v>
      </c>
      <c r="M11" s="20" t="str">
        <f t="shared" si="4"/>
        <v>-</v>
      </c>
      <c r="N11" s="28">
        <v>0</v>
      </c>
      <c r="O11" s="28">
        <v>0</v>
      </c>
      <c r="P11" s="20" t="str">
        <f t="shared" si="5"/>
        <v>-</v>
      </c>
      <c r="Q11" s="13" t="str">
        <f t="shared" si="0"/>
        <v>-</v>
      </c>
      <c r="R11" s="13" t="str">
        <f t="shared" si="0"/>
        <v>-</v>
      </c>
    </row>
    <row r="12" spans="1:18" x14ac:dyDescent="0.3">
      <c r="A12" t="s">
        <v>28</v>
      </c>
      <c r="B12" s="28">
        <v>4545879.47</v>
      </c>
      <c r="C12" s="28">
        <v>4545879.47</v>
      </c>
      <c r="D12" s="20">
        <f t="shared" si="1"/>
        <v>100</v>
      </c>
      <c r="E12" s="28">
        <v>3379518.85</v>
      </c>
      <c r="F12" s="28">
        <v>3379518.85</v>
      </c>
      <c r="G12" s="20">
        <f t="shared" si="2"/>
        <v>100</v>
      </c>
      <c r="H12" s="28">
        <v>2000848.21</v>
      </c>
      <c r="I12" s="28">
        <v>2000690.05</v>
      </c>
      <c r="J12" s="20">
        <f t="shared" si="3"/>
        <v>99.992095352400582</v>
      </c>
      <c r="K12" s="28">
        <v>2064413.92</v>
      </c>
      <c r="L12" s="28">
        <v>2009581.85</v>
      </c>
      <c r="M12" s="20">
        <f t="shared" si="4"/>
        <v>97.343940114490223</v>
      </c>
      <c r="N12" s="28">
        <v>1127145.3700000001</v>
      </c>
      <c r="O12" s="28">
        <v>894719.36</v>
      </c>
      <c r="P12" s="20">
        <f t="shared" si="5"/>
        <v>79.379233931467056</v>
      </c>
      <c r="Q12" s="13">
        <f t="shared" si="0"/>
        <v>-45.401193090191903</v>
      </c>
      <c r="R12" s="13">
        <f t="shared" si="0"/>
        <v>-55.477336740476638</v>
      </c>
    </row>
    <row r="13" spans="1:18" x14ac:dyDescent="0.3">
      <c r="A13" t="s">
        <v>29</v>
      </c>
      <c r="B13" s="28">
        <v>187117671.78999999</v>
      </c>
      <c r="C13" s="28">
        <v>187117671.78999999</v>
      </c>
      <c r="D13" s="20">
        <f t="shared" si="1"/>
        <v>100</v>
      </c>
      <c r="E13" s="28">
        <v>76210457.090000004</v>
      </c>
      <c r="F13" s="28">
        <v>76210457.090000004</v>
      </c>
      <c r="G13" s="20">
        <f t="shared" si="2"/>
        <v>100</v>
      </c>
      <c r="H13" s="28">
        <v>137663607.44999999</v>
      </c>
      <c r="I13" s="28">
        <v>137623444.94</v>
      </c>
      <c r="J13" s="20">
        <f t="shared" si="3"/>
        <v>99.970825615611901</v>
      </c>
      <c r="K13" s="28">
        <v>181036019.31999999</v>
      </c>
      <c r="L13" s="28">
        <v>181036019.31999999</v>
      </c>
      <c r="M13" s="20">
        <f t="shared" si="4"/>
        <v>100</v>
      </c>
      <c r="N13" s="28">
        <v>179969389.71000001</v>
      </c>
      <c r="O13" s="28">
        <v>179969389.71000001</v>
      </c>
      <c r="P13" s="20">
        <f t="shared" si="5"/>
        <v>100</v>
      </c>
      <c r="Q13" s="13">
        <f t="shared" si="0"/>
        <v>-0.58918087903523997</v>
      </c>
      <c r="R13" s="13">
        <f t="shared" si="0"/>
        <v>-0.58918087903523997</v>
      </c>
    </row>
    <row r="14" spans="1:18" x14ac:dyDescent="0.3">
      <c r="A14" t="s">
        <v>30</v>
      </c>
      <c r="B14" s="28">
        <f t="shared" ref="B14:C14" si="6">SUM(B3:B5)</f>
        <v>7349696438.9200001</v>
      </c>
      <c r="C14" s="28">
        <f t="shared" si="6"/>
        <v>6728634903.1499996</v>
      </c>
      <c r="D14" s="20">
        <f>IF(B14&gt;0,C14/B14*100,"-")</f>
        <v>91.549834187964606</v>
      </c>
      <c r="E14" s="28">
        <f t="shared" ref="E14:F14" si="7">SUM(E3:E5)</f>
        <v>7511146941.2399998</v>
      </c>
      <c r="F14" s="28">
        <f t="shared" si="7"/>
        <v>7150472683.3699999</v>
      </c>
      <c r="G14" s="20">
        <f>IF(E14&gt;0,F14/E14*100,"-")</f>
        <v>95.198146691955714</v>
      </c>
      <c r="H14" s="28">
        <f t="shared" ref="H14:I14" si="8">SUM(H3:H5)</f>
        <v>7796362981.4799995</v>
      </c>
      <c r="I14" s="28">
        <f t="shared" si="8"/>
        <v>7199363484.2599993</v>
      </c>
      <c r="J14" s="20">
        <f>IF(H14&gt;0,I14/H14*100,"-")</f>
        <v>92.342589760916056</v>
      </c>
      <c r="K14" s="28">
        <f t="shared" ref="K14:L14" si="9">SUM(K3:K5)</f>
        <v>7498146122.6800003</v>
      </c>
      <c r="L14" s="28">
        <f t="shared" si="9"/>
        <v>7181457955.5</v>
      </c>
      <c r="M14" s="20">
        <f>IF(K14&gt;0,L14/K14*100,"-")</f>
        <v>95.776447111078582</v>
      </c>
      <c r="N14" s="28">
        <f t="shared" ref="N14:O14" si="10">SUM(N3:N5)</f>
        <v>8267636515.3799992</v>
      </c>
      <c r="O14" s="28">
        <f t="shared" si="10"/>
        <v>7322255715.2699995</v>
      </c>
      <c r="P14" s="20">
        <f>IF(N14&gt;0,O14/N14*100,"-")</f>
        <v>88.565283459773042</v>
      </c>
      <c r="Q14" s="13">
        <f t="shared" si="0"/>
        <v>10.262408602207486</v>
      </c>
      <c r="R14" s="13">
        <f t="shared" si="0"/>
        <v>1.9605734746684504</v>
      </c>
    </row>
    <row r="15" spans="1:18" x14ac:dyDescent="0.3">
      <c r="A15" t="s">
        <v>31</v>
      </c>
      <c r="B15" s="27">
        <f t="shared" ref="B15:C15" si="11">SUM(B6:B10)</f>
        <v>898727848.15999997</v>
      </c>
      <c r="C15" s="27">
        <f t="shared" si="11"/>
        <v>108099351.27</v>
      </c>
      <c r="D15" s="20">
        <f>IF(B15&gt;0,C15/B15*100,"-")</f>
        <v>12.028040690106126</v>
      </c>
      <c r="E15" s="27">
        <f t="shared" ref="E15:F15" si="12">SUM(E6:E10)</f>
        <v>616647188.56999993</v>
      </c>
      <c r="F15" s="27">
        <f t="shared" si="12"/>
        <v>117364807.02</v>
      </c>
      <c r="G15" s="20">
        <f>IF(E15&gt;0,F15/E15*100,"-")</f>
        <v>19.032732037936974</v>
      </c>
      <c r="H15" s="27">
        <f t="shared" ref="H15:I15" si="13">SUM(H6:H10)</f>
        <v>381221218.15999997</v>
      </c>
      <c r="I15" s="27">
        <f t="shared" si="13"/>
        <v>69360992.629999995</v>
      </c>
      <c r="J15" s="20">
        <f>IF(H15&gt;0,I15/H15*100,"-")</f>
        <v>18.194420805005908</v>
      </c>
      <c r="K15" s="27">
        <f t="shared" ref="K15:L15" si="14">SUM(K6:K10)</f>
        <v>637282254.53999996</v>
      </c>
      <c r="L15" s="27">
        <f t="shared" si="14"/>
        <v>45108118.340000004</v>
      </c>
      <c r="M15" s="20">
        <f>IF(K15&gt;0,L15/K15*100,"-")</f>
        <v>7.0782009099813594</v>
      </c>
      <c r="N15" s="27">
        <f t="shared" ref="N15:O15" si="15">SUM(N6:N10)</f>
        <v>352397757.38999999</v>
      </c>
      <c r="O15" s="27">
        <f t="shared" si="15"/>
        <v>68153431.349999994</v>
      </c>
      <c r="P15" s="20">
        <f>IF(N15&gt;0,O15/N15*100,"-")</f>
        <v>19.339916307859564</v>
      </c>
      <c r="Q15" s="13">
        <f t="shared" si="0"/>
        <v>-44.703033094124663</v>
      </c>
      <c r="R15" s="13">
        <f t="shared" si="0"/>
        <v>51.089058595388934</v>
      </c>
    </row>
    <row r="16" spans="1:18" x14ac:dyDescent="0.3">
      <c r="A16" t="s">
        <v>32</v>
      </c>
      <c r="B16" s="28">
        <f t="shared" ref="B16:C16" si="16">SUM(B11:B13)</f>
        <v>191663551.25999999</v>
      </c>
      <c r="C16" s="28">
        <f t="shared" si="16"/>
        <v>191663551.25999999</v>
      </c>
      <c r="D16" s="20">
        <f t="shared" si="1"/>
        <v>100</v>
      </c>
      <c r="E16" s="28">
        <f t="shared" ref="E16:F16" si="17">SUM(E11:E13)</f>
        <v>79589975.939999998</v>
      </c>
      <c r="F16" s="28">
        <f t="shared" si="17"/>
        <v>79589975.939999998</v>
      </c>
      <c r="G16" s="20">
        <f t="shared" si="2"/>
        <v>100</v>
      </c>
      <c r="H16" s="28">
        <f t="shared" ref="H16:I16" si="18">SUM(H11:H13)</f>
        <v>139664455.66</v>
      </c>
      <c r="I16" s="28">
        <f t="shared" si="18"/>
        <v>139624134.99000001</v>
      </c>
      <c r="J16" s="20">
        <f t="shared" ref="J16:J21" si="19">IF(H16&gt;0,I16/H16*100,"-")</f>
        <v>99.971130328178745</v>
      </c>
      <c r="K16" s="28">
        <f t="shared" ref="K16:L16" si="20">SUM(K11:K13)</f>
        <v>183100433.23999998</v>
      </c>
      <c r="L16" s="28">
        <f t="shared" si="20"/>
        <v>183045601.16999999</v>
      </c>
      <c r="M16" s="20">
        <f t="shared" ref="M16:M33" si="21">IF(K16&gt;0,L16/K16*100,"-")</f>
        <v>99.970053555292182</v>
      </c>
      <c r="N16" s="28">
        <f t="shared" ref="N16:O16" si="22">SUM(N11:N13)</f>
        <v>181096535.08000001</v>
      </c>
      <c r="O16" s="28">
        <f t="shared" si="22"/>
        <v>180864109.07000002</v>
      </c>
      <c r="P16" s="20">
        <f t="shared" si="5"/>
        <v>99.871656290995674</v>
      </c>
      <c r="Q16" s="13">
        <f t="shared" si="0"/>
        <v>-1.0944256791426312</v>
      </c>
      <c r="R16" s="13">
        <f t="shared" si="0"/>
        <v>-1.1917752112348978</v>
      </c>
    </row>
    <row r="17" spans="1:18" x14ac:dyDescent="0.3">
      <c r="A17" t="s">
        <v>33</v>
      </c>
      <c r="B17" s="28">
        <v>370587400.05000001</v>
      </c>
      <c r="C17" s="28">
        <v>370587400.05000001</v>
      </c>
      <c r="D17" s="20">
        <f t="shared" si="1"/>
        <v>100</v>
      </c>
      <c r="E17" s="28">
        <v>138194267.24000001</v>
      </c>
      <c r="F17" s="28">
        <v>138194267.24000001</v>
      </c>
      <c r="G17" s="20">
        <f t="shared" si="2"/>
        <v>100</v>
      </c>
      <c r="H17" s="28">
        <v>178738007.38999999</v>
      </c>
      <c r="I17" s="28">
        <v>178738007.38999999</v>
      </c>
      <c r="J17" s="20">
        <f t="shared" si="19"/>
        <v>100</v>
      </c>
      <c r="K17" s="28">
        <v>116976766.01000001</v>
      </c>
      <c r="L17" s="28">
        <v>90723108.340000004</v>
      </c>
      <c r="M17" s="20">
        <f t="shared" si="21"/>
        <v>77.556519499132293</v>
      </c>
      <c r="N17" s="28">
        <v>72133380.780000001</v>
      </c>
      <c r="O17" s="28">
        <v>72133380.780000001</v>
      </c>
      <c r="P17" s="20">
        <f t="shared" si="5"/>
        <v>100</v>
      </c>
      <c r="Q17" s="13">
        <f t="shared" si="0"/>
        <v>-38.335292348710063</v>
      </c>
      <c r="R17" s="13">
        <f t="shared" si="0"/>
        <v>-20.490620196049605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9"/>
        <v>-</v>
      </c>
      <c r="K18" s="28">
        <v>0</v>
      </c>
      <c r="L18" s="28">
        <v>0</v>
      </c>
      <c r="M18" s="20" t="str">
        <f t="shared" si="21"/>
        <v>-</v>
      </c>
      <c r="N18" s="28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125925178.12</v>
      </c>
      <c r="C19" s="28">
        <v>125903382.73</v>
      </c>
      <c r="D19" s="20">
        <f t="shared" si="1"/>
        <v>99.982691793392391</v>
      </c>
      <c r="E19" s="28">
        <v>152492208.16</v>
      </c>
      <c r="F19" s="28">
        <v>139363189.22999999</v>
      </c>
      <c r="G19" s="20">
        <f t="shared" si="2"/>
        <v>91.3903673581639</v>
      </c>
      <c r="H19" s="28">
        <v>149154217.34</v>
      </c>
      <c r="I19" s="28">
        <v>147456063.09</v>
      </c>
      <c r="J19" s="20">
        <f t="shared" si="19"/>
        <v>98.861477549690051</v>
      </c>
      <c r="K19" s="28">
        <v>161554101.53</v>
      </c>
      <c r="L19" s="28">
        <v>161507599.13</v>
      </c>
      <c r="M19" s="20">
        <f t="shared" si="21"/>
        <v>99.971215586877946</v>
      </c>
      <c r="N19" s="28">
        <v>163228233.91</v>
      </c>
      <c r="O19" s="28">
        <v>163096828.56999999</v>
      </c>
      <c r="P19" s="20">
        <f t="shared" si="5"/>
        <v>99.919495949412493</v>
      </c>
      <c r="Q19" s="13">
        <f t="shared" ref="Q19:R60" si="23">IF(K19&gt;0,N19/K19*100-100,"-")</f>
        <v>1.0362673334475119</v>
      </c>
      <c r="R19" s="13">
        <f t="shared" si="23"/>
        <v>0.98399669647790233</v>
      </c>
    </row>
    <row r="20" spans="1:18" x14ac:dyDescent="0.3">
      <c r="A20" t="s">
        <v>36</v>
      </c>
      <c r="B20" s="28">
        <f t="shared" ref="B20:C20" si="24">B14+B15+B16+B17+B18+B19</f>
        <v>8936600416.5100002</v>
      </c>
      <c r="C20" s="28">
        <f t="shared" si="24"/>
        <v>7524888588.46</v>
      </c>
      <c r="D20" s="20">
        <f t="shared" si="1"/>
        <v>84.203032895574921</v>
      </c>
      <c r="E20" s="28">
        <f t="shared" ref="E20:F20" si="25">E14+E15+E16+E17+E18+E19</f>
        <v>8498070581.1499987</v>
      </c>
      <c r="F20" s="28">
        <f t="shared" si="25"/>
        <v>7624984922.7999992</v>
      </c>
      <c r="G20" s="20">
        <f t="shared" si="2"/>
        <v>89.726071935827008</v>
      </c>
      <c r="H20" s="28">
        <f t="shared" ref="H20:I20" si="26">H14+H15+H16+H17+H18+H19</f>
        <v>8645140880.0299988</v>
      </c>
      <c r="I20" s="28">
        <f t="shared" si="26"/>
        <v>7734542682.3599997</v>
      </c>
      <c r="J20" s="20">
        <f t="shared" si="19"/>
        <v>89.46693627892806</v>
      </c>
      <c r="K20" s="28">
        <f t="shared" ref="K20:L20" si="27">K14+K15+K16+K17+K18+K19</f>
        <v>8597059678</v>
      </c>
      <c r="L20" s="28">
        <f t="shared" si="27"/>
        <v>7661842382.4800005</v>
      </c>
      <c r="M20" s="20">
        <f t="shared" si="21"/>
        <v>89.121661003316817</v>
      </c>
      <c r="N20" s="28">
        <f t="shared" ref="N20:O20" si="28">N14+N15+N16+N17+N18+N19</f>
        <v>9036492422.539999</v>
      </c>
      <c r="O20" s="28">
        <f t="shared" si="28"/>
        <v>7806503465.039999</v>
      </c>
      <c r="P20" s="20">
        <f t="shared" si="5"/>
        <v>86.388646169480538</v>
      </c>
      <c r="Q20" s="13">
        <f t="shared" si="23"/>
        <v>5.1114306634920013</v>
      </c>
      <c r="R20" s="13">
        <f t="shared" si="23"/>
        <v>1.888071763141312</v>
      </c>
    </row>
    <row r="21" spans="1:18" x14ac:dyDescent="0.3">
      <c r="A21" t="s">
        <v>37</v>
      </c>
      <c r="B21" s="28">
        <f t="shared" ref="B21:C21" si="29">B20-B19</f>
        <v>8810675238.3899994</v>
      </c>
      <c r="C21" s="28">
        <f t="shared" si="29"/>
        <v>7398985205.7300005</v>
      </c>
      <c r="D21" s="20">
        <f t="shared" si="1"/>
        <v>83.977504624061467</v>
      </c>
      <c r="E21" s="28">
        <f t="shared" ref="E21:F21" si="30">E20-E19</f>
        <v>8345578372.9899988</v>
      </c>
      <c r="F21" s="28">
        <f t="shared" si="30"/>
        <v>7485621733.5699997</v>
      </c>
      <c r="G21" s="20">
        <f t="shared" si="2"/>
        <v>89.695661570884027</v>
      </c>
      <c r="H21" s="28">
        <f t="shared" ref="H21:I21" si="31">H20-H19</f>
        <v>8495986662.6899986</v>
      </c>
      <c r="I21" s="28">
        <f t="shared" si="31"/>
        <v>7587086619.2699995</v>
      </c>
      <c r="J21" s="20">
        <f t="shared" si="19"/>
        <v>89.302007176971927</v>
      </c>
      <c r="K21" s="28">
        <f t="shared" ref="K21:L21" si="32">K20-K19</f>
        <v>8435505576.4700003</v>
      </c>
      <c r="L21" s="28">
        <f t="shared" si="32"/>
        <v>7500334783.3500004</v>
      </c>
      <c r="M21" s="20">
        <f t="shared" si="21"/>
        <v>88.913873808244944</v>
      </c>
      <c r="N21" s="28">
        <f t="shared" ref="N21:O21" si="33">N20-N19</f>
        <v>8873264188.6299992</v>
      </c>
      <c r="O21" s="28">
        <f t="shared" si="33"/>
        <v>7643406636.4699993</v>
      </c>
      <c r="P21" s="20">
        <f t="shared" si="5"/>
        <v>86.139739266008647</v>
      </c>
      <c r="Q21" s="13">
        <f t="shared" si="23"/>
        <v>5.1894768866146421</v>
      </c>
      <c r="R21" s="13">
        <f t="shared" si="23"/>
        <v>1.9075395599354295</v>
      </c>
    </row>
    <row r="22" spans="1:18" x14ac:dyDescent="0.3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 x14ac:dyDescent="0.3">
      <c r="A23" s="5" t="s">
        <v>38</v>
      </c>
      <c r="B23" s="27">
        <v>231570871.44</v>
      </c>
      <c r="C23" s="27">
        <v>229483861.30000001</v>
      </c>
      <c r="D23" s="20">
        <f>IF(B23&gt;0,C23/B23*100,"-")</f>
        <v>99.098759646659303</v>
      </c>
      <c r="E23" s="27">
        <v>223766676.87</v>
      </c>
      <c r="F23" s="27">
        <v>212658181.12</v>
      </c>
      <c r="G23" s="20">
        <f>IF(E23&gt;0,F23/E23*100,"-")</f>
        <v>95.035679170203878</v>
      </c>
      <c r="H23" s="27">
        <v>244422914.02000001</v>
      </c>
      <c r="I23" s="27">
        <v>238541079.05000001</v>
      </c>
      <c r="J23" s="20">
        <f>IF(H23&gt;0,I23/H23*100,"-")</f>
        <v>97.593582830160216</v>
      </c>
      <c r="K23" s="27">
        <v>244880714.41</v>
      </c>
      <c r="L23" s="27">
        <v>239876736.00999999</v>
      </c>
      <c r="M23" s="20">
        <f>IF(K23&gt;0,L23/K23*100,"-")</f>
        <v>97.956564929150801</v>
      </c>
      <c r="N23" s="1">
        <v>219872966.18000001</v>
      </c>
      <c r="O23" s="1">
        <v>215304010.47999999</v>
      </c>
      <c r="P23" s="20">
        <f>IF(N23&gt;0,O23/N23*100,"-")</f>
        <v>97.922002063564463</v>
      </c>
      <c r="Q23" s="13">
        <f t="shared" si="23"/>
        <v>-10.212216298965018</v>
      </c>
      <c r="R23" s="13">
        <f t="shared" si="23"/>
        <v>-10.243896902522309</v>
      </c>
    </row>
    <row r="24" spans="1:18" x14ac:dyDescent="0.3">
      <c r="A24" s="5" t="s">
        <v>39</v>
      </c>
      <c r="B24" s="27">
        <v>26788544.690000001</v>
      </c>
      <c r="C24" s="27">
        <v>24580363.949999999</v>
      </c>
      <c r="D24" s="20">
        <f t="shared" ref="D24:D57" si="34">IF(B24&gt;0,C24/B24*100,"-")</f>
        <v>91.756996262569274</v>
      </c>
      <c r="E24" s="27">
        <v>24125539.809999999</v>
      </c>
      <c r="F24" s="27">
        <v>22065461.620000001</v>
      </c>
      <c r="G24" s="20">
        <f t="shared" ref="G24:G57" si="35">IF(E24&gt;0,F24/E24*100,"-")</f>
        <v>91.461006857363259</v>
      </c>
      <c r="H24" s="27">
        <v>25635628.75</v>
      </c>
      <c r="I24" s="27">
        <v>24649313.780000001</v>
      </c>
      <c r="J24" s="20">
        <f t="shared" ref="J24:J26" si="36">IF(H24&gt;0,I24/H24*100,"-")</f>
        <v>96.152561813019716</v>
      </c>
      <c r="K24" s="27">
        <v>54541520.399999999</v>
      </c>
      <c r="L24" s="27">
        <v>53595704.539999999</v>
      </c>
      <c r="M24" s="20">
        <f t="shared" ref="M24:M57" si="37">IF(K24&gt;0,L24/K24*100,"-")</f>
        <v>98.265879181468506</v>
      </c>
      <c r="N24" s="1">
        <v>24013933.949999999</v>
      </c>
      <c r="O24" s="1">
        <v>23131163.379999999</v>
      </c>
      <c r="P24" s="20">
        <f t="shared" ref="P24:P57" si="38">IF(N24&gt;0,O24/N24*100,"-")</f>
        <v>96.323923552725518</v>
      </c>
      <c r="Q24" s="13">
        <f t="shared" si="23"/>
        <v>-55.971278809455413</v>
      </c>
      <c r="R24" s="13">
        <f t="shared" si="23"/>
        <v>-56.84138574438078</v>
      </c>
    </row>
    <row r="25" spans="1:18" x14ac:dyDescent="0.3">
      <c r="A25" s="5" t="s">
        <v>40</v>
      </c>
      <c r="B25" s="27">
        <v>489677967.69</v>
      </c>
      <c r="C25" s="27">
        <v>384463492.08999997</v>
      </c>
      <c r="D25" s="20">
        <f t="shared" si="34"/>
        <v>78.513536948305571</v>
      </c>
      <c r="E25" s="27">
        <v>483824087.51999998</v>
      </c>
      <c r="F25" s="27">
        <v>383912818.51999998</v>
      </c>
      <c r="G25" s="20">
        <f t="shared" si="35"/>
        <v>79.349670349790117</v>
      </c>
      <c r="H25" s="27">
        <v>488927305.85000002</v>
      </c>
      <c r="I25" s="27">
        <v>390439026.93000001</v>
      </c>
      <c r="J25" s="20">
        <f t="shared" si="36"/>
        <v>79.856253119514747</v>
      </c>
      <c r="K25" s="27">
        <v>407598050.24000001</v>
      </c>
      <c r="L25" s="27">
        <v>311148136.69999999</v>
      </c>
      <c r="M25" s="20">
        <f t="shared" si="37"/>
        <v>76.33700321107797</v>
      </c>
      <c r="N25" s="1">
        <v>423846993.22000003</v>
      </c>
      <c r="O25" s="1">
        <v>318484153.80000001</v>
      </c>
      <c r="P25" s="20">
        <f t="shared" si="38"/>
        <v>75.141303086863971</v>
      </c>
      <c r="Q25" s="13">
        <f t="shared" si="23"/>
        <v>3.9865114591280246</v>
      </c>
      <c r="R25" s="13">
        <f t="shared" si="23"/>
        <v>2.3577249016513377</v>
      </c>
    </row>
    <row r="26" spans="1:18" x14ac:dyDescent="0.3">
      <c r="A26" s="5" t="s">
        <v>41</v>
      </c>
      <c r="B26" s="27">
        <v>5599011916.2200003</v>
      </c>
      <c r="C26" s="27">
        <v>4989754588.6300001</v>
      </c>
      <c r="D26" s="20">
        <f t="shared" si="34"/>
        <v>89.118484891503485</v>
      </c>
      <c r="E26" s="27">
        <v>5773244331.1300001</v>
      </c>
      <c r="F26" s="27">
        <v>5241117575.2299995</v>
      </c>
      <c r="G26" s="20">
        <f t="shared" si="35"/>
        <v>90.782881766657411</v>
      </c>
      <c r="H26" s="27">
        <v>6034102327.9200001</v>
      </c>
      <c r="I26" s="27">
        <v>5774615943.7399998</v>
      </c>
      <c r="J26" s="20">
        <f t="shared" si="36"/>
        <v>95.699668814376111</v>
      </c>
      <c r="K26" s="27">
        <v>6044607909.6599998</v>
      </c>
      <c r="L26" s="27">
        <v>5696620723.1000004</v>
      </c>
      <c r="M26" s="20">
        <f t="shared" si="37"/>
        <v>94.243014737087009</v>
      </c>
      <c r="N26" s="1">
        <v>5856977000.4899998</v>
      </c>
      <c r="O26" s="1">
        <v>5364444228.3000002</v>
      </c>
      <c r="P26" s="20">
        <f t="shared" si="38"/>
        <v>91.590665762409614</v>
      </c>
      <c r="Q26" s="13">
        <f t="shared" si="23"/>
        <v>-3.1041038885275611</v>
      </c>
      <c r="R26" s="13">
        <f t="shared" si="23"/>
        <v>-5.8311148125591785</v>
      </c>
    </row>
    <row r="27" spans="1:18" x14ac:dyDescent="0.3">
      <c r="A27" s="5" t="s">
        <v>350</v>
      </c>
      <c r="B27" s="27">
        <v>0</v>
      </c>
      <c r="C27" s="27">
        <v>0</v>
      </c>
      <c r="D27" s="20"/>
      <c r="E27" s="27">
        <v>37954.019999999997</v>
      </c>
      <c r="F27" s="27">
        <v>37954.019999999997</v>
      </c>
      <c r="G27" s="20"/>
      <c r="H27" s="27">
        <v>93020.28</v>
      </c>
      <c r="I27" s="27">
        <v>93020.28</v>
      </c>
      <c r="J27" s="20"/>
      <c r="K27" s="27">
        <v>68337.58</v>
      </c>
      <c r="L27" s="27">
        <v>52</v>
      </c>
      <c r="M27" s="20"/>
      <c r="N27" s="1">
        <v>41955.27</v>
      </c>
      <c r="O27" s="1">
        <v>41777.269999999997</v>
      </c>
      <c r="P27" s="20"/>
      <c r="Q27" s="13">
        <f t="shared" si="23"/>
        <v>-38.605859323669357</v>
      </c>
      <c r="R27" s="13">
        <f t="shared" si="23"/>
        <v>80240.903846153844</v>
      </c>
    </row>
    <row r="28" spans="1:18" x14ac:dyDescent="0.3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42663459.630000003</v>
      </c>
      <c r="C29" s="27">
        <v>42663459.630000003</v>
      </c>
      <c r="D29" s="20">
        <f t="shared" si="34"/>
        <v>100</v>
      </c>
      <c r="E29" s="27">
        <v>46151539.850000001</v>
      </c>
      <c r="F29" s="27">
        <v>46151527.07</v>
      </c>
      <c r="G29" s="20">
        <f t="shared" si="35"/>
        <v>99.999972308616265</v>
      </c>
      <c r="H29" s="27">
        <v>45050682.090000004</v>
      </c>
      <c r="I29" s="27">
        <v>45050488</v>
      </c>
      <c r="J29" s="20">
        <f t="shared" ref="J29:J57" si="39">IF(H29&gt;0,I29/H29*100,"-")</f>
        <v>99.999569174114583</v>
      </c>
      <c r="K29" s="27">
        <v>46898677.950000003</v>
      </c>
      <c r="L29" s="27">
        <v>46829882.939999998</v>
      </c>
      <c r="M29" s="20">
        <f t="shared" ref="M29:M62" si="40">IF(K29&gt;0,L29/K29*100,"-")</f>
        <v>99.853311408749406</v>
      </c>
      <c r="N29" s="1">
        <v>47133715.350000001</v>
      </c>
      <c r="O29" s="1">
        <v>46965159.359999999</v>
      </c>
      <c r="P29" s="20">
        <f t="shared" si="38"/>
        <v>99.642387643858839</v>
      </c>
      <c r="Q29" s="13">
        <f t="shared" si="23"/>
        <v>0.50115996926518847</v>
      </c>
      <c r="R29" s="13">
        <f t="shared" si="23"/>
        <v>0.28886773040480307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34"/>
        <v>-</v>
      </c>
      <c r="E30" s="27">
        <v>0</v>
      </c>
      <c r="F30" s="27">
        <v>0</v>
      </c>
      <c r="G30" s="20" t="str">
        <f t="shared" si="35"/>
        <v>-</v>
      </c>
      <c r="H30" s="27">
        <v>0</v>
      </c>
      <c r="I30" s="27">
        <v>0</v>
      </c>
      <c r="J30" s="20" t="str">
        <f t="shared" si="39"/>
        <v>-</v>
      </c>
      <c r="K30" s="27">
        <v>0</v>
      </c>
      <c r="L30" s="27">
        <v>0</v>
      </c>
      <c r="M30" s="20" t="str">
        <f t="shared" si="40"/>
        <v>-</v>
      </c>
      <c r="N30" s="27">
        <v>0</v>
      </c>
      <c r="O30" s="27">
        <v>0</v>
      </c>
      <c r="P30" s="20" t="str">
        <f t="shared" si="38"/>
        <v>-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6241790.0700000003</v>
      </c>
      <c r="C31" s="27">
        <v>3181986.37</v>
      </c>
      <c r="D31" s="20">
        <f t="shared" si="34"/>
        <v>50.978747031138141</v>
      </c>
      <c r="E31" s="27">
        <v>7320139.21</v>
      </c>
      <c r="F31" s="27">
        <v>3138974.65</v>
      </c>
      <c r="G31" s="20">
        <f t="shared" si="35"/>
        <v>42.881351842487703</v>
      </c>
      <c r="H31" s="27">
        <v>24518270.649999999</v>
      </c>
      <c r="I31" s="27">
        <v>17225086.379999999</v>
      </c>
      <c r="J31" s="20">
        <f t="shared" si="39"/>
        <v>70.254083682692354</v>
      </c>
      <c r="K31" s="27">
        <v>34694096.390000001</v>
      </c>
      <c r="L31" s="27">
        <v>28441944.129999999</v>
      </c>
      <c r="M31" s="20">
        <f t="shared" si="40"/>
        <v>81.979204214691464</v>
      </c>
      <c r="N31" s="1">
        <v>11688061.49</v>
      </c>
      <c r="O31" s="1">
        <v>2607440.92</v>
      </c>
      <c r="P31" s="20">
        <f t="shared" si="38"/>
        <v>22.308583183198156</v>
      </c>
      <c r="Q31" s="13">
        <f t="shared" si="23"/>
        <v>-66.311094087555219</v>
      </c>
      <c r="R31" s="13">
        <f t="shared" si="23"/>
        <v>-90.832409669036224</v>
      </c>
    </row>
    <row r="32" spans="1:18" x14ac:dyDescent="0.3">
      <c r="A32" s="5" t="s">
        <v>45</v>
      </c>
      <c r="B32" s="27">
        <v>7177839.9699999997</v>
      </c>
      <c r="C32" s="27">
        <v>6923020.29</v>
      </c>
      <c r="D32" s="20">
        <f t="shared" si="34"/>
        <v>96.449911379119257</v>
      </c>
      <c r="E32" s="27">
        <v>7228375.9000000004</v>
      </c>
      <c r="F32" s="27">
        <v>6481070.7599999998</v>
      </c>
      <c r="G32" s="20">
        <f t="shared" si="35"/>
        <v>89.661506950683062</v>
      </c>
      <c r="H32" s="27">
        <v>5679081.1399999997</v>
      </c>
      <c r="I32" s="27">
        <v>5328982.28</v>
      </c>
      <c r="J32" s="20">
        <f t="shared" si="39"/>
        <v>93.835290404038858</v>
      </c>
      <c r="K32" s="27">
        <v>6222995.7999999998</v>
      </c>
      <c r="L32" s="27">
        <v>4631230.05</v>
      </c>
      <c r="M32" s="20">
        <f t="shared" si="40"/>
        <v>74.421230526943305</v>
      </c>
      <c r="N32" s="1">
        <v>5680668.2400000002</v>
      </c>
      <c r="O32" s="1">
        <v>4341988.26</v>
      </c>
      <c r="P32" s="20">
        <f t="shared" si="38"/>
        <v>76.434462928607843</v>
      </c>
      <c r="Q32" s="13">
        <f t="shared" si="23"/>
        <v>-8.7148951635159335</v>
      </c>
      <c r="R32" s="13">
        <f t="shared" si="23"/>
        <v>-6.2454636646693871</v>
      </c>
    </row>
    <row r="33" spans="1:18" x14ac:dyDescent="0.3">
      <c r="A33" s="5" t="s">
        <v>46</v>
      </c>
      <c r="B33" s="27">
        <v>0</v>
      </c>
      <c r="C33" s="27">
        <v>0</v>
      </c>
      <c r="D33" s="20" t="str">
        <f t="shared" si="34"/>
        <v>-</v>
      </c>
      <c r="E33" s="27">
        <v>0</v>
      </c>
      <c r="F33" s="27">
        <v>0</v>
      </c>
      <c r="G33" s="20" t="str">
        <f t="shared" si="35"/>
        <v>-</v>
      </c>
      <c r="H33" s="27">
        <v>0</v>
      </c>
      <c r="I33" s="27">
        <v>0</v>
      </c>
      <c r="J33" s="20" t="str">
        <f t="shared" si="39"/>
        <v>-</v>
      </c>
      <c r="K33" s="27">
        <v>0</v>
      </c>
      <c r="L33" s="27">
        <v>0</v>
      </c>
      <c r="M33" s="20" t="str">
        <f t="shared" si="40"/>
        <v>-</v>
      </c>
      <c r="N33" s="27">
        <v>0</v>
      </c>
      <c r="O33" s="27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101050141.09</v>
      </c>
      <c r="C34" s="27">
        <v>50063143.210000001</v>
      </c>
      <c r="D34" s="20">
        <f t="shared" si="34"/>
        <v>49.542873141969601</v>
      </c>
      <c r="E34" s="27">
        <v>57803702.210000001</v>
      </c>
      <c r="F34" s="27">
        <v>35655329.75</v>
      </c>
      <c r="G34" s="20">
        <f t="shared" si="35"/>
        <v>61.683470758438119</v>
      </c>
      <c r="H34" s="27">
        <v>69655529.840000004</v>
      </c>
      <c r="I34" s="27">
        <v>44896448.759999998</v>
      </c>
      <c r="J34" s="20">
        <f t="shared" si="39"/>
        <v>64.454966982704661</v>
      </c>
      <c r="K34" s="27">
        <v>41406606.119999997</v>
      </c>
      <c r="L34" s="27">
        <v>29802451.640000001</v>
      </c>
      <c r="M34" s="20">
        <f t="shared" si="40"/>
        <v>71.975113231038222</v>
      </c>
      <c r="N34" s="1">
        <v>57265505.210000001</v>
      </c>
      <c r="O34" s="1">
        <v>40395152.149999999</v>
      </c>
      <c r="P34" s="20">
        <f t="shared" si="38"/>
        <v>70.540113113235904</v>
      </c>
      <c r="Q34" s="13">
        <f t="shared" si="23"/>
        <v>38.300408017115728</v>
      </c>
      <c r="R34" s="13">
        <f t="shared" si="23"/>
        <v>35.543050746143223</v>
      </c>
    </row>
    <row r="35" spans="1:18" x14ac:dyDescent="0.3">
      <c r="A35" s="5" t="s">
        <v>48</v>
      </c>
      <c r="B35" s="27">
        <v>775977460.19000006</v>
      </c>
      <c r="C35" s="27">
        <v>480418526.83999997</v>
      </c>
      <c r="D35" s="20">
        <f t="shared" si="34"/>
        <v>61.91140226191213</v>
      </c>
      <c r="E35" s="27">
        <v>816906030.13999999</v>
      </c>
      <c r="F35" s="27">
        <v>494156578.29000002</v>
      </c>
      <c r="G35" s="20">
        <f t="shared" si="35"/>
        <v>60.491238901163733</v>
      </c>
      <c r="H35" s="27">
        <v>674359014.16999996</v>
      </c>
      <c r="I35" s="27">
        <v>505764357.19</v>
      </c>
      <c r="J35" s="20">
        <f t="shared" si="39"/>
        <v>74.999272874330003</v>
      </c>
      <c r="K35" s="27">
        <v>753287696.02999997</v>
      </c>
      <c r="L35" s="27">
        <v>551215504.50999999</v>
      </c>
      <c r="M35" s="20">
        <f t="shared" si="40"/>
        <v>73.174632668903655</v>
      </c>
      <c r="N35" s="1">
        <v>903388301.40999997</v>
      </c>
      <c r="O35" s="1">
        <v>526459455.79000002</v>
      </c>
      <c r="P35" s="20">
        <f t="shared" si="38"/>
        <v>58.276098436110701</v>
      </c>
      <c r="Q35" s="13">
        <f t="shared" si="23"/>
        <v>19.926066252119185</v>
      </c>
      <c r="R35" s="13">
        <f t="shared" si="23"/>
        <v>-4.4911742353848894</v>
      </c>
    </row>
    <row r="36" spans="1:18" x14ac:dyDescent="0.3">
      <c r="A36" s="5" t="s">
        <v>49</v>
      </c>
      <c r="B36" s="27">
        <v>363472258.5</v>
      </c>
      <c r="C36" s="27">
        <v>359538258.75</v>
      </c>
      <c r="D36" s="20">
        <f t="shared" si="34"/>
        <v>98.917661621210087</v>
      </c>
      <c r="E36" s="27">
        <v>150350000</v>
      </c>
      <c r="F36" s="27">
        <v>130000000</v>
      </c>
      <c r="G36" s="20">
        <f t="shared" si="35"/>
        <v>86.464915197871633</v>
      </c>
      <c r="H36" s="27">
        <v>194260942.75999999</v>
      </c>
      <c r="I36" s="27">
        <v>193228900</v>
      </c>
      <c r="J36" s="20">
        <f t="shared" si="39"/>
        <v>99.468733783880054</v>
      </c>
      <c r="K36" s="27">
        <v>316319434.83999997</v>
      </c>
      <c r="L36" s="27">
        <v>112181087.84</v>
      </c>
      <c r="M36" s="20">
        <f t="shared" si="40"/>
        <v>35.46449426882139</v>
      </c>
      <c r="N36" s="1">
        <v>12870566</v>
      </c>
      <c r="O36" s="1">
        <v>75000</v>
      </c>
      <c r="P36" s="20">
        <f t="shared" si="38"/>
        <v>0.58272495553031622</v>
      </c>
      <c r="Q36" s="13">
        <f t="shared" si="23"/>
        <v>-95.931149154173795</v>
      </c>
      <c r="R36" s="13">
        <f t="shared" si="23"/>
        <v>-99.933143811096784</v>
      </c>
    </row>
    <row r="37" spans="1:18" x14ac:dyDescent="0.3">
      <c r="A37" s="5" t="s">
        <v>50</v>
      </c>
      <c r="B37" s="27">
        <v>0</v>
      </c>
      <c r="C37" s="27">
        <v>0</v>
      </c>
      <c r="D37" s="20" t="str">
        <f t="shared" si="34"/>
        <v>-</v>
      </c>
      <c r="E37" s="27">
        <v>0</v>
      </c>
      <c r="F37" s="27">
        <v>0</v>
      </c>
      <c r="G37" s="20" t="str">
        <f t="shared" si="35"/>
        <v>-</v>
      </c>
      <c r="H37" s="27">
        <v>20000</v>
      </c>
      <c r="I37" s="27">
        <v>0</v>
      </c>
      <c r="J37" s="20">
        <f t="shared" si="39"/>
        <v>0</v>
      </c>
      <c r="K37" s="27">
        <v>26583.4</v>
      </c>
      <c r="L37" s="27">
        <v>26583.4</v>
      </c>
      <c r="M37" s="20">
        <f t="shared" si="40"/>
        <v>100</v>
      </c>
      <c r="N37" s="1">
        <v>82030</v>
      </c>
      <c r="O37" s="27">
        <v>0</v>
      </c>
      <c r="P37" s="20">
        <f t="shared" si="38"/>
        <v>0</v>
      </c>
      <c r="Q37" s="13">
        <f t="shared" si="23"/>
        <v>208.5760286494579</v>
      </c>
      <c r="R37" s="13">
        <f t="shared" si="23"/>
        <v>-100</v>
      </c>
    </row>
    <row r="38" spans="1:18" x14ac:dyDescent="0.3">
      <c r="A38" s="5" t="s">
        <v>51</v>
      </c>
      <c r="B38" s="27">
        <v>15000000</v>
      </c>
      <c r="C38" s="27">
        <v>15000000</v>
      </c>
      <c r="D38" s="20">
        <f t="shared" si="34"/>
        <v>100</v>
      </c>
      <c r="E38" s="27">
        <v>10000000</v>
      </c>
      <c r="F38" s="27">
        <v>10000000</v>
      </c>
      <c r="G38" s="20">
        <f t="shared" si="35"/>
        <v>100</v>
      </c>
      <c r="H38" s="27">
        <v>460000</v>
      </c>
      <c r="I38" s="27">
        <v>460000</v>
      </c>
      <c r="J38" s="20">
        <f t="shared" si="39"/>
        <v>100</v>
      </c>
      <c r="K38" s="27">
        <v>1800000</v>
      </c>
      <c r="L38" s="27">
        <v>1800000</v>
      </c>
      <c r="M38" s="20">
        <f t="shared" si="40"/>
        <v>100</v>
      </c>
      <c r="N38" s="27">
        <v>0</v>
      </c>
      <c r="O38" s="27">
        <v>0</v>
      </c>
      <c r="P38" s="20" t="str">
        <f t="shared" si="38"/>
        <v>-</v>
      </c>
      <c r="Q38" s="13">
        <f t="shared" si="23"/>
        <v>-100</v>
      </c>
      <c r="R38" s="13">
        <f t="shared" si="23"/>
        <v>-100</v>
      </c>
    </row>
    <row r="39" spans="1:18" x14ac:dyDescent="0.3">
      <c r="A39" s="5" t="s">
        <v>261</v>
      </c>
      <c r="B39" s="27">
        <v>0</v>
      </c>
      <c r="C39" s="27">
        <v>0</v>
      </c>
      <c r="D39" s="20" t="str">
        <f t="shared" si="34"/>
        <v>-</v>
      </c>
      <c r="E39" s="27">
        <v>0</v>
      </c>
      <c r="F39" s="27">
        <v>0</v>
      </c>
      <c r="G39" s="20" t="str">
        <f t="shared" si="35"/>
        <v>-</v>
      </c>
      <c r="H39" s="27">
        <v>0</v>
      </c>
      <c r="I39" s="27">
        <v>0</v>
      </c>
      <c r="J39" s="20" t="str">
        <f t="shared" si="39"/>
        <v>-</v>
      </c>
      <c r="K39" s="27">
        <v>0</v>
      </c>
      <c r="L39" s="27">
        <v>0</v>
      </c>
      <c r="M39" s="20" t="str">
        <f t="shared" si="40"/>
        <v>-</v>
      </c>
      <c r="N39" s="27">
        <v>0</v>
      </c>
      <c r="O39" s="27">
        <v>0</v>
      </c>
      <c r="P39" s="20" t="str">
        <f t="shared" si="38"/>
        <v>-</v>
      </c>
      <c r="Q39" s="13" t="str">
        <f t="shared" si="23"/>
        <v>-</v>
      </c>
      <c r="R39" s="13" t="str">
        <f t="shared" si="23"/>
        <v>-</v>
      </c>
    </row>
    <row r="40" spans="1:18" x14ac:dyDescent="0.3">
      <c r="A40" s="5" t="s">
        <v>52</v>
      </c>
      <c r="B40" s="27">
        <v>34128.5</v>
      </c>
      <c r="C40" s="27">
        <v>0</v>
      </c>
      <c r="D40" s="20">
        <f t="shared" si="34"/>
        <v>0</v>
      </c>
      <c r="E40" s="27">
        <v>0</v>
      </c>
      <c r="F40" s="27">
        <v>0</v>
      </c>
      <c r="G40" s="20" t="str">
        <f t="shared" si="35"/>
        <v>-</v>
      </c>
      <c r="H40" s="27">
        <v>100000</v>
      </c>
      <c r="I40" s="27">
        <v>100000</v>
      </c>
      <c r="J40" s="20">
        <f t="shared" si="39"/>
        <v>100</v>
      </c>
      <c r="K40" s="27">
        <v>297410.13</v>
      </c>
      <c r="L40" s="27">
        <v>293130.2</v>
      </c>
      <c r="M40" s="20">
        <f t="shared" si="40"/>
        <v>98.560933348168064</v>
      </c>
      <c r="N40" s="1">
        <v>50000</v>
      </c>
      <c r="O40" s="1">
        <v>50000</v>
      </c>
      <c r="P40" s="20">
        <f t="shared" si="38"/>
        <v>100</v>
      </c>
      <c r="Q40" s="13">
        <f t="shared" si="23"/>
        <v>-83.18819873418569</v>
      </c>
      <c r="R40" s="13">
        <f t="shared" si="23"/>
        <v>-82.942733297353868</v>
      </c>
    </row>
    <row r="41" spans="1:18" x14ac:dyDescent="0.3">
      <c r="A41" s="5" t="s">
        <v>53</v>
      </c>
      <c r="B41" s="27">
        <v>187117671.78999999</v>
      </c>
      <c r="C41" s="27">
        <v>187117671.78999999</v>
      </c>
      <c r="D41" s="20">
        <f t="shared" si="34"/>
        <v>100</v>
      </c>
      <c r="E41" s="27">
        <v>69911094.780000001</v>
      </c>
      <c r="F41" s="27">
        <v>69911094.780000001</v>
      </c>
      <c r="G41" s="20">
        <f t="shared" si="35"/>
        <v>100</v>
      </c>
      <c r="H41" s="27">
        <v>83449170.140000001</v>
      </c>
      <c r="I41" s="27">
        <v>82600594.969999999</v>
      </c>
      <c r="J41" s="20">
        <f t="shared" si="39"/>
        <v>98.983123297000589</v>
      </c>
      <c r="K41" s="27">
        <v>180915593.66</v>
      </c>
      <c r="L41" s="27">
        <v>180127597.90000001</v>
      </c>
      <c r="M41" s="20">
        <f t="shared" si="40"/>
        <v>99.564440110408114</v>
      </c>
      <c r="N41" s="1">
        <v>189861613.91</v>
      </c>
      <c r="O41" s="1">
        <v>189571613.91</v>
      </c>
      <c r="P41" s="20">
        <f t="shared" si="38"/>
        <v>99.847257171142829</v>
      </c>
      <c r="Q41" s="13">
        <f t="shared" si="23"/>
        <v>4.9448585768745374</v>
      </c>
      <c r="R41" s="13">
        <f t="shared" si="23"/>
        <v>5.2429589469365823</v>
      </c>
    </row>
    <row r="42" spans="1:18" x14ac:dyDescent="0.3">
      <c r="A42" s="5" t="s">
        <v>54</v>
      </c>
      <c r="B42" s="27">
        <v>26509348</v>
      </c>
      <c r="C42" s="27">
        <v>26509348</v>
      </c>
      <c r="D42" s="20">
        <f t="shared" si="34"/>
        <v>100</v>
      </c>
      <c r="E42" s="27">
        <v>27631304</v>
      </c>
      <c r="F42" s="27">
        <v>27631304</v>
      </c>
      <c r="G42" s="20">
        <f t="shared" si="35"/>
        <v>100</v>
      </c>
      <c r="H42" s="27">
        <v>28809491</v>
      </c>
      <c r="I42" s="27">
        <v>28809491</v>
      </c>
      <c r="J42" s="20">
        <f t="shared" si="39"/>
        <v>100</v>
      </c>
      <c r="K42" s="27">
        <v>30025068</v>
      </c>
      <c r="L42" s="27">
        <v>30025068</v>
      </c>
      <c r="M42" s="20">
        <f t="shared" si="40"/>
        <v>100</v>
      </c>
      <c r="N42" s="27">
        <v>31299252</v>
      </c>
      <c r="O42" s="27">
        <v>31299252</v>
      </c>
      <c r="P42" s="20">
        <f t="shared" si="38"/>
        <v>100</v>
      </c>
      <c r="Q42" s="13">
        <f t="shared" si="23"/>
        <v>4.2437339359231459</v>
      </c>
      <c r="R42" s="13">
        <f t="shared" si="23"/>
        <v>4.2437339359231459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34"/>
        <v>-</v>
      </c>
      <c r="E43" s="27">
        <v>0</v>
      </c>
      <c r="F43" s="27">
        <v>0</v>
      </c>
      <c r="G43" s="20" t="str">
        <f t="shared" si="35"/>
        <v>-</v>
      </c>
      <c r="H43" s="27">
        <v>0</v>
      </c>
      <c r="I43" s="27">
        <v>0</v>
      </c>
      <c r="J43" s="20" t="str">
        <f t="shared" si="39"/>
        <v>-</v>
      </c>
      <c r="K43" s="27">
        <v>0</v>
      </c>
      <c r="L43" s="27">
        <v>0</v>
      </c>
      <c r="M43" s="20" t="str">
        <f t="shared" si="40"/>
        <v>-</v>
      </c>
      <c r="N43" s="27">
        <v>0</v>
      </c>
      <c r="O43" s="27">
        <v>0</v>
      </c>
      <c r="P43" s="20" t="str">
        <f t="shared" si="38"/>
        <v>-</v>
      </c>
      <c r="Q43" s="13" t="str">
        <f t="shared" si="23"/>
        <v>-</v>
      </c>
      <c r="R43" s="13" t="str">
        <f t="shared" si="23"/>
        <v>-</v>
      </c>
    </row>
    <row r="44" spans="1:18" x14ac:dyDescent="0.3">
      <c r="A44" s="5" t="s">
        <v>56</v>
      </c>
      <c r="B44" s="27">
        <v>149918779.05000001</v>
      </c>
      <c r="C44" s="27">
        <v>149918779.05000001</v>
      </c>
      <c r="D44" s="20">
        <f t="shared" si="34"/>
        <v>100</v>
      </c>
      <c r="E44" s="27">
        <v>106977267.94</v>
      </c>
      <c r="F44" s="27">
        <v>106977267.94</v>
      </c>
      <c r="G44" s="20">
        <f t="shared" si="35"/>
        <v>100</v>
      </c>
      <c r="H44" s="27">
        <v>54831260.530000001</v>
      </c>
      <c r="I44" s="27">
        <v>54831260.530000001</v>
      </c>
      <c r="J44" s="20">
        <f t="shared" si="39"/>
        <v>100</v>
      </c>
      <c r="K44" s="27">
        <v>45069396.93</v>
      </c>
      <c r="L44" s="27">
        <v>45069396.93</v>
      </c>
      <c r="M44" s="20">
        <f t="shared" si="40"/>
        <v>100</v>
      </c>
      <c r="N44" s="27">
        <v>24199988.5</v>
      </c>
      <c r="O44" s="27">
        <v>24199988.5</v>
      </c>
      <c r="P44" s="20">
        <f t="shared" si="38"/>
        <v>100</v>
      </c>
      <c r="Q44" s="13">
        <f t="shared" si="23"/>
        <v>-46.305053654064942</v>
      </c>
      <c r="R44" s="13">
        <f t="shared" si="23"/>
        <v>-46.305053654064942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27">
        <v>0</v>
      </c>
      <c r="F45" s="27">
        <v>0</v>
      </c>
      <c r="G45" s="20" t="str">
        <f t="shared" si="35"/>
        <v>-</v>
      </c>
      <c r="H45" s="27">
        <v>0</v>
      </c>
      <c r="I45" s="27">
        <v>0</v>
      </c>
      <c r="J45" s="20" t="str">
        <f t="shared" si="39"/>
        <v>-</v>
      </c>
      <c r="K45" s="27">
        <v>0</v>
      </c>
      <c r="L45" s="27">
        <v>0</v>
      </c>
      <c r="M45" s="20" t="str">
        <f t="shared" si="40"/>
        <v>-</v>
      </c>
      <c r="N45" s="27">
        <v>0</v>
      </c>
      <c r="O45" s="27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27">
        <v>0</v>
      </c>
      <c r="F46" s="27">
        <v>0</v>
      </c>
      <c r="G46" s="20" t="str">
        <f t="shared" si="35"/>
        <v>-</v>
      </c>
      <c r="H46" s="27">
        <v>0</v>
      </c>
      <c r="I46" s="27">
        <v>0</v>
      </c>
      <c r="J46" s="20" t="str">
        <f t="shared" si="39"/>
        <v>-</v>
      </c>
      <c r="K46" s="27">
        <v>0</v>
      </c>
      <c r="L46" s="27">
        <v>0</v>
      </c>
      <c r="M46" s="20" t="str">
        <f t="shared" si="40"/>
        <v>-</v>
      </c>
      <c r="N46" s="27">
        <v>0</v>
      </c>
      <c r="O46" s="27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27">
        <v>0</v>
      </c>
      <c r="F47" s="27">
        <v>0</v>
      </c>
      <c r="G47" s="20" t="str">
        <f t="shared" si="35"/>
        <v>-</v>
      </c>
      <c r="H47" s="27">
        <v>0</v>
      </c>
      <c r="I47" s="27">
        <v>0</v>
      </c>
      <c r="J47" s="20" t="str">
        <f t="shared" si="39"/>
        <v>-</v>
      </c>
      <c r="K47" s="27">
        <v>0</v>
      </c>
      <c r="L47" s="27">
        <v>0</v>
      </c>
      <c r="M47" s="20" t="str">
        <f t="shared" si="40"/>
        <v>-</v>
      </c>
      <c r="N47" s="27">
        <v>0</v>
      </c>
      <c r="O47" s="27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125914881.68000001</v>
      </c>
      <c r="C48" s="27">
        <v>0</v>
      </c>
      <c r="D48" s="20">
        <f t="shared" si="34"/>
        <v>0</v>
      </c>
      <c r="E48" s="27">
        <v>131307773.16</v>
      </c>
      <c r="F48" s="27">
        <v>123048096.43000001</v>
      </c>
      <c r="G48" s="20">
        <f t="shared" si="35"/>
        <v>93.709681817590891</v>
      </c>
      <c r="H48" s="27">
        <v>132093938.44</v>
      </c>
      <c r="I48" s="27">
        <v>128849665.87</v>
      </c>
      <c r="J48" s="20">
        <f t="shared" si="39"/>
        <v>97.543965598789669</v>
      </c>
      <c r="K48" s="27">
        <v>153037883.00999999</v>
      </c>
      <c r="L48" s="27">
        <v>146196833.53999999</v>
      </c>
      <c r="M48" s="20">
        <f t="shared" si="40"/>
        <v>95.529832656171166</v>
      </c>
      <c r="N48" s="27">
        <v>124187574.66</v>
      </c>
      <c r="O48" s="27">
        <v>119538626.51000001</v>
      </c>
      <c r="P48" s="20">
        <f t="shared" si="38"/>
        <v>96.256511037655855</v>
      </c>
      <c r="Q48" s="13">
        <f t="shared" si="23"/>
        <v>-18.851742968840483</v>
      </c>
      <c r="R48" s="13">
        <f t="shared" si="23"/>
        <v>-18.23446266550377</v>
      </c>
    </row>
    <row r="49" spans="1:18" x14ac:dyDescent="0.3">
      <c r="A49" s="5" t="s">
        <v>61</v>
      </c>
      <c r="B49" s="27">
        <v>10296.44</v>
      </c>
      <c r="C49" s="27">
        <v>0</v>
      </c>
      <c r="D49" s="20">
        <f t="shared" si="34"/>
        <v>0</v>
      </c>
      <c r="E49" s="27">
        <v>21184435</v>
      </c>
      <c r="F49" s="27">
        <v>21072272.73</v>
      </c>
      <c r="G49" s="20">
        <f t="shared" si="35"/>
        <v>99.470543963055903</v>
      </c>
      <c r="H49" s="27">
        <v>17060278.899999999</v>
      </c>
      <c r="I49" s="27">
        <v>16855672.800000001</v>
      </c>
      <c r="J49" s="20">
        <f t="shared" si="39"/>
        <v>98.800687250194969</v>
      </c>
      <c r="K49" s="27">
        <v>8516218.5199999996</v>
      </c>
      <c r="L49" s="27">
        <v>8440895.1199999992</v>
      </c>
      <c r="M49" s="20">
        <f t="shared" si="40"/>
        <v>99.115529975855992</v>
      </c>
      <c r="N49" s="27">
        <v>39040659.25</v>
      </c>
      <c r="O49" s="27">
        <v>38969599.960000001</v>
      </c>
      <c r="P49" s="20">
        <f t="shared" si="38"/>
        <v>99.817986449601264</v>
      </c>
      <c r="Q49" s="13">
        <f t="shared" si="23"/>
        <v>358.4271664508675</v>
      </c>
      <c r="R49" s="13">
        <f t="shared" si="23"/>
        <v>361.67615408068247</v>
      </c>
    </row>
    <row r="50" spans="1:18" x14ac:dyDescent="0.3">
      <c r="A50" s="5" t="s">
        <v>62</v>
      </c>
      <c r="B50" s="27">
        <f t="shared" ref="B50:C50" si="41">SUM(B23:B32)</f>
        <v>6403132389.71</v>
      </c>
      <c r="C50" s="27">
        <f t="shared" si="41"/>
        <v>5681050772.2600002</v>
      </c>
      <c r="D50" s="20">
        <f t="shared" si="34"/>
        <v>88.72299409878822</v>
      </c>
      <c r="E50" s="27">
        <f t="shared" ref="E50:F50" si="42">SUM(E23:E32)</f>
        <v>6565698644.3100004</v>
      </c>
      <c r="F50" s="27">
        <f t="shared" si="42"/>
        <v>5915563562.9899998</v>
      </c>
      <c r="G50" s="20">
        <f t="shared" si="35"/>
        <v>90.098006068502329</v>
      </c>
      <c r="H50" s="27">
        <f t="shared" ref="H50:I50" si="43">SUM(H23:H32)</f>
        <v>6868429230.6999998</v>
      </c>
      <c r="I50" s="27">
        <f t="shared" si="43"/>
        <v>6495942940.4399996</v>
      </c>
      <c r="J50" s="20">
        <f t="shared" si="39"/>
        <v>94.576834415136886</v>
      </c>
      <c r="K50" s="27">
        <f t="shared" ref="K50:L50" si="44">SUM(K23:K32)</f>
        <v>6839512302.4300003</v>
      </c>
      <c r="L50" s="27">
        <f t="shared" si="44"/>
        <v>6381144409.4700003</v>
      </c>
      <c r="M50" s="20">
        <f t="shared" si="40"/>
        <v>93.298237174057761</v>
      </c>
      <c r="N50" s="27">
        <f t="shared" ref="N50:O50" si="45">SUM(N23:N32)</f>
        <v>6589255294.1900005</v>
      </c>
      <c r="O50" s="27">
        <f t="shared" si="45"/>
        <v>5975319921.7700005</v>
      </c>
      <c r="P50" s="20">
        <f t="shared" si="38"/>
        <v>90.682780602516175</v>
      </c>
      <c r="Q50" s="13">
        <f t="shared" si="23"/>
        <v>-3.6589890795442557</v>
      </c>
      <c r="R50" s="13">
        <f t="shared" si="23"/>
        <v>-6.3597446109781117</v>
      </c>
    </row>
    <row r="51" spans="1:18" x14ac:dyDescent="0.3">
      <c r="A51" s="5" t="s">
        <v>63</v>
      </c>
      <c r="B51" s="27">
        <f t="shared" ref="B51:C51" si="46">SUM(B33:B37)</f>
        <v>1240499859.7800002</v>
      </c>
      <c r="C51" s="27">
        <f t="shared" si="46"/>
        <v>890019928.79999995</v>
      </c>
      <c r="D51" s="20">
        <f t="shared" si="34"/>
        <v>71.746878629864824</v>
      </c>
      <c r="E51" s="27">
        <f t="shared" ref="E51:F51" si="47">SUM(E33:E37)</f>
        <v>1025059732.35</v>
      </c>
      <c r="F51" s="27">
        <f t="shared" si="47"/>
        <v>659811908.03999996</v>
      </c>
      <c r="G51" s="20">
        <f t="shared" si="35"/>
        <v>64.368142383990502</v>
      </c>
      <c r="H51" s="27">
        <f t="shared" ref="H51:I51" si="48">SUM(H33:H37)</f>
        <v>938295486.76999998</v>
      </c>
      <c r="I51" s="27">
        <f t="shared" si="48"/>
        <v>743889705.95000005</v>
      </c>
      <c r="J51" s="20">
        <f t="shared" si="39"/>
        <v>79.280963879595674</v>
      </c>
      <c r="K51" s="27">
        <f t="shared" ref="K51:L51" si="49">SUM(K33:K37)</f>
        <v>1111040320.3900001</v>
      </c>
      <c r="L51" s="27">
        <f t="shared" si="49"/>
        <v>693225627.38999999</v>
      </c>
      <c r="M51" s="20">
        <f t="shared" si="40"/>
        <v>62.394281707675759</v>
      </c>
      <c r="N51" s="27">
        <f t="shared" ref="N51:O51" si="50">SUM(N33:N37)</f>
        <v>973606402.62</v>
      </c>
      <c r="O51" s="27">
        <f t="shared" si="50"/>
        <v>566929607.94000006</v>
      </c>
      <c r="P51" s="20">
        <f t="shared" si="38"/>
        <v>58.229856173334291</v>
      </c>
      <c r="Q51" s="13">
        <f t="shared" si="23"/>
        <v>-12.369840702249007</v>
      </c>
      <c r="R51" s="13">
        <f t="shared" si="23"/>
        <v>-18.21860220683206</v>
      </c>
    </row>
    <row r="52" spans="1:18" x14ac:dyDescent="0.3">
      <c r="A52" s="5" t="s">
        <v>64</v>
      </c>
      <c r="B52" s="27">
        <f t="shared" ref="B52:C52" si="51">SUM(B38:B41)</f>
        <v>202151800.28999999</v>
      </c>
      <c r="C52" s="27">
        <f t="shared" si="51"/>
        <v>202117671.78999999</v>
      </c>
      <c r="D52" s="20">
        <f t="shared" si="34"/>
        <v>99.9831173900252</v>
      </c>
      <c r="E52" s="27">
        <f t="shared" ref="E52:F52" si="52">SUM(E38:E41)</f>
        <v>79911094.780000001</v>
      </c>
      <c r="F52" s="27">
        <f t="shared" si="52"/>
        <v>79911094.780000001</v>
      </c>
      <c r="G52" s="20">
        <f t="shared" si="35"/>
        <v>100</v>
      </c>
      <c r="H52" s="27">
        <f t="shared" ref="H52:I52" si="53">SUM(H38:H41)</f>
        <v>84009170.140000001</v>
      </c>
      <c r="I52" s="27">
        <f t="shared" si="53"/>
        <v>83160594.969999999</v>
      </c>
      <c r="J52" s="20">
        <f t="shared" si="39"/>
        <v>98.989901735029804</v>
      </c>
      <c r="K52" s="27">
        <f t="shared" ref="K52:L52" si="54">SUM(K38:K41)</f>
        <v>183013003.78999999</v>
      </c>
      <c r="L52" s="27">
        <f t="shared" si="54"/>
        <v>182220728.09999999</v>
      </c>
      <c r="M52" s="20">
        <f t="shared" si="40"/>
        <v>99.567093226386731</v>
      </c>
      <c r="N52" s="27">
        <f>SUM(N38:N41)</f>
        <v>189911613.91</v>
      </c>
      <c r="O52" s="27">
        <f>SUM(O38:O41)</f>
        <v>189621613.91</v>
      </c>
      <c r="P52" s="20">
        <f t="shared" si="38"/>
        <v>99.847297385331345</v>
      </c>
      <c r="Q52" s="13">
        <f t="shared" si="23"/>
        <v>3.7694644517806353</v>
      </c>
      <c r="R52" s="13">
        <f t="shared" si="23"/>
        <v>4.0614950270303467</v>
      </c>
    </row>
    <row r="53" spans="1:18" x14ac:dyDescent="0.3">
      <c r="A53" s="5" t="s">
        <v>65</v>
      </c>
      <c r="B53" s="27">
        <f t="shared" ref="B53:C53" si="55">SUM(B42:B46)</f>
        <v>176428127.05000001</v>
      </c>
      <c r="C53" s="27">
        <f t="shared" si="55"/>
        <v>176428127.05000001</v>
      </c>
      <c r="D53" s="20">
        <f t="shared" si="34"/>
        <v>100</v>
      </c>
      <c r="E53" s="27">
        <f t="shared" ref="E53:F53" si="56">SUM(E42:E46)</f>
        <v>134608571.94</v>
      </c>
      <c r="F53" s="27">
        <f t="shared" si="56"/>
        <v>134608571.94</v>
      </c>
      <c r="G53" s="20">
        <f t="shared" si="35"/>
        <v>100</v>
      </c>
      <c r="H53" s="27">
        <f t="shared" ref="H53:I53" si="57">SUM(H42:H46)</f>
        <v>83640751.530000001</v>
      </c>
      <c r="I53" s="27">
        <f t="shared" si="57"/>
        <v>83640751.530000001</v>
      </c>
      <c r="J53" s="20">
        <f t="shared" si="39"/>
        <v>100</v>
      </c>
      <c r="K53" s="27">
        <f t="shared" ref="K53:L53" si="58">SUM(K42:K46)</f>
        <v>75094464.930000007</v>
      </c>
      <c r="L53" s="27">
        <f t="shared" si="58"/>
        <v>75094464.930000007</v>
      </c>
      <c r="M53" s="20">
        <f t="shared" si="40"/>
        <v>100</v>
      </c>
      <c r="N53" s="27">
        <f>SUM(N42:N46)</f>
        <v>55499240.5</v>
      </c>
      <c r="O53" s="27">
        <f>SUM(O42:O46)</f>
        <v>55499240.5</v>
      </c>
      <c r="P53" s="20">
        <f t="shared" si="38"/>
        <v>100</v>
      </c>
      <c r="Q53" s="13">
        <f t="shared" si="23"/>
        <v>-26.094099542843637</v>
      </c>
      <c r="R53" s="13">
        <f t="shared" si="23"/>
        <v>-26.094099542843637</v>
      </c>
    </row>
    <row r="54" spans="1:18" x14ac:dyDescent="0.3">
      <c r="A54" s="5" t="s">
        <v>66</v>
      </c>
      <c r="B54" s="27">
        <f t="shared" ref="B54:C54" si="59">B47</f>
        <v>0</v>
      </c>
      <c r="C54" s="27">
        <f t="shared" si="59"/>
        <v>0</v>
      </c>
      <c r="D54" s="20" t="str">
        <f t="shared" si="34"/>
        <v>-</v>
      </c>
      <c r="E54" s="27">
        <f t="shared" ref="E54:F54" si="60">E47</f>
        <v>0</v>
      </c>
      <c r="F54" s="27">
        <f t="shared" si="60"/>
        <v>0</v>
      </c>
      <c r="G54" s="20" t="str">
        <f t="shared" si="35"/>
        <v>-</v>
      </c>
      <c r="H54" s="27">
        <f t="shared" ref="H54:I54" si="61">H47</f>
        <v>0</v>
      </c>
      <c r="I54" s="27">
        <f t="shared" si="61"/>
        <v>0</v>
      </c>
      <c r="J54" s="20" t="str">
        <f t="shared" si="39"/>
        <v>-</v>
      </c>
      <c r="K54" s="27">
        <f t="shared" ref="K54:L54" si="62">K47</f>
        <v>0</v>
      </c>
      <c r="L54" s="27">
        <f t="shared" si="62"/>
        <v>0</v>
      </c>
      <c r="M54" s="20" t="str">
        <f t="shared" si="40"/>
        <v>-</v>
      </c>
      <c r="N54" s="27">
        <f t="shared" ref="N54:O54" si="63">N47</f>
        <v>0</v>
      </c>
      <c r="O54" s="27">
        <f t="shared" si="63"/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125925178.12</v>
      </c>
      <c r="C55" s="29">
        <v>124910871.40000001</v>
      </c>
      <c r="D55" s="20">
        <f t="shared" si="34"/>
        <v>99.194516350786159</v>
      </c>
      <c r="E55" s="27">
        <f>SUM(E48:E49)</f>
        <v>152492208.16</v>
      </c>
      <c r="F55" s="27">
        <f>SUM(F48:F49)</f>
        <v>144120369.16</v>
      </c>
      <c r="G55" s="20">
        <f t="shared" si="35"/>
        <v>94.509989001394757</v>
      </c>
      <c r="H55" s="27">
        <f>SUM(H48:H49)</f>
        <v>149154217.34</v>
      </c>
      <c r="I55" s="27">
        <f>SUM(I48:I49)</f>
        <v>145705338.67000002</v>
      </c>
      <c r="J55" s="20">
        <f t="shared" si="39"/>
        <v>97.687709585751634</v>
      </c>
      <c r="K55" s="27">
        <f>SUM(K48:K49)</f>
        <v>161554101.53</v>
      </c>
      <c r="L55" s="27">
        <f>SUM(L48:L49)</f>
        <v>154637728.66</v>
      </c>
      <c r="M55" s="20">
        <f t="shared" si="40"/>
        <v>95.718850338989597</v>
      </c>
      <c r="N55" s="27">
        <f>SUM(N48:N49)</f>
        <v>163228233.91</v>
      </c>
      <c r="O55" s="27">
        <f>SUM(O48:O49)</f>
        <v>158508226.47</v>
      </c>
      <c r="P55" s="20">
        <f t="shared" si="38"/>
        <v>97.108338841304558</v>
      </c>
      <c r="Q55" s="13">
        <f t="shared" si="23"/>
        <v>1.0362673334475119</v>
      </c>
      <c r="R55" s="13">
        <f t="shared" si="23"/>
        <v>2.5029453313492525</v>
      </c>
    </row>
    <row r="56" spans="1:18" x14ac:dyDescent="0.3">
      <c r="A56" s="5" t="s">
        <v>68</v>
      </c>
      <c r="B56" s="19">
        <f t="shared" ref="B56:C56" si="64">SUM(B50:B55)</f>
        <v>8148137354.9499998</v>
      </c>
      <c r="C56" s="19">
        <f t="shared" si="64"/>
        <v>7074527371.3000002</v>
      </c>
      <c r="D56" s="20">
        <f t="shared" si="34"/>
        <v>86.823860020010827</v>
      </c>
      <c r="E56" s="19">
        <f t="shared" ref="E56:F56" si="65">SUM(E50:E55)</f>
        <v>7957770251.54</v>
      </c>
      <c r="F56" s="19">
        <f t="shared" si="65"/>
        <v>6934015506.9099989</v>
      </c>
      <c r="G56" s="20">
        <f t="shared" si="35"/>
        <v>87.135155800308723</v>
      </c>
      <c r="H56" s="24">
        <f t="shared" ref="H56:I56" si="66">SUM(H50:H55)</f>
        <v>8123528856.4799995</v>
      </c>
      <c r="I56" s="19">
        <f t="shared" si="66"/>
        <v>7552339331.5599995</v>
      </c>
      <c r="J56" s="20">
        <f t="shared" si="39"/>
        <v>92.968701964240921</v>
      </c>
      <c r="K56" s="24">
        <f t="shared" ref="K56:L56" si="67">SUM(K50:K55)</f>
        <v>8370214193.0700006</v>
      </c>
      <c r="L56" s="19">
        <f t="shared" si="67"/>
        <v>7486322958.5500011</v>
      </c>
      <c r="M56" s="20">
        <f t="shared" si="40"/>
        <v>89.440040432277058</v>
      </c>
      <c r="N56" s="24">
        <f t="shared" ref="N56:O56" si="68">SUM(N50:N55)</f>
        <v>7971500785.1300001</v>
      </c>
      <c r="O56" s="19">
        <f t="shared" si="68"/>
        <v>6945878610.5900011</v>
      </c>
      <c r="P56" s="20">
        <f t="shared" si="38"/>
        <v>87.133888558937485</v>
      </c>
      <c r="Q56" s="13">
        <f t="shared" si="23"/>
        <v>-4.7634791505109888</v>
      </c>
      <c r="R56" s="13">
        <f t="shared" si="23"/>
        <v>-7.2190894108137229</v>
      </c>
    </row>
    <row r="57" spans="1:18" x14ac:dyDescent="0.3">
      <c r="A57" s="14" t="s">
        <v>69</v>
      </c>
      <c r="B57" s="15">
        <f t="shared" ref="B57:C57" si="69">B56-B55</f>
        <v>8022212176.8299999</v>
      </c>
      <c r="C57" s="15">
        <f t="shared" si="69"/>
        <v>6949616499.9000006</v>
      </c>
      <c r="D57" s="21">
        <f t="shared" si="34"/>
        <v>86.629677035619892</v>
      </c>
      <c r="E57" s="15">
        <f t="shared" ref="E57:F57" si="70">E56-E55</f>
        <v>7805278043.3800001</v>
      </c>
      <c r="F57" s="15">
        <f t="shared" si="70"/>
        <v>6789895137.749999</v>
      </c>
      <c r="G57" s="21">
        <f t="shared" si="35"/>
        <v>86.991073220111716</v>
      </c>
      <c r="H57" s="25">
        <f t="shared" ref="H57:I57" si="71">H56-H55</f>
        <v>7974374639.1399994</v>
      </c>
      <c r="I57" s="15">
        <f t="shared" si="71"/>
        <v>7406633992.8899994</v>
      </c>
      <c r="J57" s="21">
        <f t="shared" si="39"/>
        <v>92.88043674969316</v>
      </c>
      <c r="K57" s="25">
        <f t="shared" ref="K57:L57" si="72">K56-K55</f>
        <v>8208660091.5400009</v>
      </c>
      <c r="L57" s="15">
        <f t="shared" si="72"/>
        <v>7331685229.8900013</v>
      </c>
      <c r="M57" s="21">
        <f t="shared" si="40"/>
        <v>89.316467585814323</v>
      </c>
      <c r="N57" s="25">
        <f t="shared" ref="N57:O57" si="73">N56-N55</f>
        <v>7808272551.2200003</v>
      </c>
      <c r="O57" s="15">
        <f t="shared" si="73"/>
        <v>6787370384.1200008</v>
      </c>
      <c r="P57" s="21">
        <f t="shared" si="38"/>
        <v>86.925377407061831</v>
      </c>
      <c r="Q57" s="16">
        <f t="shared" si="23"/>
        <v>-4.8776235811329087</v>
      </c>
      <c r="R57" s="16">
        <f t="shared" si="23"/>
        <v>-7.4241436818771689</v>
      </c>
    </row>
    <row r="58" spans="1:18" x14ac:dyDescent="0.3">
      <c r="A58" s="5" t="s">
        <v>70</v>
      </c>
      <c r="B58" s="19">
        <f>B14-B50</f>
        <v>946564049.21000004</v>
      </c>
      <c r="C58" s="19">
        <f>C14-C50</f>
        <v>1047584130.8899994</v>
      </c>
      <c r="D58" s="22"/>
      <c r="E58" s="19">
        <f>E14-E50</f>
        <v>945448296.92999935</v>
      </c>
      <c r="F58" s="19">
        <f>F14-F50</f>
        <v>1234909120.3800001</v>
      </c>
      <c r="G58" s="22"/>
      <c r="H58" s="19">
        <f>H14-H50</f>
        <v>927933750.77999973</v>
      </c>
      <c r="I58" s="19">
        <f>I14-I50</f>
        <v>703420543.81999969</v>
      </c>
      <c r="J58" s="22"/>
      <c r="K58" s="19">
        <f>K14-K50</f>
        <v>658633820.25</v>
      </c>
      <c r="L58" s="19">
        <f>L14-L50</f>
        <v>800313546.02999973</v>
      </c>
      <c r="M58" s="22"/>
      <c r="N58" s="19">
        <f>N14-N50</f>
        <v>1678381221.1899986</v>
      </c>
      <c r="O58" s="19">
        <f>O14-O50</f>
        <v>1346935793.499999</v>
      </c>
      <c r="P58" s="22"/>
      <c r="Q58" s="13">
        <f t="shared" si="23"/>
        <v>154.82767048812184</v>
      </c>
      <c r="R58" s="13">
        <f t="shared" si="23"/>
        <v>68.301011544981293</v>
      </c>
    </row>
    <row r="59" spans="1:18" x14ac:dyDescent="0.3">
      <c r="A59" s="5" t="s">
        <v>71</v>
      </c>
      <c r="B59" s="19">
        <f>B15-B51</f>
        <v>-341772011.62000024</v>
      </c>
      <c r="C59" s="19">
        <f>C15-C51</f>
        <v>-781920577.52999997</v>
      </c>
      <c r="D59" s="22"/>
      <c r="E59" s="19">
        <f>E15-E51</f>
        <v>-408412543.78000009</v>
      </c>
      <c r="F59" s="19">
        <f>F15-F51</f>
        <v>-542447101.01999998</v>
      </c>
      <c r="G59" s="22"/>
      <c r="H59" s="19">
        <f>H15-H51</f>
        <v>-557074268.61000001</v>
      </c>
      <c r="I59" s="19">
        <f>I15-I51</f>
        <v>-674528713.32000005</v>
      </c>
      <c r="J59" s="22"/>
      <c r="K59" s="19">
        <f>K15-K51</f>
        <v>-473758065.85000014</v>
      </c>
      <c r="L59" s="19">
        <f>L15-L51</f>
        <v>-648117509.04999995</v>
      </c>
      <c r="M59" s="22"/>
      <c r="N59" s="19">
        <f>N15-N51</f>
        <v>-621208645.23000002</v>
      </c>
      <c r="O59" s="19">
        <f>O15-O51</f>
        <v>-498776176.59000003</v>
      </c>
      <c r="P59" s="22"/>
      <c r="Q59" s="13" t="str">
        <f t="shared" si="23"/>
        <v>-</v>
      </c>
      <c r="R59" s="13" t="str">
        <f t="shared" si="23"/>
        <v>-</v>
      </c>
    </row>
    <row r="60" spans="1:18" x14ac:dyDescent="0.3">
      <c r="A60" s="5" t="s">
        <v>366</v>
      </c>
      <c r="B60" s="19">
        <f>SUM(B14:B16)-SUM(B50:B52)</f>
        <v>594303788.56000042</v>
      </c>
      <c r="C60" s="19">
        <f>SUM(C14:C16)-SUM(C50:C52)</f>
        <v>255209432.82999992</v>
      </c>
      <c r="D60" s="22"/>
      <c r="E60" s="19">
        <f>SUM(E14:E16)-SUM(E50:E52)</f>
        <v>536714634.30999851</v>
      </c>
      <c r="F60" s="19">
        <f>SUM(F14:F16)-SUM(F50:F52)</f>
        <v>692140900.52000046</v>
      </c>
      <c r="G60" s="22"/>
      <c r="H60" s="19">
        <f>SUM(H14:H16)-SUM(H50:H52)</f>
        <v>426514767.68999958</v>
      </c>
      <c r="I60" s="19">
        <f>SUM(I14:I16)-SUM(I50:I52)</f>
        <v>85355370.519999504</v>
      </c>
      <c r="J60" s="22"/>
      <c r="K60" s="19">
        <f>SUM(K14:K16)-SUM(K50:K52)</f>
        <v>184963183.84999943</v>
      </c>
      <c r="L60" s="19">
        <f>SUM(L14:L16)-SUM(L50:L52)</f>
        <v>153020910.04999924</v>
      </c>
      <c r="M60" s="22"/>
      <c r="N60" s="19">
        <f>SUM(N14:N16)-SUM(N50:N52)</f>
        <v>1048357497.1299982</v>
      </c>
      <c r="O60" s="19">
        <f>SUM(O14:O16)-SUM(O50:O52)</f>
        <v>839402112.06999874</v>
      </c>
      <c r="P60" s="22"/>
      <c r="Q60" s="13">
        <f t="shared" si="23"/>
        <v>466.79252341384347</v>
      </c>
      <c r="R60" s="13">
        <f t="shared" si="23"/>
        <v>448.55386221120114</v>
      </c>
    </row>
    <row r="61" spans="1:18" x14ac:dyDescent="0.3">
      <c r="A61" s="5" t="s">
        <v>367</v>
      </c>
      <c r="B61" s="28">
        <f>B21-B57</f>
        <v>788463061.55999947</v>
      </c>
      <c r="C61" s="28">
        <f>C21-C57</f>
        <v>449368705.82999992</v>
      </c>
      <c r="D61" s="107"/>
      <c r="E61" s="28">
        <f>E21-E57</f>
        <v>540300329.6099987</v>
      </c>
      <c r="F61" s="28">
        <f>F21-F57</f>
        <v>695726595.82000065</v>
      </c>
      <c r="G61" s="107"/>
      <c r="H61" s="28">
        <f>H21-H57</f>
        <v>521612023.54999924</v>
      </c>
      <c r="I61" s="28">
        <f>I21-I57</f>
        <v>180452626.38000011</v>
      </c>
      <c r="J61" s="107"/>
      <c r="K61" s="28">
        <f>K21-K57</f>
        <v>226845484.92999935</v>
      </c>
      <c r="L61" s="28">
        <f>L21-L57</f>
        <v>168649553.45999908</v>
      </c>
      <c r="M61" s="107"/>
      <c r="N61" s="28">
        <f>N21-N57</f>
        <v>1064991637.4099989</v>
      </c>
      <c r="O61" s="28">
        <f>O21-O57</f>
        <v>856036252.34999847</v>
      </c>
      <c r="P61" s="107"/>
    </row>
    <row r="62" spans="1:18" x14ac:dyDescent="0.3">
      <c r="A62" s="5" t="s">
        <v>368</v>
      </c>
      <c r="C62" s="6">
        <f>SUM(C14:C16)/SUM(B14:B16)*100</f>
        <v>83.273988852968486</v>
      </c>
      <c r="D62" s="107"/>
      <c r="F62" s="6">
        <f>SUM(F14:F16)/SUM(E14:E16)*100</f>
        <v>89.522159212488631</v>
      </c>
      <c r="G62" s="107"/>
      <c r="I62" s="6">
        <f>SUM(I14:I16)/SUM(H14:H16)*100</f>
        <v>89.072106881873466</v>
      </c>
      <c r="J62" s="107"/>
      <c r="L62" s="6">
        <f>SUM(L14:L16)/SUM(K14:K16)*100</f>
        <v>89.073583127979347</v>
      </c>
      <c r="M62" s="107"/>
      <c r="O62" s="6">
        <f>SUM(O14:O16)/SUM(N14:N16)*100</f>
        <v>86.026141651444931</v>
      </c>
      <c r="P62" s="107"/>
    </row>
    <row r="63" spans="1:18" x14ac:dyDescent="0.3">
      <c r="A63" s="5" t="s">
        <v>369</v>
      </c>
      <c r="C63" s="6">
        <f>SUM(C50:C52)/SUM(B50:B52)*100</f>
        <v>86.329018615289627</v>
      </c>
      <c r="D63" s="107"/>
      <c r="F63" s="6">
        <f>SUM(F50:F52)/SUM(E50:E52)*100</f>
        <v>86.762786358993182</v>
      </c>
      <c r="G63" s="107"/>
      <c r="I63" s="6">
        <f>SUM(I50:I52)/SUM(H50:H52)*100</f>
        <v>92.804970306482332</v>
      </c>
      <c r="J63" s="107"/>
      <c r="L63" s="6">
        <f>SUM(L50:L52)/SUM(K50:K52)*100</f>
        <v>89.217830138594266</v>
      </c>
      <c r="M63" s="107"/>
      <c r="O63" s="6">
        <f>SUM(O50:O52)/SUM(N50:N52)*100</f>
        <v>86.83178101327475</v>
      </c>
      <c r="P63" s="107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G1" sqref="G1:I1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6.73</v>
      </c>
      <c r="F2" s="82">
        <f>Piano_indicatori!E3</f>
        <v>5.66</v>
      </c>
      <c r="G2" s="82">
        <f>Piano_indicatori!F3</f>
        <v>7.5</v>
      </c>
      <c r="H2" s="82">
        <f>Piano_indicatori!G3</f>
        <v>12.03</v>
      </c>
      <c r="I2" s="82">
        <f>Piano_indicatori!H3</f>
        <v>4.53</v>
      </c>
    </row>
    <row r="3" spans="1:9" ht="29.25" customHeight="1" x14ac:dyDescent="0.3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86.26</v>
      </c>
      <c r="F3" s="83">
        <f>Piano_indicatori!E12</f>
        <v>94.33</v>
      </c>
      <c r="G3" s="83">
        <f>Piano_indicatori!F12</f>
        <v>92.04</v>
      </c>
      <c r="H3" s="83">
        <f>Piano_indicatori!G12</f>
        <v>90.13</v>
      </c>
      <c r="I3" s="83">
        <f>Piano_indicatori!H12</f>
        <v>92.56</v>
      </c>
    </row>
    <row r="4" spans="1:9" ht="29.25" customHeight="1" x14ac:dyDescent="0.3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3.02</v>
      </c>
      <c r="F5" s="85">
        <f>Piano_indicatori!E51</f>
        <v>2.4500000000000002</v>
      </c>
      <c r="G5" s="85">
        <f>Piano_indicatori!F51</f>
        <v>1.66</v>
      </c>
      <c r="H5" s="85">
        <f>Piano_indicatori!G51</f>
        <v>1.67</v>
      </c>
      <c r="I5" s="85">
        <f>Piano_indicatori!H51</f>
        <v>1.26</v>
      </c>
    </row>
    <row r="6" spans="1:9" ht="29.25" customHeight="1" x14ac:dyDescent="0.3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7.31</v>
      </c>
      <c r="F6" s="86">
        <f>Piano_indicatori!E62</f>
        <v>5.86</v>
      </c>
      <c r="G6" s="86">
        <f>Piano_indicatori!F62</f>
        <v>7.28</v>
      </c>
      <c r="H6" s="86">
        <f>Piano_indicatori!G62</f>
        <v>11.15</v>
      </c>
      <c r="I6" s="86">
        <f>Piano_indicatori!H62</f>
        <v>2.34</v>
      </c>
    </row>
    <row r="7" spans="1:9" ht="29.25" customHeight="1" x14ac:dyDescent="0.3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0.19</v>
      </c>
      <c r="F7" s="87">
        <f>Piano_indicatori!E65</f>
        <v>1.37</v>
      </c>
      <c r="G7" s="87">
        <f>Piano_indicatori!F65</f>
        <v>0.04</v>
      </c>
      <c r="H7" s="87">
        <f>Piano_indicatori!G65</f>
        <v>0.03</v>
      </c>
      <c r="I7" s="87">
        <f>Piano_indicatori!H65</f>
        <v>0.02</v>
      </c>
    </row>
    <row r="8" spans="1:9" ht="29.25" customHeight="1" x14ac:dyDescent="0.3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0.03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 x14ac:dyDescent="0.3">
      <c r="A9" s="76" t="s">
        <v>317</v>
      </c>
      <c r="B9" s="76"/>
      <c r="C9" s="81" t="s">
        <v>324</v>
      </c>
      <c r="D9" s="91" t="s">
        <v>332</v>
      </c>
      <c r="E9" s="88">
        <f>Piano_indicatori!D77</f>
        <v>81.143207556306706</v>
      </c>
      <c r="F9" s="88">
        <f>Piano_indicatori!E77</f>
        <v>80.475540786601044</v>
      </c>
      <c r="G9" s="88">
        <f>Piano_indicatori!F77</f>
        <v>78.536617014367778</v>
      </c>
      <c r="H9" s="88">
        <f>Piano_indicatori!G77</f>
        <v>76.088889749601293</v>
      </c>
      <c r="I9" s="88">
        <f>Piano_indicatori!H77</f>
        <v>71.816415402362907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0" ht="28.8" x14ac:dyDescent="0.3">
      <c r="A1" s="98" t="s">
        <v>361</v>
      </c>
      <c r="B1" s="98" t="s">
        <v>362</v>
      </c>
      <c r="C1" s="98" t="s">
        <v>232</v>
      </c>
      <c r="D1" s="98" t="s">
        <v>346</v>
      </c>
      <c r="E1" s="106" t="s">
        <v>347</v>
      </c>
      <c r="F1" s="106" t="s">
        <v>348</v>
      </c>
    </row>
    <row r="2" spans="1:20" x14ac:dyDescent="0.3">
      <c r="A2" s="31">
        <v>2021</v>
      </c>
      <c r="B2" s="95">
        <v>1590044</v>
      </c>
      <c r="C2" s="99">
        <f>B2/B3*100-100</f>
        <v>-1.3388383497112528</v>
      </c>
    </row>
    <row r="3" spans="1:20" x14ac:dyDescent="0.3">
      <c r="A3" s="31">
        <v>2020</v>
      </c>
      <c r="B3" s="95">
        <v>1611621</v>
      </c>
      <c r="C3" s="99">
        <f>B3/B4*100-100</f>
        <v>-0.65562977999171324</v>
      </c>
      <c r="D3">
        <v>-10547</v>
      </c>
      <c r="E3" s="1">
        <v>-11030</v>
      </c>
      <c r="F3" s="1">
        <f t="shared" ref="F3:F8" si="0">B2-B3-D3-E3</f>
        <v>0</v>
      </c>
    </row>
    <row r="4" spans="1:20" x14ac:dyDescent="0.3">
      <c r="A4" s="31">
        <v>2019</v>
      </c>
      <c r="B4" s="95">
        <v>1622257</v>
      </c>
      <c r="C4" s="99">
        <f>B4/B5*100-100</f>
        <v>-0.538490778889539</v>
      </c>
      <c r="D4">
        <v>-8145</v>
      </c>
      <c r="E4" s="1">
        <v>-2491</v>
      </c>
      <c r="F4" s="1">
        <f t="shared" si="0"/>
        <v>0</v>
      </c>
      <c r="K4" s="109"/>
      <c r="L4" s="110"/>
      <c r="M4" s="110"/>
      <c r="N4" s="110"/>
      <c r="O4" s="110"/>
      <c r="P4" s="110"/>
      <c r="Q4" s="110"/>
      <c r="R4" s="110"/>
      <c r="S4" s="110"/>
      <c r="T4" s="110"/>
    </row>
    <row r="5" spans="1:20" x14ac:dyDescent="0.3">
      <c r="A5" s="31">
        <v>2018</v>
      </c>
      <c r="B5" s="95">
        <v>1631040</v>
      </c>
      <c r="C5" s="99">
        <f t="shared" ref="C5:C7" si="1">B5/B6*100-100</f>
        <v>-0.35428041487280382</v>
      </c>
      <c r="D5" s="95">
        <v>-6839</v>
      </c>
      <c r="E5" s="95">
        <v>-1944</v>
      </c>
      <c r="F5" s="1">
        <f t="shared" si="0"/>
        <v>0</v>
      </c>
      <c r="K5" s="109"/>
      <c r="L5" s="110"/>
      <c r="M5" s="110"/>
      <c r="N5" s="110"/>
      <c r="O5" s="110"/>
      <c r="P5" s="110"/>
      <c r="Q5" s="110"/>
      <c r="R5" s="110"/>
      <c r="S5" s="110"/>
      <c r="T5" s="110"/>
    </row>
    <row r="6" spans="1:20" x14ac:dyDescent="0.3">
      <c r="A6" s="31">
        <v>2017</v>
      </c>
      <c r="B6" s="95">
        <v>1636839</v>
      </c>
      <c r="C6" s="99">
        <f t="shared" si="1"/>
        <v>-0.34417214817484876</v>
      </c>
      <c r="D6" s="95">
        <v>-6631</v>
      </c>
      <c r="E6" s="95">
        <v>832</v>
      </c>
      <c r="F6" s="1">
        <f t="shared" si="0"/>
        <v>0</v>
      </c>
      <c r="K6" s="109"/>
      <c r="L6" s="110"/>
      <c r="M6" s="110"/>
      <c r="N6" s="110"/>
      <c r="O6" s="110"/>
      <c r="P6" s="110"/>
      <c r="Q6" s="110"/>
      <c r="R6" s="110"/>
      <c r="S6" s="110"/>
      <c r="T6" s="110"/>
    </row>
    <row r="7" spans="1:20" x14ac:dyDescent="0.3">
      <c r="A7" s="31">
        <v>2016</v>
      </c>
      <c r="B7" s="95">
        <v>1642492</v>
      </c>
      <c r="C7" s="99">
        <f t="shared" si="1"/>
        <v>-0.37303429125303467</v>
      </c>
      <c r="D7" s="95">
        <v>-5616</v>
      </c>
      <c r="E7" s="95">
        <v>-37</v>
      </c>
      <c r="F7" s="1">
        <f t="shared" si="0"/>
        <v>0</v>
      </c>
      <c r="K7" s="109"/>
      <c r="L7" s="110"/>
      <c r="M7" s="110"/>
      <c r="N7" s="110"/>
      <c r="O7" s="110"/>
      <c r="P7" s="110"/>
      <c r="Q7" s="110"/>
      <c r="R7" s="110"/>
      <c r="S7" s="110"/>
      <c r="T7" s="110"/>
    </row>
    <row r="8" spans="1:20" x14ac:dyDescent="0.3">
      <c r="A8" s="100">
        <v>2015</v>
      </c>
      <c r="B8" s="101">
        <v>1648642</v>
      </c>
      <c r="C8" s="101"/>
      <c r="D8" s="101">
        <v>-5446</v>
      </c>
      <c r="E8" s="101">
        <v>-704</v>
      </c>
      <c r="F8" s="1">
        <f t="shared" si="0"/>
        <v>0</v>
      </c>
    </row>
    <row r="9" spans="1:20" x14ac:dyDescent="0.3">
      <c r="A9" t="s">
        <v>363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6" width="14.33203125" bestFit="1" customWidth="1"/>
    <col min="7" max="7" width="8.44140625" customWidth="1"/>
    <col min="8" max="8" width="6.5546875" bestFit="1" customWidth="1"/>
    <col min="9" max="9" width="15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370</v>
      </c>
      <c r="J1" s="42" t="s">
        <v>267</v>
      </c>
    </row>
    <row r="2" spans="1:10" x14ac:dyDescent="0.3">
      <c r="A2" s="55" t="s">
        <v>19</v>
      </c>
      <c r="B2" s="56">
        <f>Entrate_Uscite!B3</f>
        <v>6973199419.3199997</v>
      </c>
      <c r="C2" s="56">
        <f>Entrate_Uscite!E3</f>
        <v>6963652000.6899996</v>
      </c>
      <c r="D2" s="56">
        <f>Entrate_Uscite!H3</f>
        <v>7151335335.96</v>
      </c>
      <c r="E2" s="56">
        <f>Entrate_Uscite!K3</f>
        <v>7019293998.3299999</v>
      </c>
      <c r="F2" s="56">
        <f>Entrate_Uscite!N3</f>
        <v>6951508212.6499996</v>
      </c>
      <c r="G2" s="56">
        <f>F2/F$21*100</f>
        <v>78.342175606103396</v>
      </c>
      <c r="H2" s="57">
        <f t="shared" ref="H2:H21" si="0">IF(E2&gt;0,F2/E2*100-100,"-")</f>
        <v>-0.96570660377136619</v>
      </c>
      <c r="I2" s="56">
        <f>Entrate_Uscite!O3</f>
        <v>6782287681.8599997</v>
      </c>
      <c r="J2" s="58">
        <f>IF(F2&gt;0,I2/F2*100,"-")</f>
        <v>97.565700483787666</v>
      </c>
    </row>
    <row r="3" spans="1:10" x14ac:dyDescent="0.3">
      <c r="A3" s="55" t="s">
        <v>20</v>
      </c>
      <c r="B3" s="56">
        <f>Entrate_Uscite!B4</f>
        <v>300345906.83999997</v>
      </c>
      <c r="C3" s="56">
        <f>Entrate_Uscite!E4</f>
        <v>284756064.05000001</v>
      </c>
      <c r="D3" s="56">
        <f>Entrate_Uscite!H4</f>
        <v>357256192.69</v>
      </c>
      <c r="E3" s="56">
        <f>Entrate_Uscite!K4</f>
        <v>274309208.31</v>
      </c>
      <c r="F3" s="56">
        <f>Entrate_Uscite!N4</f>
        <v>576681849.07000005</v>
      </c>
      <c r="G3" s="56">
        <f t="shared" ref="G3:G21" si="1">F3/F$21*100</f>
        <v>6.4990947729128496</v>
      </c>
      <c r="H3" s="57">
        <f t="shared" si="0"/>
        <v>110.23058344373376</v>
      </c>
      <c r="I3" s="56">
        <f>Entrate_Uscite!O4</f>
        <v>456870179.66000003</v>
      </c>
      <c r="J3" s="58">
        <f t="shared" ref="J3:J21" si="2">IF(F3&gt;0,I3/F3*100,"-")</f>
        <v>79.223956917801857</v>
      </c>
    </row>
    <row r="4" spans="1:10" x14ac:dyDescent="0.3">
      <c r="A4" s="55" t="s">
        <v>21</v>
      </c>
      <c r="B4" s="56">
        <f>Entrate_Uscite!B5</f>
        <v>76151112.760000005</v>
      </c>
      <c r="C4" s="56">
        <f>Entrate_Uscite!E5</f>
        <v>262738876.5</v>
      </c>
      <c r="D4" s="56">
        <f>Entrate_Uscite!H5</f>
        <v>287771452.82999998</v>
      </c>
      <c r="E4" s="56">
        <f>Entrate_Uscite!K5</f>
        <v>204542916.03999999</v>
      </c>
      <c r="F4" s="56">
        <f>Entrate_Uscite!N5</f>
        <v>739446453.65999997</v>
      </c>
      <c r="G4" s="56">
        <f t="shared" si="1"/>
        <v>8.333420914115349</v>
      </c>
      <c r="H4" s="57">
        <f t="shared" si="0"/>
        <v>261.51164165245171</v>
      </c>
      <c r="I4" s="56">
        <f>Entrate_Uscite!O5</f>
        <v>83097853.75</v>
      </c>
      <c r="J4" s="58">
        <f t="shared" si="2"/>
        <v>11.237846004764082</v>
      </c>
    </row>
    <row r="5" spans="1:10" x14ac:dyDescent="0.3">
      <c r="A5" s="4" t="s">
        <v>30</v>
      </c>
      <c r="B5" s="43">
        <f>SUM(B2:B4)</f>
        <v>7349696438.9200001</v>
      </c>
      <c r="C5" s="43">
        <f>SUM(C2:C4)</f>
        <v>7511146941.2399998</v>
      </c>
      <c r="D5" s="43">
        <f>SUM(D2:D4)</f>
        <v>7796362981.4799995</v>
      </c>
      <c r="E5" s="43">
        <f>SUM(E2:E4)</f>
        <v>7498146122.6800003</v>
      </c>
      <c r="F5" s="43">
        <f>SUM(F2:F4)</f>
        <v>8267636515.3799992</v>
      </c>
      <c r="G5" s="43">
        <f t="shared" si="1"/>
        <v>93.174691293131588</v>
      </c>
      <c r="H5" s="44">
        <f t="shared" si="0"/>
        <v>10.262408602207486</v>
      </c>
      <c r="I5" s="43">
        <f>SUM(I2:I4)</f>
        <v>7322255715.2699995</v>
      </c>
      <c r="J5" s="45">
        <f>IF(F5&gt;0,I5/F5*100,"-")</f>
        <v>88.565283459773042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866260868.25999999</v>
      </c>
      <c r="C7" s="56">
        <f>Entrate_Uscite!E7</f>
        <v>608423128.53999996</v>
      </c>
      <c r="D7" s="56">
        <f>Entrate_Uscite!H7</f>
        <v>373200097.60000002</v>
      </c>
      <c r="E7" s="56">
        <f>Entrate_Uscite!K7</f>
        <v>548118972.28999996</v>
      </c>
      <c r="F7" s="56">
        <f>Entrate_Uscite!N7</f>
        <v>336710250.77999997</v>
      </c>
      <c r="G7" s="56">
        <f t="shared" si="1"/>
        <v>3.7946604949670371</v>
      </c>
      <c r="H7" s="57">
        <f t="shared" si="0"/>
        <v>-38.569860230663103</v>
      </c>
      <c r="I7" s="56">
        <f>Entrate_Uscite!O7</f>
        <v>53486850.310000002</v>
      </c>
      <c r="J7" s="58">
        <f t="shared" si="2"/>
        <v>15.885126807424491</v>
      </c>
    </row>
    <row r="8" spans="1:10" x14ac:dyDescent="0.3">
      <c r="A8" s="55" t="s">
        <v>24</v>
      </c>
      <c r="B8" s="56">
        <f>Entrate_Uscite!B8</f>
        <v>6301894.1799999997</v>
      </c>
      <c r="C8" s="56">
        <f>Entrate_Uscite!E8</f>
        <v>1249256.51</v>
      </c>
      <c r="D8" s="56">
        <f>Entrate_Uscite!H8</f>
        <v>2389254.83</v>
      </c>
      <c r="E8" s="56">
        <f>Entrate_Uscite!K8</f>
        <v>79794664.450000003</v>
      </c>
      <c r="F8" s="56">
        <f>Entrate_Uscite!N8</f>
        <v>2516152.86</v>
      </c>
      <c r="G8" s="56">
        <f t="shared" si="1"/>
        <v>2.8356564241873262E-2</v>
      </c>
      <c r="H8" s="57">
        <f t="shared" si="0"/>
        <v>-96.846715407172823</v>
      </c>
      <c r="I8" s="56">
        <f>Entrate_Uscite!O8</f>
        <v>2516152.86</v>
      </c>
      <c r="J8" s="58">
        <f t="shared" si="2"/>
        <v>100</v>
      </c>
    </row>
    <row r="9" spans="1:10" x14ac:dyDescent="0.3">
      <c r="A9" s="55" t="s">
        <v>25</v>
      </c>
      <c r="B9" s="56">
        <f>Entrate_Uscite!B9</f>
        <v>6414671.6299999999</v>
      </c>
      <c r="C9" s="56">
        <f>Entrate_Uscite!E9</f>
        <v>562170.99</v>
      </c>
      <c r="D9" s="56">
        <f>Entrate_Uscite!H9</f>
        <v>1796748.83</v>
      </c>
      <c r="E9" s="56">
        <f>Entrate_Uscite!K9</f>
        <v>3618362.05</v>
      </c>
      <c r="F9" s="56">
        <f>Entrate_Uscite!N9</f>
        <v>457247.39</v>
      </c>
      <c r="G9" s="56">
        <f t="shared" si="1"/>
        <v>5.1530911317382673E-3</v>
      </c>
      <c r="H9" s="57">
        <f t="shared" si="0"/>
        <v>-87.363138799225467</v>
      </c>
      <c r="I9" s="56">
        <f>Entrate_Uscite!O9</f>
        <v>424627.69</v>
      </c>
      <c r="J9" s="58">
        <f t="shared" si="2"/>
        <v>92.866071909125608</v>
      </c>
    </row>
    <row r="10" spans="1:10" x14ac:dyDescent="0.3">
      <c r="A10" s="55" t="s">
        <v>26</v>
      </c>
      <c r="B10" s="56">
        <f>Entrate_Uscite!B10</f>
        <v>19750414.09</v>
      </c>
      <c r="C10" s="56">
        <f>Entrate_Uscite!E10</f>
        <v>6412632.5300000003</v>
      </c>
      <c r="D10" s="56">
        <f>Entrate_Uscite!H10</f>
        <v>3835116.9</v>
      </c>
      <c r="E10" s="56">
        <f>Entrate_Uscite!K10</f>
        <v>5750255.75</v>
      </c>
      <c r="F10" s="56">
        <f>Entrate_Uscite!N10</f>
        <v>12714106.359999999</v>
      </c>
      <c r="G10" s="56">
        <f t="shared" si="1"/>
        <v>0.14328556086824926</v>
      </c>
      <c r="H10" s="57">
        <f t="shared" si="0"/>
        <v>121.10505884890421</v>
      </c>
      <c r="I10" s="56">
        <f>Entrate_Uscite!O10</f>
        <v>11725800.49</v>
      </c>
      <c r="J10" s="58">
        <f t="shared" si="2"/>
        <v>92.226698109830835</v>
      </c>
    </row>
    <row r="11" spans="1:10" x14ac:dyDescent="0.3">
      <c r="A11" s="4" t="s">
        <v>31</v>
      </c>
      <c r="B11" s="46">
        <f>SUM(B6:B10)</f>
        <v>898727848.15999997</v>
      </c>
      <c r="C11" s="46">
        <f>SUM(C6:C10)</f>
        <v>616647188.56999993</v>
      </c>
      <c r="D11" s="46">
        <f>SUM(D6:D10)</f>
        <v>381221218.15999997</v>
      </c>
      <c r="E11" s="46">
        <f>SUM(E6:E10)</f>
        <v>637282254.53999996</v>
      </c>
      <c r="F11" s="46">
        <f>SUM(F6:F10)</f>
        <v>352397757.38999999</v>
      </c>
      <c r="G11" s="46">
        <f t="shared" si="1"/>
        <v>3.9714557112088982</v>
      </c>
      <c r="H11" s="44">
        <f t="shared" si="0"/>
        <v>-44.703033094124663</v>
      </c>
      <c r="I11" s="46">
        <f>SUM(I6:I10)</f>
        <v>68153431.349999994</v>
      </c>
      <c r="J11" s="45">
        <f>IF(F11&gt;0,I11/F11*100,"-")</f>
        <v>19.339916307859564</v>
      </c>
    </row>
    <row r="12" spans="1:10" x14ac:dyDescent="0.3">
      <c r="A12" s="55" t="s">
        <v>27</v>
      </c>
      <c r="B12" s="56">
        <f>Entrate_Uscite!B11</f>
        <v>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0</v>
      </c>
      <c r="G12" s="56">
        <f t="shared" si="1"/>
        <v>0</v>
      </c>
      <c r="H12" s="57" t="str">
        <f t="shared" si="0"/>
        <v>-</v>
      </c>
      <c r="I12" s="56">
        <f>Entrate_Uscite!O11</f>
        <v>0</v>
      </c>
      <c r="J12" s="58" t="str">
        <f t="shared" si="2"/>
        <v>-</v>
      </c>
    </row>
    <row r="13" spans="1:10" x14ac:dyDescent="0.3">
      <c r="A13" s="55" t="s">
        <v>28</v>
      </c>
      <c r="B13" s="56">
        <f>Entrate_Uscite!B12</f>
        <v>4545879.47</v>
      </c>
      <c r="C13" s="56">
        <f>Entrate_Uscite!E12</f>
        <v>3379518.85</v>
      </c>
      <c r="D13" s="56">
        <f>Entrate_Uscite!H12</f>
        <v>2000848.21</v>
      </c>
      <c r="E13" s="56">
        <f>Entrate_Uscite!K12</f>
        <v>2064413.92</v>
      </c>
      <c r="F13" s="56">
        <f>Entrate_Uscite!N12</f>
        <v>1127145.3700000001</v>
      </c>
      <c r="G13" s="56">
        <f t="shared" si="1"/>
        <v>1.270271397356002E-2</v>
      </c>
      <c r="H13" s="57">
        <f t="shared" si="0"/>
        <v>-45.401193090191903</v>
      </c>
      <c r="I13" s="56">
        <f>Entrate_Uscite!O12</f>
        <v>894719.36</v>
      </c>
      <c r="J13" s="58">
        <f t="shared" si="2"/>
        <v>79.379233931467056</v>
      </c>
    </row>
    <row r="14" spans="1:10" x14ac:dyDescent="0.3">
      <c r="A14" s="55" t="s">
        <v>29</v>
      </c>
      <c r="B14" s="56">
        <f>Entrate_Uscite!B13</f>
        <v>187117671.78999999</v>
      </c>
      <c r="C14" s="56">
        <f>Entrate_Uscite!E13</f>
        <v>76210457.090000004</v>
      </c>
      <c r="D14" s="56">
        <f>Entrate_Uscite!H13</f>
        <v>137663607.44999999</v>
      </c>
      <c r="E14" s="56">
        <f>Entrate_Uscite!K13</f>
        <v>181036019.31999999</v>
      </c>
      <c r="F14" s="56">
        <f>Entrate_Uscite!N13</f>
        <v>179969389.71000001</v>
      </c>
      <c r="G14" s="56">
        <f t="shared" si="1"/>
        <v>2.0282207977151039</v>
      </c>
      <c r="H14" s="57">
        <f t="shared" si="0"/>
        <v>-0.58918087903523997</v>
      </c>
      <c r="I14" s="56">
        <f>Entrate_Uscite!O13</f>
        <v>179969389.71000001</v>
      </c>
      <c r="J14" s="58">
        <f t="shared" si="2"/>
        <v>100</v>
      </c>
    </row>
    <row r="15" spans="1:10" x14ac:dyDescent="0.3">
      <c r="A15" s="4" t="s">
        <v>32</v>
      </c>
      <c r="B15" s="43">
        <f>SUM(B12:B14)</f>
        <v>191663551.25999999</v>
      </c>
      <c r="C15" s="43">
        <f>SUM(C12:C14)</f>
        <v>79589975.939999998</v>
      </c>
      <c r="D15" s="43">
        <f>SUM(D12:D14)</f>
        <v>139664455.66</v>
      </c>
      <c r="E15" s="43">
        <f>SUM(E12:E14)</f>
        <v>183100433.23999998</v>
      </c>
      <c r="F15" s="43">
        <f>SUM(F12:F14)</f>
        <v>181096535.08000001</v>
      </c>
      <c r="G15" s="43">
        <f t="shared" si="1"/>
        <v>2.0409235116886641</v>
      </c>
      <c r="H15" s="44">
        <f t="shared" si="0"/>
        <v>-1.0944256791426312</v>
      </c>
      <c r="I15" s="43">
        <f>SUM(I12:I14)</f>
        <v>180864109.07000002</v>
      </c>
      <c r="J15" s="45">
        <f t="shared" si="2"/>
        <v>99.871656290995674</v>
      </c>
    </row>
    <row r="16" spans="1:10" x14ac:dyDescent="0.3">
      <c r="A16" s="47" t="s">
        <v>343</v>
      </c>
      <c r="B16" s="48">
        <f>B5+B11+B15</f>
        <v>8440087838.3400002</v>
      </c>
      <c r="C16" s="48">
        <f t="shared" ref="C16:F16" si="3">C5+C11+C15</f>
        <v>8207384105.749999</v>
      </c>
      <c r="D16" s="48">
        <f t="shared" si="3"/>
        <v>8317248655.2999992</v>
      </c>
      <c r="E16" s="48">
        <f t="shared" ref="E16" si="4">E5+E11+E15</f>
        <v>8318528810.46</v>
      </c>
      <c r="F16" s="48">
        <f t="shared" si="3"/>
        <v>8801130807.8499985</v>
      </c>
      <c r="G16" s="48">
        <f t="shared" si="1"/>
        <v>99.187070516029138</v>
      </c>
      <c r="H16" s="49">
        <f t="shared" si="0"/>
        <v>5.8015306358398107</v>
      </c>
      <c r="I16" s="48">
        <f t="shared" ref="I16" si="5">I5+I11+I15</f>
        <v>7571273255.6899996</v>
      </c>
      <c r="J16" s="50">
        <f t="shared" si="2"/>
        <v>86.026141651444931</v>
      </c>
    </row>
    <row r="17" spans="1:10" x14ac:dyDescent="0.3">
      <c r="A17" s="4" t="s">
        <v>33</v>
      </c>
      <c r="B17" s="43">
        <f>Entrate_Uscite!B17</f>
        <v>370587400.05000001</v>
      </c>
      <c r="C17" s="43">
        <f>Entrate_Uscite!E17</f>
        <v>138194267.24000001</v>
      </c>
      <c r="D17" s="43">
        <f>Entrate_Uscite!H17</f>
        <v>178738007.38999999</v>
      </c>
      <c r="E17" s="43">
        <f>Entrate_Uscite!K17</f>
        <v>116976766.01000001</v>
      </c>
      <c r="F17" s="43">
        <f>Entrate_Uscite!N17</f>
        <v>72133380.780000001</v>
      </c>
      <c r="G17" s="43">
        <f t="shared" si="1"/>
        <v>0.81292948397084908</v>
      </c>
      <c r="H17" s="44">
        <f t="shared" si="0"/>
        <v>-38.335292348710063</v>
      </c>
      <c r="I17" s="43">
        <f>Entrate_Uscite!O17</f>
        <v>72133380.780000001</v>
      </c>
      <c r="J17" s="45">
        <f t="shared" si="2"/>
        <v>100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125925178.12</v>
      </c>
      <c r="C19" s="43">
        <f>Entrate_Uscite!E19</f>
        <v>152492208.16</v>
      </c>
      <c r="D19" s="43">
        <f>Entrate_Uscite!H19</f>
        <v>149154217.34</v>
      </c>
      <c r="E19" s="43">
        <f>Entrate_Uscite!K19</f>
        <v>161554101.53</v>
      </c>
      <c r="F19" s="43">
        <f>Entrate_Uscite!N19</f>
        <v>163228233.91</v>
      </c>
      <c r="G19" s="43"/>
      <c r="H19" s="44">
        <f t="shared" si="0"/>
        <v>1.0362673334475119</v>
      </c>
      <c r="I19" s="43">
        <f>Entrate_Uscite!O19</f>
        <v>163096828.56999999</v>
      </c>
      <c r="J19" s="45">
        <f t="shared" si="2"/>
        <v>99.919495949412493</v>
      </c>
    </row>
    <row r="20" spans="1:10" x14ac:dyDescent="0.3">
      <c r="A20" s="47" t="s">
        <v>36</v>
      </c>
      <c r="B20" s="48">
        <f>B5+B11+B15+B17+B18+B19</f>
        <v>8936600416.5100002</v>
      </c>
      <c r="C20" s="48">
        <f>C5+C11+C15+C17+C18+C19</f>
        <v>8498070581.1499987</v>
      </c>
      <c r="D20" s="48">
        <f>D5+D11+D15+D17+D18+D19</f>
        <v>8645140880.0299988</v>
      </c>
      <c r="E20" s="48">
        <f>E5+E11+E15+E17+E18+E19</f>
        <v>8597059678</v>
      </c>
      <c r="F20" s="48">
        <f>F5+F11+F15+F17+F18+F19</f>
        <v>9036492422.539999</v>
      </c>
      <c r="G20" s="48"/>
      <c r="H20" s="49">
        <f t="shared" si="0"/>
        <v>5.1114306634920013</v>
      </c>
      <c r="I20" s="48">
        <f>I5+I11+I15+I17+I18+I19</f>
        <v>7806503465.039999</v>
      </c>
      <c r="J20" s="50">
        <f t="shared" si="2"/>
        <v>86.388646169480538</v>
      </c>
    </row>
    <row r="21" spans="1:10" x14ac:dyDescent="0.3">
      <c r="A21" s="38" t="s">
        <v>37</v>
      </c>
      <c r="B21" s="51">
        <f>B20-B19</f>
        <v>8810675238.3899994</v>
      </c>
      <c r="C21" s="51">
        <f>C20-C19</f>
        <v>8345578372.9899988</v>
      </c>
      <c r="D21" s="51">
        <f>D20-D19</f>
        <v>8495986662.6899986</v>
      </c>
      <c r="E21" s="51">
        <f>E20-E19</f>
        <v>8435505576.4700003</v>
      </c>
      <c r="F21" s="51">
        <f>F20-F19</f>
        <v>8873264188.6299992</v>
      </c>
      <c r="G21" s="51">
        <f t="shared" si="1"/>
        <v>100</v>
      </c>
      <c r="H21" s="52">
        <f t="shared" si="0"/>
        <v>5.1894768866146421</v>
      </c>
      <c r="I21" s="51">
        <f>I20-I19</f>
        <v>7643406636.4699993</v>
      </c>
      <c r="J21" s="53">
        <f t="shared" si="2"/>
        <v>86.139739266008647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6" width="14.33203125" bestFit="1" customWidth="1"/>
    <col min="7" max="7" width="8.5546875" customWidth="1"/>
    <col min="8" max="8" width="8.109375" customWidth="1"/>
    <col min="9" max="9" width="14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371</v>
      </c>
      <c r="J1" s="42" t="s">
        <v>334</v>
      </c>
    </row>
    <row r="2" spans="1:10" x14ac:dyDescent="0.3">
      <c r="A2" s="59" t="s">
        <v>268</v>
      </c>
      <c r="B2" s="56">
        <f>Entrate_Uscite!B23</f>
        <v>231570871.44</v>
      </c>
      <c r="C2" s="56">
        <f>Entrate_Uscite!E23</f>
        <v>223766676.87</v>
      </c>
      <c r="D2" s="56">
        <f>Entrate_Uscite!H23</f>
        <v>244422914.02000001</v>
      </c>
      <c r="E2" s="56">
        <f>Entrate_Uscite!K23</f>
        <v>244880714.41</v>
      </c>
      <c r="F2" s="56">
        <f>Entrate_Uscite!N23</f>
        <v>219872966.18000001</v>
      </c>
      <c r="G2" s="56">
        <f>F2/F$31*100</f>
        <v>2.8159128176112587</v>
      </c>
      <c r="H2" s="57">
        <f>IF(E2&gt;0,F2/E2*100-100,"-")</f>
        <v>-10.212216298965018</v>
      </c>
      <c r="I2" s="56">
        <f>Entrate_Uscite!O23</f>
        <v>215304010.47999999</v>
      </c>
      <c r="J2" s="58">
        <f>IF(F2&gt;0,I2/F2*100,"-")</f>
        <v>97.922002063564463</v>
      </c>
    </row>
    <row r="3" spans="1:10" x14ac:dyDescent="0.3">
      <c r="A3" s="59" t="s">
        <v>269</v>
      </c>
      <c r="B3" s="56">
        <f>Entrate_Uscite!B24</f>
        <v>26788544.690000001</v>
      </c>
      <c r="C3" s="56">
        <f>Entrate_Uscite!E24</f>
        <v>24125539.809999999</v>
      </c>
      <c r="D3" s="56">
        <f>Entrate_Uscite!H24</f>
        <v>25635628.75</v>
      </c>
      <c r="E3" s="56">
        <f>Entrate_Uscite!K24</f>
        <v>54541520.399999999</v>
      </c>
      <c r="F3" s="56">
        <f>Entrate_Uscite!N24</f>
        <v>24013933.949999999</v>
      </c>
      <c r="G3" s="56">
        <f t="shared" ref="G3:G31" si="0">F3/F$31*100</f>
        <v>0.30754642367318952</v>
      </c>
      <c r="H3" s="57">
        <f t="shared" ref="H3:H31" si="1">IF(E3&gt;0,F3/E3*100-100,"-")</f>
        <v>-55.971278809455413</v>
      </c>
      <c r="I3" s="56">
        <f>Entrate_Uscite!O24</f>
        <v>23131163.379999999</v>
      </c>
      <c r="J3" s="58">
        <f>IF(F3&gt;0,I3/F3*100,"-")</f>
        <v>96.323923552725518</v>
      </c>
    </row>
    <row r="4" spans="1:10" x14ac:dyDescent="0.3">
      <c r="A4" s="59" t="s">
        <v>270</v>
      </c>
      <c r="B4" s="56">
        <f>Entrate_Uscite!B25</f>
        <v>489677967.69</v>
      </c>
      <c r="C4" s="56">
        <f>Entrate_Uscite!E25</f>
        <v>483824087.51999998</v>
      </c>
      <c r="D4" s="56">
        <f>Entrate_Uscite!H25</f>
        <v>488927305.85000002</v>
      </c>
      <c r="E4" s="56">
        <f>Entrate_Uscite!K25</f>
        <v>407598050.24000001</v>
      </c>
      <c r="F4" s="56">
        <f>Entrate_Uscite!N25</f>
        <v>423846993.22000003</v>
      </c>
      <c r="G4" s="56">
        <f t="shared" si="0"/>
        <v>5.4282079404755601</v>
      </c>
      <c r="H4" s="57">
        <f t="shared" si="1"/>
        <v>3.9865114591280246</v>
      </c>
      <c r="I4" s="56">
        <f>Entrate_Uscite!O25</f>
        <v>318484153.80000001</v>
      </c>
      <c r="J4" s="58">
        <f t="shared" ref="J4:J9" si="2">IF(F4&gt;0,I4/F4*100,"-")</f>
        <v>75.141303086863971</v>
      </c>
    </row>
    <row r="5" spans="1:10" x14ac:dyDescent="0.3">
      <c r="A5" s="59" t="s">
        <v>271</v>
      </c>
      <c r="B5" s="56">
        <f>Entrate_Uscite!B26</f>
        <v>5599011916.2200003</v>
      </c>
      <c r="C5" s="56">
        <f>Entrate_Uscite!E26</f>
        <v>5773244331.1300001</v>
      </c>
      <c r="D5" s="56">
        <f>Entrate_Uscite!H26</f>
        <v>6034102327.9200001</v>
      </c>
      <c r="E5" s="56">
        <f>Entrate_Uscite!K26</f>
        <v>6044607909.6599998</v>
      </c>
      <c r="F5" s="56">
        <f>Entrate_Uscite!N26</f>
        <v>5856977000.4899998</v>
      </c>
      <c r="G5" s="56">
        <f t="shared" si="0"/>
        <v>75.010297512574965</v>
      </c>
      <c r="H5" s="57">
        <f t="shared" si="1"/>
        <v>-3.1041038885275611</v>
      </c>
      <c r="I5" s="56">
        <f>Entrate_Uscite!O26</f>
        <v>5364444228.3000002</v>
      </c>
      <c r="J5" s="58">
        <f t="shared" si="2"/>
        <v>91.590665762409614</v>
      </c>
    </row>
    <row r="6" spans="1:10" x14ac:dyDescent="0.3">
      <c r="A6" s="59" t="s">
        <v>272</v>
      </c>
      <c r="B6" s="56">
        <f>Entrate_Uscite!B29</f>
        <v>42663459.630000003</v>
      </c>
      <c r="C6" s="56">
        <f>Entrate_Uscite!E29</f>
        <v>46151539.850000001</v>
      </c>
      <c r="D6" s="56">
        <f>Entrate_Uscite!H29</f>
        <v>45050682.090000004</v>
      </c>
      <c r="E6" s="56">
        <f>Entrate_Uscite!K29</f>
        <v>46898677.950000003</v>
      </c>
      <c r="F6" s="56">
        <f>Entrate_Uscite!N29</f>
        <v>47133715.350000001</v>
      </c>
      <c r="G6" s="56">
        <f t="shared" si="0"/>
        <v>0.60364143669690651</v>
      </c>
      <c r="H6" s="57">
        <f t="shared" si="1"/>
        <v>0.50115996926518847</v>
      </c>
      <c r="I6" s="56">
        <f>Entrate_Uscite!O29</f>
        <v>46965159.359999999</v>
      </c>
      <c r="J6" s="58">
        <f t="shared" si="2"/>
        <v>99.642387643858839</v>
      </c>
    </row>
    <row r="7" spans="1:10" x14ac:dyDescent="0.3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274</v>
      </c>
      <c r="B8" s="56">
        <f>Entrate_Uscite!B31</f>
        <v>6241790.0700000003</v>
      </c>
      <c r="C8" s="56">
        <f>Entrate_Uscite!E31</f>
        <v>7320139.21</v>
      </c>
      <c r="D8" s="56">
        <f>Entrate_Uscite!H31</f>
        <v>24518270.649999999</v>
      </c>
      <c r="E8" s="56">
        <f>Entrate_Uscite!K31</f>
        <v>34694096.390000001</v>
      </c>
      <c r="F8" s="56">
        <f>Entrate_Uscite!N31</f>
        <v>11688061.49</v>
      </c>
      <c r="G8" s="56">
        <f t="shared" si="0"/>
        <v>0.14968898966767713</v>
      </c>
      <c r="H8" s="57">
        <f t="shared" si="1"/>
        <v>-66.311094087555219</v>
      </c>
      <c r="I8" s="56">
        <f>Entrate_Uscite!O31</f>
        <v>2607440.92</v>
      </c>
      <c r="J8" s="58">
        <f t="shared" si="2"/>
        <v>22.308583183198156</v>
      </c>
    </row>
    <row r="9" spans="1:10" x14ac:dyDescent="0.3">
      <c r="A9" s="59" t="s">
        <v>275</v>
      </c>
      <c r="B9" s="56">
        <f>Entrate_Uscite!B32</f>
        <v>7177839.9699999997</v>
      </c>
      <c r="C9" s="56">
        <f>Entrate_Uscite!E32</f>
        <v>7228375.9000000004</v>
      </c>
      <c r="D9" s="56">
        <f>Entrate_Uscite!H32</f>
        <v>5679081.1399999997</v>
      </c>
      <c r="E9" s="56">
        <f>Entrate_Uscite!K32</f>
        <v>6222995.7999999998</v>
      </c>
      <c r="F9" s="56">
        <f>Entrate_Uscite!N32</f>
        <v>5680668.2400000002</v>
      </c>
      <c r="G9" s="56">
        <f t="shared" si="0"/>
        <v>7.2752311425670096E-2</v>
      </c>
      <c r="H9" s="57">
        <f t="shared" si="1"/>
        <v>-8.7148951635159335</v>
      </c>
      <c r="I9" s="56">
        <f>Entrate_Uscite!O32</f>
        <v>4341988.26</v>
      </c>
      <c r="J9" s="58">
        <f t="shared" si="2"/>
        <v>76.434462928607843</v>
      </c>
    </row>
    <row r="10" spans="1:10" x14ac:dyDescent="0.3">
      <c r="A10" s="4" t="s">
        <v>280</v>
      </c>
      <c r="B10" s="43">
        <f>SUM(B2:B9)</f>
        <v>6403132389.71</v>
      </c>
      <c r="C10" s="43">
        <f>SUM(C2:C9)</f>
        <v>6565660690.29</v>
      </c>
      <c r="D10" s="43">
        <f>SUM(D2:D9)</f>
        <v>6868336210.4200001</v>
      </c>
      <c r="E10" s="43">
        <f>SUM(E2:E9)</f>
        <v>6839443964.8500004</v>
      </c>
      <c r="F10" s="43">
        <f>SUM(F2:F9)</f>
        <v>6589213338.9200001</v>
      </c>
      <c r="G10" s="43">
        <f t="shared" si="0"/>
        <v>84.388047432125219</v>
      </c>
      <c r="H10" s="44">
        <f t="shared" si="1"/>
        <v>-3.6586399013722684</v>
      </c>
      <c r="I10" s="43">
        <f>SUM(I2:I9)</f>
        <v>5975278144.5</v>
      </c>
      <c r="J10" s="45">
        <f t="shared" ref="J10:J17" si="3">IF(F10&gt;0,I10/F10*100,"-")</f>
        <v>90.682723978692323</v>
      </c>
    </row>
    <row r="11" spans="1:10" x14ac:dyDescent="0.3">
      <c r="A11" s="59" t="s">
        <v>276</v>
      </c>
      <c r="B11" s="56">
        <f>Entrate_Uscite!B34</f>
        <v>101050141.09</v>
      </c>
      <c r="C11" s="56">
        <f>Entrate_Uscite!E34</f>
        <v>57803702.210000001</v>
      </c>
      <c r="D11" s="56">
        <f>Entrate_Uscite!H34</f>
        <v>69655529.840000004</v>
      </c>
      <c r="E11" s="56">
        <f>Entrate_Uscite!K34</f>
        <v>41406606.119999997</v>
      </c>
      <c r="F11" s="56">
        <f>Entrate_Uscite!N34</f>
        <v>57265505.210000001</v>
      </c>
      <c r="G11" s="56">
        <f t="shared" si="0"/>
        <v>0.73339925744127832</v>
      </c>
      <c r="H11" s="57">
        <f t="shared" si="1"/>
        <v>38.300408017115728</v>
      </c>
      <c r="I11" s="56">
        <f>Entrate_Uscite!O34</f>
        <v>40395152.149999999</v>
      </c>
      <c r="J11" s="58">
        <f t="shared" si="3"/>
        <v>70.540113113235904</v>
      </c>
    </row>
    <row r="12" spans="1:10" x14ac:dyDescent="0.3">
      <c r="A12" s="59" t="s">
        <v>277</v>
      </c>
      <c r="B12" s="56">
        <f>Entrate_Uscite!B35</f>
        <v>775977460.19000006</v>
      </c>
      <c r="C12" s="56">
        <f>Entrate_Uscite!E35</f>
        <v>816906030.13999999</v>
      </c>
      <c r="D12" s="56">
        <f>Entrate_Uscite!H35</f>
        <v>674359014.16999996</v>
      </c>
      <c r="E12" s="56">
        <f>Entrate_Uscite!K35</f>
        <v>753287696.02999997</v>
      </c>
      <c r="F12" s="56">
        <f>Entrate_Uscite!N35</f>
        <v>903388301.40999997</v>
      </c>
      <c r="G12" s="56">
        <f t="shared" si="0"/>
        <v>11.569692906848481</v>
      </c>
      <c r="H12" s="57">
        <f t="shared" si="1"/>
        <v>19.926066252119185</v>
      </c>
      <c r="I12" s="56">
        <f>Entrate_Uscite!O35</f>
        <v>526459455.79000002</v>
      </c>
      <c r="J12" s="58">
        <f t="shared" si="3"/>
        <v>58.276098436110701</v>
      </c>
    </row>
    <row r="13" spans="1:10" x14ac:dyDescent="0.3">
      <c r="A13" s="59" t="s">
        <v>278</v>
      </c>
      <c r="B13" s="56">
        <f>Entrate_Uscite!B36</f>
        <v>363472258.5</v>
      </c>
      <c r="C13" s="56">
        <f>Entrate_Uscite!E36</f>
        <v>150350000</v>
      </c>
      <c r="D13" s="56">
        <f>Entrate_Uscite!H36</f>
        <v>194260942.75999999</v>
      </c>
      <c r="E13" s="56">
        <f>Entrate_Uscite!K36</f>
        <v>316319434.83999997</v>
      </c>
      <c r="F13" s="56">
        <f>Entrate_Uscite!N36</f>
        <v>12870566</v>
      </c>
      <c r="G13" s="56">
        <f t="shared" si="0"/>
        <v>0.16483332352755758</v>
      </c>
      <c r="H13" s="57">
        <f t="shared" si="1"/>
        <v>-95.931149154173795</v>
      </c>
      <c r="I13" s="56">
        <f>Entrate_Uscite!O36</f>
        <v>75000</v>
      </c>
      <c r="J13" s="58">
        <f t="shared" si="3"/>
        <v>0.58272495553031622</v>
      </c>
    </row>
    <row r="14" spans="1:10" x14ac:dyDescent="0.3">
      <c r="A14" s="59" t="s">
        <v>279</v>
      </c>
      <c r="B14" s="56">
        <f>Entrate_Uscite!B37</f>
        <v>0</v>
      </c>
      <c r="C14" s="56">
        <f>Entrate_Uscite!E37</f>
        <v>0</v>
      </c>
      <c r="D14" s="56">
        <f>Entrate_Uscite!H37</f>
        <v>20000</v>
      </c>
      <c r="E14" s="56">
        <f>Entrate_Uscite!K37</f>
        <v>26583.4</v>
      </c>
      <c r="F14" s="56">
        <f>Entrate_Uscite!N37</f>
        <v>82030</v>
      </c>
      <c r="G14" s="56">
        <f t="shared" si="0"/>
        <v>1.0505581129039349E-3</v>
      </c>
      <c r="H14" s="108">
        <f t="shared" si="1"/>
        <v>208.5760286494579</v>
      </c>
      <c r="I14" s="56">
        <f>Entrate_Uscite!O37</f>
        <v>0</v>
      </c>
      <c r="J14" s="58">
        <f t="shared" si="3"/>
        <v>0</v>
      </c>
    </row>
    <row r="15" spans="1:10" x14ac:dyDescent="0.3">
      <c r="A15" s="4" t="s">
        <v>281</v>
      </c>
      <c r="B15" s="46">
        <f>SUM(B11:B14)</f>
        <v>1240499859.7800002</v>
      </c>
      <c r="C15" s="46">
        <f>SUM(C11:C14)</f>
        <v>1025059732.35</v>
      </c>
      <c r="D15" s="46">
        <f>SUM(D11:D14)</f>
        <v>938295486.76999998</v>
      </c>
      <c r="E15" s="46">
        <f>SUM(E11:E14)</f>
        <v>1111040320.3900001</v>
      </c>
      <c r="F15" s="46">
        <f>SUM(F11:F14)</f>
        <v>973606402.62</v>
      </c>
      <c r="G15" s="46">
        <f t="shared" si="0"/>
        <v>12.468976045930221</v>
      </c>
      <c r="H15" s="44">
        <f t="shared" si="1"/>
        <v>-12.369840702249007</v>
      </c>
      <c r="I15" s="46">
        <f>SUM(I11:I14)</f>
        <v>566929607.94000006</v>
      </c>
      <c r="J15" s="45">
        <f t="shared" si="3"/>
        <v>58.229856173334291</v>
      </c>
    </row>
    <row r="16" spans="1:10" x14ac:dyDescent="0.3">
      <c r="A16" s="59" t="s">
        <v>282</v>
      </c>
      <c r="B16" s="56">
        <f>Entrate_Uscite!B38</f>
        <v>15000000</v>
      </c>
      <c r="C16" s="56">
        <f>Entrate_Uscite!E38</f>
        <v>10000000</v>
      </c>
      <c r="D16" s="56">
        <f>Entrate_Uscite!H38</f>
        <v>460000</v>
      </c>
      <c r="E16" s="56">
        <f>Entrate_Uscite!K38</f>
        <v>1800000</v>
      </c>
      <c r="F16" s="56">
        <f>Entrate_Uscite!N38</f>
        <v>0</v>
      </c>
      <c r="G16" s="56">
        <f t="shared" si="0"/>
        <v>0</v>
      </c>
      <c r="H16" s="57">
        <f t="shared" si="1"/>
        <v>-100</v>
      </c>
      <c r="I16" s="56">
        <f>Entrate_Uscite!O38</f>
        <v>0</v>
      </c>
      <c r="J16" s="58" t="str">
        <f t="shared" si="3"/>
        <v>-</v>
      </c>
    </row>
    <row r="17" spans="1:10" x14ac:dyDescent="0.3">
      <c r="A17" s="59" t="s">
        <v>283</v>
      </c>
      <c r="B17" s="56">
        <f>Entrate_Uscite!B39</f>
        <v>0</v>
      </c>
      <c r="C17" s="56">
        <f>Entrate_Uscite!E39</f>
        <v>0</v>
      </c>
      <c r="D17" s="56">
        <f>Entrate_Uscite!H39</f>
        <v>0</v>
      </c>
      <c r="E17" s="56">
        <f>Entrate_Uscite!K39</f>
        <v>0</v>
      </c>
      <c r="F17" s="56">
        <f>Entrate_Uscite!N39</f>
        <v>0</v>
      </c>
      <c r="G17" s="56">
        <f t="shared" si="0"/>
        <v>0</v>
      </c>
      <c r="H17" s="57" t="str">
        <f t="shared" si="1"/>
        <v>-</v>
      </c>
      <c r="I17" s="56">
        <f>Entrate_Uscite!O39</f>
        <v>0</v>
      </c>
      <c r="J17" s="58" t="str">
        <f t="shared" si="3"/>
        <v>-</v>
      </c>
    </row>
    <row r="18" spans="1:10" x14ac:dyDescent="0.3">
      <c r="A18" s="59" t="s">
        <v>284</v>
      </c>
      <c r="B18" s="56">
        <f>Entrate_Uscite!B40</f>
        <v>34128.5</v>
      </c>
      <c r="C18" s="56">
        <f>Entrate_Uscite!E40</f>
        <v>0</v>
      </c>
      <c r="D18" s="56">
        <f>Entrate_Uscite!H40</f>
        <v>100000</v>
      </c>
      <c r="E18" s="56">
        <f>Entrate_Uscite!K40</f>
        <v>297410.13</v>
      </c>
      <c r="F18" s="56">
        <f>Entrate_Uscite!N40</f>
        <v>50000</v>
      </c>
      <c r="G18" s="56">
        <f t="shared" si="0"/>
        <v>6.4034994081673476E-4</v>
      </c>
      <c r="H18" s="57">
        <f t="shared" si="1"/>
        <v>-83.18819873418569</v>
      </c>
      <c r="I18" s="56">
        <f>Entrate_Uscite!O40</f>
        <v>50000</v>
      </c>
      <c r="J18" s="58">
        <f t="shared" ref="J18:J26" si="4">IF(F18&gt;0,I18/F18*100,"-")</f>
        <v>100</v>
      </c>
    </row>
    <row r="19" spans="1:10" x14ac:dyDescent="0.3">
      <c r="A19" s="59" t="s">
        <v>285</v>
      </c>
      <c r="B19" s="56">
        <f>Entrate_Uscite!B41</f>
        <v>187117671.78999999</v>
      </c>
      <c r="C19" s="56">
        <f>Entrate_Uscite!E41</f>
        <v>69911094.780000001</v>
      </c>
      <c r="D19" s="56">
        <f>Entrate_Uscite!H41</f>
        <v>83449170.140000001</v>
      </c>
      <c r="E19" s="56">
        <f>Entrate_Uscite!K41</f>
        <v>180915593.66</v>
      </c>
      <c r="F19" s="56">
        <f>Entrate_Uscite!N41</f>
        <v>189861613.91</v>
      </c>
      <c r="G19" s="56">
        <f t="shared" si="0"/>
        <v>2.4315574646127649</v>
      </c>
      <c r="H19" s="57">
        <f t="shared" si="1"/>
        <v>4.9448585768745374</v>
      </c>
      <c r="I19" s="56">
        <f>Entrate_Uscite!O41</f>
        <v>189571613.91</v>
      </c>
      <c r="J19" s="58">
        <f t="shared" si="4"/>
        <v>99.847257171142829</v>
      </c>
    </row>
    <row r="20" spans="1:10" x14ac:dyDescent="0.3">
      <c r="A20" s="4" t="s">
        <v>286</v>
      </c>
      <c r="B20" s="43">
        <f>SUM(B16:B19)</f>
        <v>202151800.28999999</v>
      </c>
      <c r="C20" s="43">
        <f>SUM(C16:C19)</f>
        <v>79911094.780000001</v>
      </c>
      <c r="D20" s="43">
        <f>SUM(D16:D19)</f>
        <v>84009170.140000001</v>
      </c>
      <c r="E20" s="43">
        <f>SUM(E16:E19)</f>
        <v>183013003.78999999</v>
      </c>
      <c r="F20" s="43">
        <f>SUM(F16:F19)</f>
        <v>189911613.91</v>
      </c>
      <c r="G20" s="43">
        <f t="shared" si="0"/>
        <v>2.4321978145535819</v>
      </c>
      <c r="H20" s="44">
        <f t="shared" si="1"/>
        <v>3.7694644517806353</v>
      </c>
      <c r="I20" s="43">
        <f>SUM(I16:I19)</f>
        <v>189621613.91</v>
      </c>
      <c r="J20" s="40">
        <f t="shared" si="4"/>
        <v>99.847297385331345</v>
      </c>
    </row>
    <row r="21" spans="1:10" x14ac:dyDescent="0.3">
      <c r="A21" s="47" t="s">
        <v>344</v>
      </c>
      <c r="B21" s="48">
        <f>B10+B15+B20</f>
        <v>7845784049.7799997</v>
      </c>
      <c r="C21" s="48">
        <f>C10+C15+C20</f>
        <v>7670631517.4200001</v>
      </c>
      <c r="D21" s="48">
        <f>D10+D15+D20</f>
        <v>7890640867.3300009</v>
      </c>
      <c r="E21" s="48">
        <f>E10+E15+E20</f>
        <v>8133497289.0300007</v>
      </c>
      <c r="F21" s="48">
        <f>F10+F15+F20</f>
        <v>7752731355.4499998</v>
      </c>
      <c r="G21" s="48">
        <f>F21/F$31*100</f>
        <v>99.289221292609014</v>
      </c>
      <c r="H21" s="49">
        <f t="shared" si="1"/>
        <v>-4.6814539926577083</v>
      </c>
      <c r="I21" s="48">
        <f>I10+I15+I20</f>
        <v>6731829366.3500004</v>
      </c>
      <c r="J21" s="50">
        <f>IF(F21&gt;0,I21/F21*100,"-")</f>
        <v>86.831712047105469</v>
      </c>
    </row>
    <row r="22" spans="1:10" x14ac:dyDescent="0.3">
      <c r="A22" s="59" t="s">
        <v>287</v>
      </c>
      <c r="B22" s="60">
        <f>Entrate_Uscite!B42</f>
        <v>26509348</v>
      </c>
      <c r="C22" s="60">
        <f>Entrate_Uscite!E42</f>
        <v>27631304</v>
      </c>
      <c r="D22" s="60">
        <f>Entrate_Uscite!H42</f>
        <v>28809491</v>
      </c>
      <c r="E22" s="60">
        <f>Entrate_Uscite!K42</f>
        <v>30025068</v>
      </c>
      <c r="F22" s="60">
        <f>Entrate_Uscite!N42</f>
        <v>31299252</v>
      </c>
      <c r="G22" s="60">
        <f t="shared" si="0"/>
        <v>0.40084948331616133</v>
      </c>
      <c r="H22" s="61">
        <f t="shared" si="1"/>
        <v>4.2437339359231459</v>
      </c>
      <c r="I22" s="60">
        <f>Entrate_Uscite!O42</f>
        <v>31299252</v>
      </c>
      <c r="J22" s="58">
        <f t="shared" si="4"/>
        <v>100</v>
      </c>
    </row>
    <row r="23" spans="1:10" x14ac:dyDescent="0.3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289</v>
      </c>
      <c r="B24" s="60">
        <f>Entrate_Uscite!B44</f>
        <v>149918779.05000001</v>
      </c>
      <c r="C24" s="60">
        <f>Entrate_Uscite!E44</f>
        <v>106977267.94</v>
      </c>
      <c r="D24" s="60">
        <f>Entrate_Uscite!H44</f>
        <v>54831260.530000001</v>
      </c>
      <c r="E24" s="60">
        <f>Entrate_Uscite!K44</f>
        <v>45069396.93</v>
      </c>
      <c r="F24" s="60">
        <f>Entrate_Uscite!N44</f>
        <v>24199988.5</v>
      </c>
      <c r="G24" s="60">
        <f t="shared" si="0"/>
        <v>0.30992922407481321</v>
      </c>
      <c r="H24" s="61">
        <f t="shared" si="1"/>
        <v>-46.305053654064942</v>
      </c>
      <c r="I24" s="60">
        <f>Entrate_Uscite!O44</f>
        <v>24199988.5</v>
      </c>
      <c r="J24" s="58">
        <f t="shared" si="4"/>
        <v>100</v>
      </c>
    </row>
    <row r="25" spans="1:10" x14ac:dyDescent="0.3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292</v>
      </c>
      <c r="B27" s="43">
        <f>SUM(B22:B26)</f>
        <v>176428127.05000001</v>
      </c>
      <c r="C27" s="43">
        <f>SUM(C22:C26)</f>
        <v>134608571.94</v>
      </c>
      <c r="D27" s="43">
        <f>SUM(D22:D26)</f>
        <v>83640751.530000001</v>
      </c>
      <c r="E27" s="43">
        <f>SUM(E22:E26)</f>
        <v>75094464.930000007</v>
      </c>
      <c r="F27" s="43">
        <f>SUM(F22:F26)</f>
        <v>55499240.5</v>
      </c>
      <c r="G27" s="43">
        <f t="shared" si="0"/>
        <v>0.7107787073909746</v>
      </c>
      <c r="H27" s="44">
        <f t="shared" si="1"/>
        <v>-26.094099542843637</v>
      </c>
      <c r="I27" s="43">
        <f>SUM(I22:I26)</f>
        <v>55499240.5</v>
      </c>
      <c r="J27" s="45">
        <f>IF(F27&gt;0,I27/F27*100,"-")</f>
        <v>100</v>
      </c>
    </row>
    <row r="28" spans="1:10" x14ac:dyDescent="0.3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294</v>
      </c>
      <c r="B29" s="43">
        <f>Entrate_Uscite!B55</f>
        <v>125925178.12</v>
      </c>
      <c r="C29" s="43">
        <f>Entrate_Uscite!E55</f>
        <v>152492208.16</v>
      </c>
      <c r="D29" s="43">
        <f>Entrate_Uscite!H55</f>
        <v>149154217.34</v>
      </c>
      <c r="E29" s="43">
        <f>Entrate_Uscite!K55</f>
        <v>161554101.53</v>
      </c>
      <c r="F29" s="43">
        <f>Entrate_Uscite!N55</f>
        <v>163228233.91</v>
      </c>
      <c r="G29" s="43"/>
      <c r="H29" s="44">
        <f t="shared" si="1"/>
        <v>1.0362673334475119</v>
      </c>
      <c r="I29" s="43">
        <f>Entrate_Uscite!O55</f>
        <v>158508226.47</v>
      </c>
      <c r="J29" s="45">
        <f>IF(F29&gt;0,I29/F29*100,"-")</f>
        <v>97.108338841304558</v>
      </c>
    </row>
    <row r="30" spans="1:10" x14ac:dyDescent="0.3">
      <c r="A30" s="47" t="s">
        <v>68</v>
      </c>
      <c r="B30" s="48">
        <f>B10+B15+B20+B27+B28+B29</f>
        <v>8148137354.9499998</v>
      </c>
      <c r="C30" s="48">
        <f>C10+C15+C20+C27+C28+C29</f>
        <v>7957732297.5199995</v>
      </c>
      <c r="D30" s="48">
        <f>D10+D15+D20+D27+D28+D29</f>
        <v>8123435836.2000008</v>
      </c>
      <c r="E30" s="48">
        <f>E10+E15+E20+E27+E28+E29</f>
        <v>8370145855.4900007</v>
      </c>
      <c r="F30" s="48">
        <f>F10+F15+F20+F27+F28+F29</f>
        <v>7971458829.8599997</v>
      </c>
      <c r="G30" s="48"/>
      <c r="H30" s="49">
        <f t="shared" si="1"/>
        <v>-4.763202846321974</v>
      </c>
      <c r="I30" s="48">
        <f>I10+I15+I20+I27+I28+I29</f>
        <v>6945836833.3200006</v>
      </c>
      <c r="J30" s="50">
        <f>IF(F30&gt;0,I30/F30*100,"-")</f>
        <v>87.133823075167143</v>
      </c>
    </row>
    <row r="31" spans="1:10" x14ac:dyDescent="0.3">
      <c r="A31" s="38" t="s">
        <v>69</v>
      </c>
      <c r="B31" s="51">
        <f>B30-B29</f>
        <v>8022212176.8299999</v>
      </c>
      <c r="C31" s="51">
        <f>C30-C29</f>
        <v>7805240089.3599997</v>
      </c>
      <c r="D31" s="51">
        <f>D30-D29</f>
        <v>7974281618.8600006</v>
      </c>
      <c r="E31" s="51">
        <f>E30-E29</f>
        <v>8208591753.960001</v>
      </c>
      <c r="F31" s="51">
        <f>F30-F29</f>
        <v>7808230595.9499998</v>
      </c>
      <c r="G31" s="51">
        <f t="shared" si="0"/>
        <v>100</v>
      </c>
      <c r="H31" s="52">
        <f t="shared" si="1"/>
        <v>-4.8773427892410268</v>
      </c>
      <c r="I31" s="51">
        <f>I30-I29</f>
        <v>6787328606.8500004</v>
      </c>
      <c r="J31" s="53">
        <f>IF(F31&gt;0,I31/F31*100,"-")</f>
        <v>86.925309434002571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G14" sqref="G14"/>
    </sheetView>
  </sheetViews>
  <sheetFormatPr defaultRowHeight="14.4" x14ac:dyDescent="0.3"/>
  <cols>
    <col min="1" max="1" width="50.6640625" bestFit="1" customWidth="1"/>
    <col min="2" max="5" width="12.5546875" bestFit="1" customWidth="1"/>
    <col min="6" max="8" width="13.21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 x14ac:dyDescent="0.3">
      <c r="A2" s="62" t="s">
        <v>296</v>
      </c>
      <c r="B2" s="64">
        <f>Entrate_Uscite!B58</f>
        <v>946564049.21000004</v>
      </c>
      <c r="C2" s="64">
        <f>Entrate_Uscite!E58</f>
        <v>945448296.92999935</v>
      </c>
      <c r="D2" s="64">
        <f>Entrate_Uscite!H58</f>
        <v>927933750.77999973</v>
      </c>
      <c r="E2" s="64">
        <f>Entrate_Uscite!K58</f>
        <v>658633820.25</v>
      </c>
      <c r="F2" s="64">
        <f>Entrate_Uscite!N58</f>
        <v>1678381221.1899986</v>
      </c>
      <c r="G2" s="64">
        <f>F2-E2</f>
        <v>1019747400.9399986</v>
      </c>
      <c r="H2" s="64">
        <f>Entrate_Uscite!O58</f>
        <v>1346935793.499999</v>
      </c>
    </row>
    <row r="3" spans="1:8" x14ac:dyDescent="0.3">
      <c r="A3" s="62" t="s">
        <v>71</v>
      </c>
      <c r="B3" s="64">
        <f>Entrate_Uscite!B59</f>
        <v>-341772011.62000024</v>
      </c>
      <c r="C3" s="64">
        <f>Entrate_Uscite!E59</f>
        <v>-408412543.78000009</v>
      </c>
      <c r="D3" s="64">
        <f>Entrate_Uscite!H59</f>
        <v>-557074268.61000001</v>
      </c>
      <c r="E3" s="64">
        <f>Entrate_Uscite!K59</f>
        <v>-473758065.85000014</v>
      </c>
      <c r="F3" s="64">
        <f>Entrate_Uscite!N59</f>
        <v>-621208645.23000002</v>
      </c>
      <c r="G3" s="64">
        <f t="shared" ref="G3:G6" si="0">F3-E3</f>
        <v>-147450579.37999988</v>
      </c>
      <c r="H3" s="64">
        <f>Entrate_Uscite!O59</f>
        <v>-498776176.59000003</v>
      </c>
    </row>
    <row r="4" spans="1:8" x14ac:dyDescent="0.3">
      <c r="A4" s="62" t="s">
        <v>299</v>
      </c>
      <c r="B4" s="65">
        <f>Entrate_Uscite!B16-Entrate_Uscite!B52</f>
        <v>-10488249.030000001</v>
      </c>
      <c r="C4" s="65">
        <f>Entrate_Uscite!E16-Entrate_Uscite!E52</f>
        <v>-321118.84000000358</v>
      </c>
      <c r="D4" s="65">
        <f>Entrate_Uscite!H16-Entrate_Uscite!H52</f>
        <v>55655285.519999996</v>
      </c>
      <c r="E4" s="65">
        <f>Entrate_Uscite!K16-Entrate_Uscite!K52</f>
        <v>87429.449999988079</v>
      </c>
      <c r="F4" s="65">
        <f>Entrate_Uscite!N16-Entrate_Uscite!N52</f>
        <v>-8815078.8299999833</v>
      </c>
      <c r="G4" s="64">
        <f t="shared" si="0"/>
        <v>-8902508.2799999714</v>
      </c>
      <c r="H4" s="65">
        <f>Entrate_Uscite!O16-Entrate_Uscite!O52</f>
        <v>-8757504.8399999738</v>
      </c>
    </row>
    <row r="5" spans="1:8" x14ac:dyDescent="0.3">
      <c r="A5" s="47" t="s">
        <v>297</v>
      </c>
      <c r="B5" s="66">
        <f>Entrate_Uscite!B60</f>
        <v>594303788.56000042</v>
      </c>
      <c r="C5" s="66">
        <f>Entrate_Uscite!E60</f>
        <v>536714634.30999851</v>
      </c>
      <c r="D5" s="66">
        <f>Entrate_Uscite!H60</f>
        <v>426514767.68999958</v>
      </c>
      <c r="E5" s="66">
        <f>Entrate_Uscite!K60</f>
        <v>184963183.84999943</v>
      </c>
      <c r="F5" s="66">
        <f>Entrate_Uscite!N60</f>
        <v>1048357497.1299982</v>
      </c>
      <c r="G5" s="66">
        <f t="shared" si="0"/>
        <v>863394313.27999878</v>
      </c>
      <c r="H5" s="66">
        <f>SUM(Entrate_Uscite!O14:O16)-SUM(Entrate_Uscite!O50:O52)</f>
        <v>839402112.06999874</v>
      </c>
    </row>
    <row r="6" spans="1:8" x14ac:dyDescent="0.3">
      <c r="A6" s="38" t="s">
        <v>298</v>
      </c>
      <c r="B6" s="67">
        <f>Entrate_Uscite!B61</f>
        <v>788463061.55999947</v>
      </c>
      <c r="C6" s="67">
        <f>Entrate_Uscite!E61</f>
        <v>540300329.6099987</v>
      </c>
      <c r="D6" s="67">
        <f>Entrate_Uscite!H61</f>
        <v>521612023.54999924</v>
      </c>
      <c r="E6" s="67">
        <f>Entrate_Uscite!K61</f>
        <v>226845484.92999935</v>
      </c>
      <c r="F6" s="67">
        <f>Entrate_Uscite!N61</f>
        <v>1064991637.4099989</v>
      </c>
      <c r="G6" s="67">
        <f t="shared" si="0"/>
        <v>838146152.47999954</v>
      </c>
      <c r="H6" s="67">
        <f>Entrate_Uscite!O61</f>
        <v>856036252.34999847</v>
      </c>
    </row>
    <row r="7" spans="1:8" x14ac:dyDescent="0.3">
      <c r="G7" s="6"/>
    </row>
    <row r="8" spans="1:8" x14ac:dyDescent="0.3">
      <c r="G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opLeftCell="A43" workbookViewId="0">
      <selection activeCell="G20" sqref="G20"/>
    </sheetView>
  </sheetViews>
  <sheetFormatPr defaultRowHeight="14.4" x14ac:dyDescent="0.3"/>
  <cols>
    <col min="1" max="1" width="36.44140625" bestFit="1" customWidth="1"/>
    <col min="2" max="7" width="13.5546875" bestFit="1" customWidth="1"/>
    <col min="8" max="8" width="15.44140625" bestFit="1" customWidth="1"/>
    <col min="9" max="9" width="13.88671875" bestFit="1" customWidth="1"/>
    <col min="10" max="10" width="10" bestFit="1" customWidth="1"/>
  </cols>
  <sheetData>
    <row r="1" spans="1:9" x14ac:dyDescent="0.3">
      <c r="A1" s="41"/>
      <c r="B1" s="102">
        <v>2015</v>
      </c>
      <c r="C1" s="102">
        <v>2016</v>
      </c>
      <c r="D1" s="102">
        <v>2017</v>
      </c>
      <c r="E1" s="69">
        <v>2018</v>
      </c>
      <c r="F1" s="102">
        <v>2019</v>
      </c>
      <c r="G1" s="102">
        <v>2020</v>
      </c>
    </row>
    <row r="2" spans="1:9" x14ac:dyDescent="0.3">
      <c r="A2" t="s">
        <v>5</v>
      </c>
      <c r="B2" s="1">
        <v>340832737.08999997</v>
      </c>
      <c r="C2" s="1">
        <v>59353302.109999999</v>
      </c>
      <c r="D2" s="1">
        <v>487861400.19999999</v>
      </c>
      <c r="E2" s="1">
        <v>379299990.49000001</v>
      </c>
      <c r="F2" s="1">
        <v>611686463.77999997</v>
      </c>
      <c r="G2" s="1">
        <v>1432078437.8299999</v>
      </c>
    </row>
    <row r="3" spans="1:9" x14ac:dyDescent="0.3">
      <c r="A3" t="s">
        <v>6</v>
      </c>
      <c r="B3" s="1">
        <v>877695708.38</v>
      </c>
      <c r="C3" s="1">
        <v>1836868992.22</v>
      </c>
      <c r="D3" s="1">
        <v>2007877156.9300001</v>
      </c>
      <c r="E3" s="1">
        <v>2276403857.6399999</v>
      </c>
      <c r="F3" s="1">
        <v>2585299791.25</v>
      </c>
      <c r="G3" s="1">
        <v>3263800034.6300001</v>
      </c>
    </row>
    <row r="4" spans="1:9" x14ac:dyDescent="0.3">
      <c r="A4" t="s">
        <v>7</v>
      </c>
      <c r="B4" s="1">
        <v>1502234081.6700001</v>
      </c>
      <c r="C4" s="1">
        <v>1400963879.52</v>
      </c>
      <c r="D4" s="1">
        <v>1466021544.21</v>
      </c>
      <c r="E4" s="1">
        <v>1088982865.9400001</v>
      </c>
      <c r="F4" s="1">
        <v>1422156238.4000001</v>
      </c>
      <c r="G4" s="1">
        <v>1856803251.52</v>
      </c>
    </row>
    <row r="5" spans="1:9" x14ac:dyDescent="0.3">
      <c r="A5" t="s">
        <v>8</v>
      </c>
      <c r="B5" s="1">
        <v>56502635.509999998</v>
      </c>
      <c r="C5" s="1">
        <v>35087191.509999998</v>
      </c>
      <c r="D5" s="1">
        <v>35633106.530000001</v>
      </c>
      <c r="E5" s="1">
        <v>41369525.299999997</v>
      </c>
      <c r="F5" s="1">
        <v>34640448.399999999</v>
      </c>
      <c r="G5" s="1">
        <v>61248789.399999999</v>
      </c>
    </row>
    <row r="6" spans="1:9" x14ac:dyDescent="0.3">
      <c r="A6" t="s">
        <v>355</v>
      </c>
      <c r="B6" s="1">
        <v>288479700.13999999</v>
      </c>
      <c r="C6" s="1">
        <v>643970395.23000002</v>
      </c>
      <c r="D6" s="1">
        <v>913983039.94000006</v>
      </c>
      <c r="E6" s="1">
        <v>965153210.66999996</v>
      </c>
      <c r="F6" s="1">
        <v>1014203487.77</v>
      </c>
      <c r="G6" s="1">
        <f>1049647665.39+2589.87</f>
        <v>1049650255.26</v>
      </c>
    </row>
    <row r="7" spans="1:9" x14ac:dyDescent="0.3">
      <c r="A7" s="4" t="s">
        <v>0</v>
      </c>
      <c r="B7" s="3">
        <f t="shared" ref="B7" si="0">B2+B3-B4-B5-B6</f>
        <v>-628687971.85000002</v>
      </c>
      <c r="C7" s="3">
        <f t="shared" ref="C7:D7" si="1">C2+C3-C4-C5-C6</f>
        <v>-183799171.93000007</v>
      </c>
      <c r="D7" s="3">
        <f t="shared" si="1"/>
        <v>80100866.450000048</v>
      </c>
      <c r="E7" s="3">
        <f>E2+E3-E4-E5-E6</f>
        <v>560198246.22000015</v>
      </c>
      <c r="F7" s="3">
        <f>F2+F3-F4-F5-F6</f>
        <v>725986080.45999956</v>
      </c>
      <c r="G7" s="3">
        <f>G2+G3-G4-G5-G6</f>
        <v>1728176176.28</v>
      </c>
    </row>
    <row r="8" spans="1:9" x14ac:dyDescent="0.3">
      <c r="A8" t="s">
        <v>9</v>
      </c>
      <c r="B8" s="1">
        <v>41739560.799999997</v>
      </c>
      <c r="C8" s="1">
        <v>52796560.799999997</v>
      </c>
      <c r="D8" s="1">
        <v>75712112.769999996</v>
      </c>
      <c r="E8" s="1">
        <v>187345002.03999999</v>
      </c>
      <c r="F8" s="1">
        <v>166642686.47</v>
      </c>
      <c r="G8" s="1">
        <v>384917302.95999998</v>
      </c>
    </row>
    <row r="9" spans="1:9" x14ac:dyDescent="0.3">
      <c r="A9" t="s">
        <v>349</v>
      </c>
      <c r="B9" s="1">
        <v>400788035.51999998</v>
      </c>
      <c r="C9" s="1">
        <v>480946000</v>
      </c>
      <c r="D9" s="1">
        <v>577135200</v>
      </c>
      <c r="E9" s="1">
        <v>521011826.97000003</v>
      </c>
      <c r="F9" s="1">
        <v>431677177.49000001</v>
      </c>
      <c r="G9" s="1">
        <v>347025058.02999997</v>
      </c>
    </row>
    <row r="10" spans="1:9" x14ac:dyDescent="0.3">
      <c r="A10" t="s">
        <v>10</v>
      </c>
      <c r="B10" s="1">
        <v>31543224.100000001</v>
      </c>
      <c r="C10" s="1">
        <v>215658000</v>
      </c>
      <c r="D10" s="1">
        <v>208910463.55000001</v>
      </c>
      <c r="E10" s="1">
        <v>202133917.80000001</v>
      </c>
      <c r="F10" s="1">
        <v>195328029.61000001</v>
      </c>
      <c r="G10" s="1">
        <v>188492671.93000001</v>
      </c>
    </row>
    <row r="11" spans="1:9" x14ac:dyDescent="0.3">
      <c r="A11" t="s">
        <v>11</v>
      </c>
      <c r="B11" s="1">
        <v>2411037</v>
      </c>
      <c r="C11" s="1">
        <v>1607251</v>
      </c>
      <c r="D11" s="1">
        <v>1325101</v>
      </c>
      <c r="E11" s="1">
        <v>4161425</v>
      </c>
      <c r="F11" s="1">
        <v>15897064</v>
      </c>
      <c r="G11" s="1">
        <v>16996782</v>
      </c>
    </row>
    <row r="12" spans="1:9" x14ac:dyDescent="0.3">
      <c r="A12" t="s">
        <v>12</v>
      </c>
      <c r="B12" s="1">
        <v>0</v>
      </c>
      <c r="C12" s="1">
        <v>3899207.71</v>
      </c>
      <c r="D12" s="1">
        <v>11201000</v>
      </c>
      <c r="E12" s="1">
        <v>21918030.5</v>
      </c>
      <c r="F12" s="1">
        <v>39817794</v>
      </c>
      <c r="G12" s="1">
        <v>60000000</v>
      </c>
    </row>
    <row r="13" spans="1:9" x14ac:dyDescent="0.3">
      <c r="A13" t="s">
        <v>13</v>
      </c>
      <c r="B13" s="1">
        <v>0</v>
      </c>
      <c r="C13" s="1">
        <f>36543224.1+32512.35</f>
        <v>36575736.450000003</v>
      </c>
      <c r="D13" s="1">
        <v>722287855.75</v>
      </c>
      <c r="E13" s="1">
        <v>403509813.06</v>
      </c>
      <c r="F13" s="1">
        <v>53510404.520000003</v>
      </c>
      <c r="G13" s="1">
        <v>115577024.83</v>
      </c>
    </row>
    <row r="14" spans="1:9" x14ac:dyDescent="0.3">
      <c r="A14" s="4" t="s">
        <v>1</v>
      </c>
      <c r="B14" s="3">
        <f t="shared" ref="B14" si="2">SUM(B8:B13)</f>
        <v>476481857.42000002</v>
      </c>
      <c r="C14" s="3">
        <f t="shared" ref="C14:D14" si="3">SUM(C8:C13)</f>
        <v>791482755.96000004</v>
      </c>
      <c r="D14" s="3">
        <f t="shared" si="3"/>
        <v>1596571733.0699999</v>
      </c>
      <c r="E14" s="3">
        <f>SUM(E8:E13)</f>
        <v>1340080015.3699999</v>
      </c>
      <c r="F14" s="3">
        <f>SUM(F8:F13)</f>
        <v>902873156.09000003</v>
      </c>
      <c r="G14" s="3">
        <f>SUM(G8:G13)</f>
        <v>1113008839.75</v>
      </c>
      <c r="H14" s="96"/>
      <c r="I14" s="96"/>
    </row>
    <row r="15" spans="1:9" x14ac:dyDescent="0.3">
      <c r="A15" t="s">
        <v>15</v>
      </c>
      <c r="B15" s="1">
        <v>14092824.33</v>
      </c>
      <c r="C15" s="1">
        <v>39147329.219999999</v>
      </c>
      <c r="D15" s="1">
        <v>62169136.68</v>
      </c>
      <c r="E15" s="1">
        <v>67332710.299999997</v>
      </c>
      <c r="F15" s="1">
        <v>64489041.799999997</v>
      </c>
      <c r="G15" s="1">
        <v>499041908.94999999</v>
      </c>
    </row>
    <row r="16" spans="1:9" x14ac:dyDescent="0.3">
      <c r="A16" t="s">
        <v>14</v>
      </c>
      <c r="B16" s="1">
        <v>233141103.87</v>
      </c>
      <c r="C16" s="1">
        <v>231139238.91</v>
      </c>
      <c r="D16" s="1">
        <v>242615597.08000001</v>
      </c>
      <c r="E16" s="1">
        <v>246388022.47999999</v>
      </c>
      <c r="F16" s="1">
        <v>278344166.06</v>
      </c>
      <c r="G16" s="1">
        <v>278474736.11000001</v>
      </c>
    </row>
    <row r="17" spans="1:7" x14ac:dyDescent="0.3">
      <c r="A17" t="s">
        <v>16</v>
      </c>
      <c r="B17" s="1">
        <v>0</v>
      </c>
      <c r="C17" s="1">
        <v>8010.73</v>
      </c>
      <c r="D17" s="1">
        <v>8010.73</v>
      </c>
      <c r="E17" s="1">
        <v>180000</v>
      </c>
      <c r="F17" s="1">
        <v>180000</v>
      </c>
      <c r="G17" s="1">
        <v>570771.93999999994</v>
      </c>
    </row>
    <row r="18" spans="1:7" x14ac:dyDescent="0.3">
      <c r="A18" t="s">
        <v>17</v>
      </c>
      <c r="B18" s="1">
        <v>40700214.869999997</v>
      </c>
      <c r="C18" s="1">
        <v>8796652.9800000004</v>
      </c>
      <c r="D18" s="1">
        <v>5801624.9800000004</v>
      </c>
      <c r="E18" s="1">
        <v>10096353.75</v>
      </c>
      <c r="F18" s="1">
        <v>12585264.859999999</v>
      </c>
      <c r="G18" s="1">
        <v>23368073.989999998</v>
      </c>
    </row>
    <row r="19" spans="1:7" x14ac:dyDescent="0.3">
      <c r="A19" t="s">
        <v>18</v>
      </c>
      <c r="B19" s="1">
        <v>595829.9</v>
      </c>
      <c r="C19" s="1">
        <v>2678622.21</v>
      </c>
      <c r="D19" s="1">
        <v>0</v>
      </c>
      <c r="E19" s="1">
        <v>1128288.46</v>
      </c>
      <c r="F19" s="1">
        <v>2174978.2200000002</v>
      </c>
      <c r="G19" s="1">
        <v>14566880.1</v>
      </c>
    </row>
    <row r="20" spans="1:7" x14ac:dyDescent="0.3">
      <c r="A20" s="4" t="s">
        <v>2</v>
      </c>
      <c r="B20" s="3">
        <f t="shared" ref="B20" si="4">SUM(B15:B19)</f>
        <v>288529972.96999997</v>
      </c>
      <c r="C20" s="3">
        <f t="shared" ref="C20:D20" si="5">SUM(C15:C19)</f>
        <v>281769854.05000001</v>
      </c>
      <c r="D20" s="3">
        <f t="shared" si="5"/>
        <v>310594369.47000003</v>
      </c>
      <c r="E20" s="3">
        <f>SUM(E15:E19)</f>
        <v>325125374.98999995</v>
      </c>
      <c r="F20" s="3">
        <f>SUM(F15:F19)</f>
        <v>357773450.94000006</v>
      </c>
      <c r="G20" s="3">
        <f>SUM(G15:G19)</f>
        <v>816022371.09000003</v>
      </c>
    </row>
    <row r="21" spans="1:7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3">
      <c r="A22" s="70" t="s">
        <v>4</v>
      </c>
      <c r="B22" s="37">
        <f t="shared" ref="B22" si="6">B7-B14-B20-B21</f>
        <v>-1393699802.24</v>
      </c>
      <c r="C22" s="37">
        <f t="shared" ref="C22" si="7">C7-C14-C20-C21</f>
        <v>-1257051781.9400001</v>
      </c>
      <c r="D22" s="37">
        <f>D7-D14-D20-D21</f>
        <v>-1827065236.0899999</v>
      </c>
      <c r="E22" s="37">
        <f>E7-E14-E20-E21</f>
        <v>-1105007144.1399996</v>
      </c>
      <c r="F22" s="37">
        <f>F7-F14-F20-F21</f>
        <v>-534660526.57000053</v>
      </c>
      <c r="G22" s="37">
        <f>G7-G14-G20-G21</f>
        <v>-200855034.56000006</v>
      </c>
    </row>
    <row r="23" spans="1:7" x14ac:dyDescent="0.3">
      <c r="B23" s="1"/>
      <c r="C23" s="1">
        <v>-73143181.170000002</v>
      </c>
      <c r="D23" s="1">
        <v>-51032936.140000001</v>
      </c>
      <c r="E23" s="1">
        <v>-47029879.530000001</v>
      </c>
      <c r="F23" s="1">
        <v>-61335766.68</v>
      </c>
      <c r="G23" s="1">
        <v>-41292141.759999998</v>
      </c>
    </row>
    <row r="24" spans="1:7" x14ac:dyDescent="0.3">
      <c r="A24" t="s">
        <v>365</v>
      </c>
      <c r="B24" s="6">
        <f t="shared" ref="B24:E24" si="8">B8/B3*100</f>
        <v>4.755584469820465</v>
      </c>
      <c r="C24" s="6">
        <f t="shared" si="8"/>
        <v>2.8742692605525022</v>
      </c>
      <c r="D24" s="6">
        <f t="shared" si="8"/>
        <v>3.7707542271043191</v>
      </c>
      <c r="E24" s="6">
        <f t="shared" si="8"/>
        <v>8.2298666561839724</v>
      </c>
      <c r="F24" s="6">
        <f t="shared" ref="F24:G24" si="9">F8/F3*100</f>
        <v>6.4457780499579034</v>
      </c>
      <c r="G24" s="6">
        <f t="shared" si="9"/>
        <v>11.793532044730064</v>
      </c>
    </row>
    <row r="25" spans="1:7" x14ac:dyDescent="0.3">
      <c r="A25" t="s">
        <v>356</v>
      </c>
    </row>
    <row r="52" spans="1:7" x14ac:dyDescent="0.3">
      <c r="A52" t="s">
        <v>13</v>
      </c>
      <c r="B52" s="1">
        <f t="shared" ref="B52:E52" si="10">SUM(B11:B13)</f>
        <v>2411037</v>
      </c>
      <c r="C52" s="1">
        <f t="shared" si="10"/>
        <v>42082195.160000004</v>
      </c>
      <c r="D52" s="1">
        <f t="shared" si="10"/>
        <v>734813956.75</v>
      </c>
      <c r="E52" s="1">
        <f t="shared" si="10"/>
        <v>429589268.56</v>
      </c>
      <c r="F52" s="1">
        <f t="shared" ref="F52:G52" si="11">SUM(F11:F13)</f>
        <v>109225262.52000001</v>
      </c>
      <c r="G52" s="1">
        <f t="shared" si="11"/>
        <v>192573806.82999998</v>
      </c>
    </row>
  </sheetData>
  <conditionalFormatting sqref="B22:E22 G22">
    <cfRule type="cellIs" dxfId="64" priority="18" operator="greaterThan">
      <formula>0</formula>
    </cfRule>
  </conditionalFormatting>
  <conditionalFormatting sqref="B22:E22 G22">
    <cfRule type="cellIs" dxfId="63" priority="15" operator="greaterThan">
      <formula>0</formula>
    </cfRule>
    <cfRule type="cellIs" dxfId="62" priority="16" operator="lessThan">
      <formula>0</formula>
    </cfRule>
  </conditionalFormatting>
  <conditionalFormatting sqref="B22">
    <cfRule type="cellIs" dxfId="61" priority="9" operator="greaterThan">
      <formula>0</formula>
    </cfRule>
  </conditionalFormatting>
  <conditionalFormatting sqref="B22">
    <cfRule type="cellIs" dxfId="60" priority="7" operator="greaterThan">
      <formula>0</formula>
    </cfRule>
    <cfRule type="cellIs" dxfId="59" priority="8" operator="lessThan">
      <formula>0</formula>
    </cfRule>
  </conditionalFormatting>
  <conditionalFormatting sqref="F22">
    <cfRule type="cellIs" dxfId="58" priority="3" operator="greaterThan">
      <formula>0</formula>
    </cfRule>
  </conditionalFormatting>
  <conditionalFormatting sqref="F22">
    <cfRule type="cellIs" dxfId="57" priority="1" operator="greaterThan">
      <formula>0</formula>
    </cfRule>
    <cfRule type="cellIs" dxfId="56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G27" sqref="G27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2.33203125" bestFit="1" customWidth="1"/>
  </cols>
  <sheetData>
    <row r="1" spans="1:8" x14ac:dyDescent="0.3">
      <c r="C1" s="103">
        <v>2016</v>
      </c>
      <c r="D1" s="103">
        <v>2017</v>
      </c>
      <c r="E1" s="103">
        <v>2018</v>
      </c>
      <c r="F1" s="111">
        <v>2019</v>
      </c>
      <c r="G1" s="105">
        <v>2020</v>
      </c>
      <c r="H1" s="12" t="s">
        <v>264</v>
      </c>
    </row>
    <row r="2" spans="1:8" x14ac:dyDescent="0.3">
      <c r="A2" t="s">
        <v>234</v>
      </c>
      <c r="B2" s="26" t="s">
        <v>258</v>
      </c>
      <c r="C2" s="1">
        <v>6973199419</v>
      </c>
      <c r="D2" s="1">
        <v>6963761546</v>
      </c>
      <c r="E2" s="1">
        <v>7151225791</v>
      </c>
      <c r="F2" s="1">
        <v>7019324183</v>
      </c>
      <c r="G2" s="1">
        <v>6951645562</v>
      </c>
      <c r="H2" s="1">
        <f>G2-F2</f>
        <v>-67678621</v>
      </c>
    </row>
    <row r="3" spans="1:8" x14ac:dyDescent="0.3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 t="shared" ref="H3:H28" si="0">G3-F3</f>
        <v>0</v>
      </c>
    </row>
    <row r="4" spans="1:8" x14ac:dyDescent="0.3">
      <c r="A4" t="s">
        <v>236</v>
      </c>
      <c r="B4" s="26" t="s">
        <v>258</v>
      </c>
      <c r="C4" s="1">
        <v>1128272469</v>
      </c>
      <c r="D4" s="1">
        <v>843674411</v>
      </c>
      <c r="E4" s="1">
        <v>698377757</v>
      </c>
      <c r="F4" s="1">
        <v>797386138</v>
      </c>
      <c r="G4" s="1">
        <v>900970991</v>
      </c>
      <c r="H4" s="1">
        <f t="shared" si="0"/>
        <v>103584853</v>
      </c>
    </row>
    <row r="5" spans="1:8" x14ac:dyDescent="0.3">
      <c r="A5" t="s">
        <v>237</v>
      </c>
      <c r="B5" s="26" t="s">
        <v>258</v>
      </c>
      <c r="C5" s="1">
        <v>5512249</v>
      </c>
      <c r="D5" s="1">
        <v>8324729</v>
      </c>
      <c r="E5" s="1">
        <v>6093965</v>
      </c>
      <c r="F5" s="1">
        <v>6107953</v>
      </c>
      <c r="G5" s="1">
        <v>4427575</v>
      </c>
      <c r="H5" s="1">
        <f t="shared" si="0"/>
        <v>-1680378</v>
      </c>
    </row>
    <row r="6" spans="1:8" x14ac:dyDescent="0.3">
      <c r="A6" t="s">
        <v>238</v>
      </c>
      <c r="B6" s="26" t="s">
        <v>258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239</v>
      </c>
      <c r="B7" s="26" t="s">
        <v>258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240</v>
      </c>
      <c r="B8" s="26" t="s">
        <v>258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241</v>
      </c>
      <c r="B9" s="33" t="s">
        <v>258</v>
      </c>
      <c r="C9" s="34">
        <v>101141401</v>
      </c>
      <c r="D9" s="34">
        <v>318025094</v>
      </c>
      <c r="E9" s="34">
        <v>424791091</v>
      </c>
      <c r="F9" s="34">
        <v>234217490</v>
      </c>
      <c r="G9" s="34">
        <v>176550354</v>
      </c>
      <c r="H9" s="1">
        <f t="shared" si="0"/>
        <v>-57667136</v>
      </c>
    </row>
    <row r="10" spans="1:8" x14ac:dyDescent="0.3">
      <c r="A10" s="35" t="s">
        <v>262</v>
      </c>
      <c r="B10" s="36" t="s">
        <v>258</v>
      </c>
      <c r="C10" s="94">
        <f t="shared" ref="C10" si="1">SUM(C2:C9)</f>
        <v>8208125538</v>
      </c>
      <c r="D10" s="94">
        <f t="shared" ref="D10:E10" si="2">SUM(D2:D9)</f>
        <v>8133785780</v>
      </c>
      <c r="E10" s="94">
        <f t="shared" si="2"/>
        <v>8280488604</v>
      </c>
      <c r="F10" s="94">
        <f t="shared" ref="F10:G10" si="3">SUM(F2:F9)</f>
        <v>8057035764</v>
      </c>
      <c r="G10" s="94">
        <f t="shared" si="3"/>
        <v>8033594482</v>
      </c>
      <c r="H10" s="11">
        <f t="shared" si="0"/>
        <v>-23441282</v>
      </c>
    </row>
    <row r="11" spans="1:8" x14ac:dyDescent="0.3">
      <c r="A11" t="s">
        <v>242</v>
      </c>
      <c r="B11" s="26" t="s">
        <v>259</v>
      </c>
      <c r="C11" s="1">
        <v>2167598</v>
      </c>
      <c r="D11" s="1">
        <v>1514699</v>
      </c>
      <c r="E11" s="1">
        <v>2796490</v>
      </c>
      <c r="F11" s="1">
        <v>2757069</v>
      </c>
      <c r="G11" s="1">
        <v>6290273</v>
      </c>
      <c r="H11" s="1">
        <f t="shared" si="0"/>
        <v>3533204</v>
      </c>
    </row>
    <row r="12" spans="1:8" x14ac:dyDescent="0.3">
      <c r="A12" t="s">
        <v>243</v>
      </c>
      <c r="B12" s="26" t="s">
        <v>259</v>
      </c>
      <c r="C12" s="1">
        <v>478301643</v>
      </c>
      <c r="D12" s="1">
        <v>477327565</v>
      </c>
      <c r="E12" s="1">
        <v>482561439</v>
      </c>
      <c r="F12" s="1">
        <v>400783292</v>
      </c>
      <c r="G12" s="1">
        <v>419377266</v>
      </c>
      <c r="H12" s="1">
        <f t="shared" si="0"/>
        <v>18593974</v>
      </c>
    </row>
    <row r="13" spans="1:8" x14ac:dyDescent="0.3">
      <c r="A13" t="s">
        <v>244</v>
      </c>
      <c r="B13" s="26" t="s">
        <v>259</v>
      </c>
      <c r="C13" s="1">
        <v>4661717</v>
      </c>
      <c r="D13" s="1">
        <v>4872639</v>
      </c>
      <c r="E13" s="1">
        <v>4867827</v>
      </c>
      <c r="F13" s="1">
        <v>3990333</v>
      </c>
      <c r="G13" s="1">
        <v>6120819</v>
      </c>
      <c r="H13" s="1">
        <f t="shared" si="0"/>
        <v>2130486</v>
      </c>
    </row>
    <row r="14" spans="1:8" x14ac:dyDescent="0.3">
      <c r="A14" t="s">
        <v>245</v>
      </c>
      <c r="B14" s="26" t="s">
        <v>259</v>
      </c>
      <c r="C14" s="1">
        <v>6238831191</v>
      </c>
      <c r="D14" s="1">
        <v>6590188315</v>
      </c>
      <c r="E14" s="1">
        <v>6708554362</v>
      </c>
      <c r="F14" s="1">
        <v>6797963943</v>
      </c>
      <c r="G14" s="1">
        <v>6760407257</v>
      </c>
      <c r="H14" s="1">
        <f t="shared" si="0"/>
        <v>-37556686</v>
      </c>
    </row>
    <row r="15" spans="1:8" x14ac:dyDescent="0.3">
      <c r="A15" t="s">
        <v>246</v>
      </c>
      <c r="B15" s="26" t="s">
        <v>259</v>
      </c>
      <c r="C15" s="1">
        <v>233635326</v>
      </c>
      <c r="D15" s="1">
        <v>212139960</v>
      </c>
      <c r="E15" s="1">
        <v>238536933</v>
      </c>
      <c r="F15" s="1">
        <v>243665260</v>
      </c>
      <c r="G15" s="1">
        <v>219413690</v>
      </c>
      <c r="H15" s="1">
        <f t="shared" si="0"/>
        <v>-24251570</v>
      </c>
    </row>
    <row r="16" spans="1:8" x14ac:dyDescent="0.3">
      <c r="A16" t="s">
        <v>247</v>
      </c>
      <c r="B16" s="26" t="s">
        <v>259</v>
      </c>
      <c r="C16" s="1">
        <v>47330425</v>
      </c>
      <c r="D16" s="1">
        <v>70566687</v>
      </c>
      <c r="E16" s="1">
        <v>118178501</v>
      </c>
      <c r="F16" s="1">
        <v>40404872</v>
      </c>
      <c r="G16" s="1">
        <v>39200737</v>
      </c>
      <c r="H16" s="1">
        <f t="shared" si="0"/>
        <v>-1204135</v>
      </c>
    </row>
    <row r="17" spans="1:8" x14ac:dyDescent="0.3">
      <c r="A17" t="s">
        <v>248</v>
      </c>
      <c r="B17" s="26" t="s">
        <v>259</v>
      </c>
      <c r="C17" s="1">
        <v>415586</v>
      </c>
      <c r="D17" s="1">
        <v>137900</v>
      </c>
      <c r="E17" s="1">
        <v>274635</v>
      </c>
      <c r="F17" s="1">
        <v>7821</v>
      </c>
      <c r="G17" s="1">
        <v>169818</v>
      </c>
      <c r="H17" s="1">
        <f t="shared" si="0"/>
        <v>161997</v>
      </c>
    </row>
    <row r="18" spans="1:8" x14ac:dyDescent="0.3">
      <c r="A18" t="s">
        <v>249</v>
      </c>
      <c r="B18" s="26" t="s">
        <v>259</v>
      </c>
      <c r="C18" s="1">
        <v>302935297</v>
      </c>
      <c r="D18" s="1">
        <v>433339268</v>
      </c>
      <c r="E18" s="1">
        <v>17705261</v>
      </c>
      <c r="F18" s="1">
        <v>23434162</v>
      </c>
      <c r="G18" s="1">
        <v>27300911</v>
      </c>
      <c r="H18" s="1">
        <f t="shared" si="0"/>
        <v>3866749</v>
      </c>
    </row>
    <row r="19" spans="1:8" x14ac:dyDescent="0.3">
      <c r="A19" t="s">
        <v>13</v>
      </c>
      <c r="B19" s="26" t="s">
        <v>259</v>
      </c>
      <c r="C19" s="1">
        <v>26898688</v>
      </c>
      <c r="D19" s="1">
        <v>27506603</v>
      </c>
      <c r="E19" s="1">
        <v>15565799</v>
      </c>
      <c r="F19" s="1">
        <v>20258246</v>
      </c>
      <c r="G19" s="1">
        <v>21841072</v>
      </c>
      <c r="H19" s="1">
        <f t="shared" si="0"/>
        <v>1582826</v>
      </c>
    </row>
    <row r="20" spans="1:8" x14ac:dyDescent="0.3">
      <c r="A20" s="32" t="s">
        <v>250</v>
      </c>
      <c r="B20" s="33" t="s">
        <v>259</v>
      </c>
      <c r="C20" s="34">
        <v>33258683</v>
      </c>
      <c r="D20" s="34">
        <v>92907873</v>
      </c>
      <c r="E20" s="34">
        <v>105342900</v>
      </c>
      <c r="F20" s="34">
        <v>118445392</v>
      </c>
      <c r="G20" s="34">
        <v>27389890</v>
      </c>
      <c r="H20" s="1">
        <f t="shared" si="0"/>
        <v>-91055502</v>
      </c>
    </row>
    <row r="21" spans="1:8" x14ac:dyDescent="0.3">
      <c r="A21" s="35" t="s">
        <v>263</v>
      </c>
      <c r="B21" s="36" t="s">
        <v>259</v>
      </c>
      <c r="C21" s="94">
        <f>SUM(C11:C20)</f>
        <v>7368436154</v>
      </c>
      <c r="D21" s="94">
        <f t="shared" ref="D21:E21" si="4">SUM(D11:D20)</f>
        <v>7910501509</v>
      </c>
      <c r="E21" s="94">
        <f t="shared" si="4"/>
        <v>7694384147</v>
      </c>
      <c r="F21" s="94">
        <f t="shared" ref="F21:G21" si="5">SUM(F11:F20)</f>
        <v>7651710390</v>
      </c>
      <c r="G21" s="94">
        <f t="shared" si="5"/>
        <v>7527511733</v>
      </c>
      <c r="H21" s="11">
        <f t="shared" si="0"/>
        <v>-124198657</v>
      </c>
    </row>
    <row r="22" spans="1:8" x14ac:dyDescent="0.3">
      <c r="A22" t="s">
        <v>251</v>
      </c>
      <c r="B22" s="26" t="s">
        <v>258</v>
      </c>
      <c r="C22" s="1">
        <v>9251207</v>
      </c>
      <c r="D22" s="1">
        <v>14711058</v>
      </c>
      <c r="E22" s="1">
        <v>9519151</v>
      </c>
      <c r="F22" s="1">
        <v>1495066</v>
      </c>
      <c r="G22" s="1">
        <v>5714803</v>
      </c>
      <c r="H22" s="1">
        <f t="shared" si="0"/>
        <v>4219737</v>
      </c>
    </row>
    <row r="23" spans="1:8" x14ac:dyDescent="0.3">
      <c r="A23" t="s">
        <v>252</v>
      </c>
      <c r="B23" s="26" t="s">
        <v>259</v>
      </c>
      <c r="C23" s="1">
        <v>43607801</v>
      </c>
      <c r="D23" s="1">
        <v>70792409</v>
      </c>
      <c r="E23" s="1">
        <v>45050682</v>
      </c>
      <c r="F23" s="1">
        <v>46898678</v>
      </c>
      <c r="G23" s="1">
        <v>47133715</v>
      </c>
      <c r="H23" s="1">
        <f t="shared" si="0"/>
        <v>235037</v>
      </c>
    </row>
    <row r="24" spans="1:8" x14ac:dyDescent="0.3">
      <c r="A24" t="s">
        <v>253</v>
      </c>
      <c r="B24" s="26" t="s">
        <v>258</v>
      </c>
      <c r="C24" s="1">
        <v>-8797309</v>
      </c>
      <c r="D24" s="1">
        <v>40438372</v>
      </c>
      <c r="E24" s="1">
        <v>-71846092</v>
      </c>
      <c r="F24" s="1">
        <v>-40089473</v>
      </c>
      <c r="G24" s="1">
        <v>1445871</v>
      </c>
      <c r="H24" s="1">
        <f t="shared" si="0"/>
        <v>41535344</v>
      </c>
    </row>
    <row r="25" spans="1:8" x14ac:dyDescent="0.3">
      <c r="A25" t="s">
        <v>254</v>
      </c>
      <c r="B25" s="26" t="s">
        <v>258</v>
      </c>
      <c r="C25" s="1">
        <v>203002228</v>
      </c>
      <c r="D25" s="1">
        <v>593101038</v>
      </c>
      <c r="E25" s="1">
        <v>1020414032</v>
      </c>
      <c r="F25" s="1">
        <v>708039700</v>
      </c>
      <c r="G25" s="1">
        <v>152584288</v>
      </c>
      <c r="H25" s="1">
        <f t="shared" si="0"/>
        <v>-555455412</v>
      </c>
    </row>
    <row r="26" spans="1:8" x14ac:dyDescent="0.3">
      <c r="A26" t="s">
        <v>255</v>
      </c>
      <c r="B26" s="26" t="s">
        <v>259</v>
      </c>
      <c r="C26" s="1">
        <v>82328386</v>
      </c>
      <c r="D26" s="1">
        <v>649878709</v>
      </c>
      <c r="E26" s="1">
        <v>988666874</v>
      </c>
      <c r="F26" s="1">
        <v>419386717</v>
      </c>
      <c r="G26" s="1">
        <v>119841691</v>
      </c>
      <c r="H26" s="1">
        <f t="shared" si="0"/>
        <v>-299545026</v>
      </c>
    </row>
    <row r="27" spans="1:8" x14ac:dyDescent="0.3">
      <c r="A27" t="s">
        <v>256</v>
      </c>
      <c r="B27" s="26" t="s">
        <v>259</v>
      </c>
      <c r="C27" s="1">
        <v>15489961</v>
      </c>
      <c r="D27" s="1">
        <v>14829442</v>
      </c>
      <c r="E27" s="1">
        <v>15774624</v>
      </c>
      <c r="F27" s="1">
        <v>16237275</v>
      </c>
      <c r="G27" s="1">
        <v>14303410</v>
      </c>
      <c r="H27" s="1">
        <f t="shared" si="0"/>
        <v>-1933865</v>
      </c>
    </row>
    <row r="28" spans="1:8" x14ac:dyDescent="0.3">
      <c r="A28" s="10" t="s">
        <v>257</v>
      </c>
      <c r="B28" s="36" t="s">
        <v>260</v>
      </c>
      <c r="C28" s="37">
        <f>C10-C21+C22-C23+C24+C25-C26-C27</f>
        <v>901719362</v>
      </c>
      <c r="D28" s="37">
        <f t="shared" ref="D28:E28" si="6">D10-D21+D22-D23+D24+D25-D26-D27</f>
        <v>136034179</v>
      </c>
      <c r="E28" s="37">
        <f t="shared" si="6"/>
        <v>494699368</v>
      </c>
      <c r="F28" s="37">
        <f t="shared" ref="F28:G28" si="7">F10-F21+F22-F23+F24+F25-F26-F27</f>
        <v>592247997</v>
      </c>
      <c r="G28" s="37">
        <f t="shared" si="7"/>
        <v>484548895</v>
      </c>
      <c r="H28" s="37">
        <f t="shared" si="0"/>
        <v>-107699102</v>
      </c>
    </row>
  </sheetData>
  <conditionalFormatting sqref="C28:E28 G28:H28">
    <cfRule type="cellIs" dxfId="55" priority="16" operator="greaterThan">
      <formula>0</formula>
    </cfRule>
  </conditionalFormatting>
  <conditionalFormatting sqref="C28:E28 G28">
    <cfRule type="cellIs" dxfId="54" priority="13" operator="greaterThan">
      <formula>0</formula>
    </cfRule>
  </conditionalFormatting>
  <conditionalFormatting sqref="F28">
    <cfRule type="cellIs" dxfId="53" priority="2" operator="greaterThan">
      <formula>0</formula>
    </cfRule>
  </conditionalFormatting>
  <conditionalFormatting sqref="F28">
    <cfRule type="cellIs" dxfId="5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G19" sqref="G19"/>
    </sheetView>
  </sheetViews>
  <sheetFormatPr defaultRowHeight="14.4" x14ac:dyDescent="0.3"/>
  <cols>
    <col min="1" max="1" width="50.6640625" bestFit="1" customWidth="1"/>
    <col min="2" max="6" width="13.33203125" bestFit="1" customWidth="1"/>
    <col min="7" max="7" width="12.3320312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</row>
    <row r="2" spans="1:7" x14ac:dyDescent="0.3">
      <c r="A2" s="71" t="s">
        <v>341</v>
      </c>
      <c r="B2" s="64">
        <f>Conto_economico!C10</f>
        <v>8208125538</v>
      </c>
      <c r="C2" s="64">
        <f>Conto_economico!D10</f>
        <v>8133785780</v>
      </c>
      <c r="D2" s="64">
        <f>Conto_economico!E10</f>
        <v>8280488604</v>
      </c>
      <c r="E2" s="64">
        <f>Conto_economico!F10</f>
        <v>8057035764</v>
      </c>
      <c r="F2" s="64">
        <f>Conto_economico!G10</f>
        <v>8033594482</v>
      </c>
      <c r="G2" s="64">
        <f>F2-E2</f>
        <v>-23441282</v>
      </c>
    </row>
    <row r="3" spans="1:7" x14ac:dyDescent="0.3">
      <c r="A3" s="71" t="s">
        <v>336</v>
      </c>
      <c r="B3" s="64">
        <f>Conto_economico!C2</f>
        <v>6973199419</v>
      </c>
      <c r="C3" s="64">
        <f>Conto_economico!D2</f>
        <v>6963761546</v>
      </c>
      <c r="D3" s="64">
        <f>Conto_economico!E2</f>
        <v>7151225791</v>
      </c>
      <c r="E3" s="64">
        <f>Conto_economico!F2</f>
        <v>7019324183</v>
      </c>
      <c r="F3" s="64">
        <f>Conto_economico!G2</f>
        <v>6951645562</v>
      </c>
      <c r="G3" s="64">
        <f t="shared" ref="G3:G15" si="0">F3-E3</f>
        <v>-67678621</v>
      </c>
    </row>
    <row r="4" spans="1:7" x14ac:dyDescent="0.3">
      <c r="A4" s="71" t="s">
        <v>337</v>
      </c>
      <c r="B4" s="64">
        <f>Conto_economico!C4</f>
        <v>1128272469</v>
      </c>
      <c r="C4" s="64">
        <f>Conto_economico!D4</f>
        <v>843674411</v>
      </c>
      <c r="D4" s="64">
        <f>Conto_economico!E4</f>
        <v>698377757</v>
      </c>
      <c r="E4" s="64">
        <f>Conto_economico!F4</f>
        <v>797386138</v>
      </c>
      <c r="F4" s="64">
        <f>Conto_economico!G4</f>
        <v>900970991</v>
      </c>
      <c r="G4" s="64">
        <f t="shared" si="0"/>
        <v>103584853</v>
      </c>
    </row>
    <row r="5" spans="1:7" x14ac:dyDescent="0.3">
      <c r="A5" s="71" t="s">
        <v>342</v>
      </c>
      <c r="B5" s="65">
        <f>Conto_economico!C21</f>
        <v>7368436154</v>
      </c>
      <c r="C5" s="65">
        <f>Conto_economico!D21</f>
        <v>7910501509</v>
      </c>
      <c r="D5" s="65">
        <f>Conto_economico!E21</f>
        <v>7694384147</v>
      </c>
      <c r="E5" s="65">
        <f>Conto_economico!F21</f>
        <v>7651710390</v>
      </c>
      <c r="F5" s="65">
        <f>Conto_economico!G21</f>
        <v>7527511733</v>
      </c>
      <c r="G5" s="64">
        <f t="shared" si="0"/>
        <v>-124198657</v>
      </c>
    </row>
    <row r="6" spans="1:7" x14ac:dyDescent="0.3">
      <c r="A6" s="71" t="s">
        <v>338</v>
      </c>
      <c r="B6" s="64">
        <f>Conto_economico!C12</f>
        <v>478301643</v>
      </c>
      <c r="C6" s="64">
        <f>Conto_economico!D12</f>
        <v>477327565</v>
      </c>
      <c r="D6" s="64">
        <f>Conto_economico!E12</f>
        <v>482561439</v>
      </c>
      <c r="E6" s="64">
        <f>Conto_economico!F12</f>
        <v>400783292</v>
      </c>
      <c r="F6" s="64">
        <f>Conto_economico!G12</f>
        <v>419377266</v>
      </c>
      <c r="G6" s="64">
        <f t="shared" si="0"/>
        <v>18593974</v>
      </c>
    </row>
    <row r="7" spans="1:7" x14ac:dyDescent="0.3">
      <c r="A7" s="71" t="s">
        <v>339</v>
      </c>
      <c r="B7" s="64">
        <f>Conto_economico!C15</f>
        <v>233635326</v>
      </c>
      <c r="C7" s="64">
        <f>Conto_economico!D15</f>
        <v>212139960</v>
      </c>
      <c r="D7" s="64">
        <f>Conto_economico!E15</f>
        <v>238536933</v>
      </c>
      <c r="E7" s="64">
        <f>Conto_economico!F15</f>
        <v>243665260</v>
      </c>
      <c r="F7" s="64">
        <f>Conto_economico!G15</f>
        <v>219413690</v>
      </c>
      <c r="G7" s="64">
        <f t="shared" si="0"/>
        <v>-24251570</v>
      </c>
    </row>
    <row r="8" spans="1:7" x14ac:dyDescent="0.3">
      <c r="A8" s="71" t="s">
        <v>340</v>
      </c>
      <c r="B8" s="64">
        <f>Conto_economico!C16</f>
        <v>47330425</v>
      </c>
      <c r="C8" s="64">
        <f>Conto_economico!D16</f>
        <v>70566687</v>
      </c>
      <c r="D8" s="64">
        <f>Conto_economico!E16</f>
        <v>118178501</v>
      </c>
      <c r="E8" s="64">
        <f>Conto_economico!F16</f>
        <v>40404872</v>
      </c>
      <c r="F8" s="64">
        <f>Conto_economico!G16</f>
        <v>39200737</v>
      </c>
      <c r="G8" s="64">
        <f t="shared" si="0"/>
        <v>-1204135</v>
      </c>
    </row>
    <row r="9" spans="1:7" x14ac:dyDescent="0.3">
      <c r="A9" s="47" t="s">
        <v>304</v>
      </c>
      <c r="B9" s="66">
        <f t="shared" ref="B9:D9" si="1">B2-B5</f>
        <v>839689384</v>
      </c>
      <c r="C9" s="66">
        <f t="shared" si="1"/>
        <v>223284271</v>
      </c>
      <c r="D9" s="66">
        <f t="shared" si="1"/>
        <v>586104457</v>
      </c>
      <c r="E9" s="66">
        <f t="shared" ref="E9:F9" si="2">E2-E5</f>
        <v>405325374</v>
      </c>
      <c r="F9" s="66">
        <f t="shared" si="2"/>
        <v>506082749</v>
      </c>
      <c r="G9" s="66">
        <f t="shared" si="0"/>
        <v>100757375</v>
      </c>
    </row>
    <row r="10" spans="1:7" x14ac:dyDescent="0.3">
      <c r="A10" s="71" t="s">
        <v>305</v>
      </c>
      <c r="B10" s="64">
        <f>Conto_economico!C22-Conto_economico!C23</f>
        <v>-34356594</v>
      </c>
      <c r="C10" s="64">
        <f>Conto_economico!D22-Conto_economico!D23</f>
        <v>-56081351</v>
      </c>
      <c r="D10" s="64">
        <f>Conto_economico!E22-Conto_economico!E23</f>
        <v>-35531531</v>
      </c>
      <c r="E10" s="64">
        <f>Conto_economico!F22-Conto_economico!F23</f>
        <v>-45403612</v>
      </c>
      <c r="F10" s="64">
        <f>Conto_economico!G22-Conto_economico!G23</f>
        <v>-41418912</v>
      </c>
      <c r="G10" s="64">
        <f t="shared" si="0"/>
        <v>3984700</v>
      </c>
    </row>
    <row r="11" spans="1:7" x14ac:dyDescent="0.3">
      <c r="A11" s="71" t="s">
        <v>306</v>
      </c>
      <c r="B11" s="65">
        <f>Conto_economico!C25-Conto_economico!C26</f>
        <v>120673842</v>
      </c>
      <c r="C11" s="65">
        <f>Conto_economico!D25-Conto_economico!D26</f>
        <v>-56777671</v>
      </c>
      <c r="D11" s="65">
        <f>Conto_economico!E25-Conto_economico!E26</f>
        <v>31747158</v>
      </c>
      <c r="E11" s="65">
        <f>Conto_economico!F25-Conto_economico!F26</f>
        <v>288652983</v>
      </c>
      <c r="F11" s="65">
        <f>Conto_economico!G25-Conto_economico!G26</f>
        <v>32742597</v>
      </c>
      <c r="G11" s="64">
        <f t="shared" si="0"/>
        <v>-255910386</v>
      </c>
    </row>
    <row r="12" spans="1:7" x14ac:dyDescent="0.3">
      <c r="A12" s="71" t="s">
        <v>253</v>
      </c>
      <c r="B12" s="65">
        <f>Conto_economico!C24</f>
        <v>-8797309</v>
      </c>
      <c r="C12" s="65">
        <f>Conto_economico!D24</f>
        <v>40438372</v>
      </c>
      <c r="D12" s="65">
        <f>Conto_economico!E24</f>
        <v>-71846092</v>
      </c>
      <c r="E12" s="65">
        <f>Conto_economico!F24</f>
        <v>-40089473</v>
      </c>
      <c r="F12" s="65">
        <f>Conto_economico!G24</f>
        <v>1445871</v>
      </c>
      <c r="G12" s="64">
        <f t="shared" si="0"/>
        <v>41535344</v>
      </c>
    </row>
    <row r="13" spans="1:7" x14ac:dyDescent="0.3">
      <c r="A13" s="47" t="s">
        <v>307</v>
      </c>
      <c r="B13" s="66">
        <f t="shared" ref="B13:D13" si="3">SUM(B9:B12)</f>
        <v>917209323</v>
      </c>
      <c r="C13" s="66">
        <f t="shared" si="3"/>
        <v>150863621</v>
      </c>
      <c r="D13" s="66">
        <f t="shared" si="3"/>
        <v>510473992</v>
      </c>
      <c r="E13" s="66">
        <f t="shared" ref="E13:F13" si="4">SUM(E9:E12)</f>
        <v>608485272</v>
      </c>
      <c r="F13" s="66">
        <f t="shared" si="4"/>
        <v>498852305</v>
      </c>
      <c r="G13" s="66">
        <f t="shared" si="0"/>
        <v>-109632967</v>
      </c>
    </row>
    <row r="14" spans="1:7" x14ac:dyDescent="0.3">
      <c r="A14" s="71" t="s">
        <v>256</v>
      </c>
      <c r="B14" s="64">
        <f>Conto_economico!C27</f>
        <v>15489961</v>
      </c>
      <c r="C14" s="64">
        <f>Conto_economico!D27</f>
        <v>14829442</v>
      </c>
      <c r="D14" s="64">
        <f>Conto_economico!E27</f>
        <v>15774624</v>
      </c>
      <c r="E14" s="64">
        <f>Conto_economico!F27</f>
        <v>16237275</v>
      </c>
      <c r="F14" s="64">
        <f>Conto_economico!G27</f>
        <v>14303410</v>
      </c>
      <c r="G14" s="64">
        <f t="shared" si="0"/>
        <v>-1933865</v>
      </c>
    </row>
    <row r="15" spans="1:7" x14ac:dyDescent="0.3">
      <c r="A15" s="70" t="s">
        <v>257</v>
      </c>
      <c r="B15" s="67">
        <f t="shared" ref="B15:D15" si="5">B13-B14</f>
        <v>901719362</v>
      </c>
      <c r="C15" s="67">
        <f t="shared" si="5"/>
        <v>136034179</v>
      </c>
      <c r="D15" s="67">
        <f t="shared" si="5"/>
        <v>494699368</v>
      </c>
      <c r="E15" s="67">
        <f t="shared" ref="E15:F15" si="6">E13-E14</f>
        <v>592247997</v>
      </c>
      <c r="F15" s="67">
        <f t="shared" si="6"/>
        <v>484548895</v>
      </c>
      <c r="G15" s="67">
        <f t="shared" si="0"/>
        <v>-107699102</v>
      </c>
    </row>
  </sheetData>
  <conditionalFormatting sqref="B15:D15 F15:G15">
    <cfRule type="cellIs" dxfId="51" priority="15" operator="greaterThan">
      <formula>0</formula>
    </cfRule>
  </conditionalFormatting>
  <conditionalFormatting sqref="B9:D9 B13:D13 F13:G13 F9:G9">
    <cfRule type="cellIs" dxfId="50" priority="14" operator="lessThan">
      <formula>0</formula>
    </cfRule>
  </conditionalFormatting>
  <conditionalFormatting sqref="E15">
    <cfRule type="cellIs" dxfId="49" priority="2" operator="greaterThan">
      <formula>0</formula>
    </cfRule>
  </conditionalFormatting>
  <conditionalFormatting sqref="E13 E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13" workbookViewId="0">
      <selection activeCell="G20" sqref="G20"/>
    </sheetView>
  </sheetViews>
  <sheetFormatPr defaultRowHeight="14.4" x14ac:dyDescent="0.3"/>
  <cols>
    <col min="1" max="1" width="51.6640625" style="32" bestFit="1" customWidth="1"/>
    <col min="2" max="7" width="13.88671875" bestFit="1" customWidth="1"/>
    <col min="8" max="9" width="12.6640625" bestFit="1" customWidth="1"/>
  </cols>
  <sheetData>
    <row r="1" spans="1:7" x14ac:dyDescent="0.3">
      <c r="A1" s="73"/>
      <c r="B1" s="102">
        <v>2015</v>
      </c>
      <c r="C1" s="102">
        <v>2016</v>
      </c>
      <c r="D1" s="102">
        <v>2017</v>
      </c>
      <c r="E1" s="102">
        <v>2018</v>
      </c>
      <c r="F1" s="102">
        <v>2019</v>
      </c>
      <c r="G1" s="102">
        <v>2020</v>
      </c>
    </row>
    <row r="2" spans="1:7" x14ac:dyDescent="0.3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7" x14ac:dyDescent="0.3">
      <c r="A3" s="32" t="s">
        <v>212</v>
      </c>
      <c r="B3" s="1">
        <v>22496927</v>
      </c>
      <c r="C3" s="1">
        <v>62649970</v>
      </c>
      <c r="D3" s="1">
        <v>41772137</v>
      </c>
      <c r="E3" s="1">
        <v>52140876</v>
      </c>
      <c r="F3" s="1">
        <v>60614980</v>
      </c>
      <c r="G3" s="1">
        <v>68828466</v>
      </c>
    </row>
    <row r="4" spans="1:7" x14ac:dyDescent="0.3">
      <c r="A4" s="32" t="s">
        <v>213</v>
      </c>
      <c r="B4" s="1">
        <v>1678372641</v>
      </c>
      <c r="C4" s="1">
        <v>1800700901</v>
      </c>
      <c r="D4" s="1">
        <v>1775355927</v>
      </c>
      <c r="E4" s="1">
        <v>1293362776</v>
      </c>
      <c r="F4" s="1">
        <v>1298351321</v>
      </c>
      <c r="G4" s="1">
        <v>1339963916</v>
      </c>
    </row>
    <row r="5" spans="1:7" x14ac:dyDescent="0.3">
      <c r="A5" s="32" t="s">
        <v>227</v>
      </c>
      <c r="B5" s="1">
        <v>1665612572</v>
      </c>
      <c r="C5" s="1">
        <v>1683331162</v>
      </c>
      <c r="D5" s="1">
        <v>1719426011</v>
      </c>
      <c r="E5" s="1">
        <v>1646536452</v>
      </c>
      <c r="F5" s="1">
        <v>1599044301</v>
      </c>
      <c r="G5" s="1">
        <v>1618320056</v>
      </c>
    </row>
    <row r="6" spans="1:7" x14ac:dyDescent="0.3">
      <c r="A6" s="32" t="s">
        <v>228</v>
      </c>
      <c r="B6" s="1">
        <v>93016749</v>
      </c>
      <c r="C6" s="1">
        <v>89439985</v>
      </c>
      <c r="D6" s="1">
        <v>64309398</v>
      </c>
      <c r="E6" s="1">
        <v>39814722</v>
      </c>
      <c r="F6" s="1">
        <v>37700180</v>
      </c>
      <c r="G6" s="1">
        <v>11262739</v>
      </c>
    </row>
    <row r="7" spans="1:7" x14ac:dyDescent="0.3">
      <c r="A7" s="32" t="s">
        <v>229</v>
      </c>
      <c r="B7" s="1">
        <v>6000000</v>
      </c>
      <c r="C7" s="1">
        <v>6000000</v>
      </c>
      <c r="D7" s="1">
        <v>6000000</v>
      </c>
      <c r="E7" s="1">
        <v>6000000</v>
      </c>
      <c r="F7" s="1">
        <v>6000000</v>
      </c>
      <c r="G7" s="1">
        <v>6000000</v>
      </c>
    </row>
    <row r="8" spans="1:7" x14ac:dyDescent="0.3">
      <c r="A8" s="32" t="s">
        <v>230</v>
      </c>
      <c r="B8" s="1">
        <v>3600366</v>
      </c>
      <c r="C8" s="1">
        <v>3184780</v>
      </c>
      <c r="D8" s="1">
        <v>3046881</v>
      </c>
      <c r="E8" s="1">
        <v>2772245</v>
      </c>
      <c r="F8" s="1">
        <v>2764424</v>
      </c>
      <c r="G8" s="1">
        <v>2594605</v>
      </c>
    </row>
    <row r="9" spans="1:7" x14ac:dyDescent="0.3">
      <c r="A9" s="32" t="s">
        <v>214</v>
      </c>
      <c r="B9" s="1">
        <v>895348729</v>
      </c>
      <c r="C9" s="1">
        <v>1840771192</v>
      </c>
      <c r="D9" s="1">
        <v>1979976631</v>
      </c>
      <c r="E9" s="1">
        <v>2131282410</v>
      </c>
      <c r="F9" s="1">
        <v>2428057469</v>
      </c>
      <c r="G9" s="1">
        <v>2909383076</v>
      </c>
    </row>
    <row r="10" spans="1:7" x14ac:dyDescent="0.3">
      <c r="A10" s="97" t="s">
        <v>358</v>
      </c>
      <c r="B10" s="1">
        <v>118170704</v>
      </c>
      <c r="C10" s="1">
        <v>0</v>
      </c>
      <c r="D10" s="1">
        <v>0</v>
      </c>
      <c r="E10" s="1">
        <v>106456954</v>
      </c>
      <c r="F10" s="1">
        <v>105945981</v>
      </c>
      <c r="G10" s="1">
        <v>91461777</v>
      </c>
    </row>
    <row r="11" spans="1:7" x14ac:dyDescent="0.3">
      <c r="A11" s="97" t="s">
        <v>364</v>
      </c>
      <c r="B11" s="1">
        <v>299850107</v>
      </c>
      <c r="C11" s="1">
        <v>1006845894</v>
      </c>
      <c r="D11" s="1">
        <v>1196675877</v>
      </c>
      <c r="E11" s="1">
        <v>1268726549</v>
      </c>
      <c r="F11" s="1">
        <v>1722320235</v>
      </c>
      <c r="G11" s="1">
        <v>1852822936</v>
      </c>
    </row>
    <row r="12" spans="1:7" x14ac:dyDescent="0.3">
      <c r="A12" s="32" t="s">
        <v>231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3">
      <c r="A13" s="32" t="s">
        <v>215</v>
      </c>
      <c r="B13" s="1">
        <v>815461098</v>
      </c>
      <c r="C13" s="1">
        <v>502664015</v>
      </c>
      <c r="D13" s="1">
        <v>907687661</v>
      </c>
      <c r="E13" s="1">
        <v>805865751</v>
      </c>
      <c r="F13" s="1">
        <v>1031523736</v>
      </c>
      <c r="G13" s="1">
        <v>1432078438</v>
      </c>
    </row>
    <row r="14" spans="1:7" x14ac:dyDescent="0.3">
      <c r="A14" s="32" t="s">
        <v>216</v>
      </c>
      <c r="B14" s="1">
        <v>0</v>
      </c>
      <c r="C14" s="1">
        <v>236614</v>
      </c>
      <c r="D14" s="1">
        <v>213621</v>
      </c>
      <c r="E14" s="1">
        <v>212724</v>
      </c>
      <c r="F14" s="1">
        <v>692083</v>
      </c>
      <c r="G14" s="1">
        <v>667716</v>
      </c>
    </row>
    <row r="15" spans="1:7" x14ac:dyDescent="0.3">
      <c r="A15" s="10" t="s">
        <v>217</v>
      </c>
      <c r="B15" s="11">
        <f t="shared" ref="B15:D15" si="0">SUM(B2:B9)+SUM(B12:B14)</f>
        <v>5179909082</v>
      </c>
      <c r="C15" s="11">
        <f t="shared" si="0"/>
        <v>5988978619</v>
      </c>
      <c r="D15" s="11">
        <f t="shared" si="0"/>
        <v>6497788267</v>
      </c>
      <c r="E15" s="11">
        <f>SUM(E2:E9)+SUM(E12:E14)</f>
        <v>5977987956</v>
      </c>
      <c r="F15" s="11">
        <f>SUM(F2:F9)+SUM(F12:F14)</f>
        <v>6464748494</v>
      </c>
      <c r="G15" s="11">
        <f>SUM(G2:G9)+SUM(G12:G14)</f>
        <v>7389099012</v>
      </c>
    </row>
    <row r="16" spans="1:7" x14ac:dyDescent="0.3">
      <c r="A16" s="32" t="s">
        <v>218</v>
      </c>
      <c r="B16" s="1">
        <v>-15945678</v>
      </c>
      <c r="C16" s="1">
        <v>204377720</v>
      </c>
      <c r="D16" s="1">
        <v>402261202</v>
      </c>
      <c r="E16" s="1">
        <v>405326201</v>
      </c>
      <c r="F16" s="1">
        <v>405326201</v>
      </c>
      <c r="G16" s="1">
        <v>405326201</v>
      </c>
    </row>
    <row r="17" spans="1:9" x14ac:dyDescent="0.3">
      <c r="A17" s="32" t="s">
        <v>219</v>
      </c>
      <c r="B17" s="1">
        <v>0</v>
      </c>
      <c r="C17" s="1">
        <v>8958185</v>
      </c>
      <c r="D17" s="1">
        <v>910056916</v>
      </c>
      <c r="E17" s="1">
        <v>1033154353</v>
      </c>
      <c r="F17" s="1">
        <v>1503041066</v>
      </c>
      <c r="G17" s="1">
        <v>2076264209</v>
      </c>
    </row>
    <row r="18" spans="1:9" x14ac:dyDescent="0.3">
      <c r="A18" s="32" t="s">
        <v>220</v>
      </c>
      <c r="B18" s="1">
        <v>0</v>
      </c>
      <c r="C18" s="1">
        <v>901719362</v>
      </c>
      <c r="D18" s="1">
        <v>136034179</v>
      </c>
      <c r="E18" s="1">
        <v>494699368</v>
      </c>
      <c r="F18" s="1">
        <v>592247997</v>
      </c>
      <c r="G18" s="1">
        <v>484548895</v>
      </c>
    </row>
    <row r="19" spans="1:9" x14ac:dyDescent="0.3">
      <c r="A19" s="32" t="s">
        <v>221</v>
      </c>
      <c r="B19" s="1">
        <v>508997953</v>
      </c>
      <c r="C19" s="1">
        <v>454846793</v>
      </c>
      <c r="D19" s="1">
        <v>802446734</v>
      </c>
      <c r="E19" s="1">
        <v>448050915</v>
      </c>
      <c r="F19" s="1">
        <v>116952813</v>
      </c>
      <c r="G19" s="1">
        <v>174188657</v>
      </c>
    </row>
    <row r="20" spans="1:9" x14ac:dyDescent="0.3">
      <c r="A20" s="32" t="s">
        <v>208</v>
      </c>
      <c r="B20" s="1">
        <v>1143873404</v>
      </c>
      <c r="C20" s="1">
        <v>1338032677</v>
      </c>
      <c r="D20" s="1">
        <v>1341618383</v>
      </c>
      <c r="E20" s="1">
        <v>1436721118</v>
      </c>
      <c r="F20" s="1">
        <v>1478634948</v>
      </c>
      <c r="G20" s="1">
        <v>1495397971</v>
      </c>
    </row>
    <row r="21" spans="1:9" x14ac:dyDescent="0.3">
      <c r="A21" s="32" t="s">
        <v>222</v>
      </c>
      <c r="B21" s="1">
        <v>122245669</v>
      </c>
      <c r="C21" s="1">
        <v>15491492</v>
      </c>
      <c r="D21" s="1">
        <v>46924961</v>
      </c>
      <c r="E21" s="1">
        <v>38031440</v>
      </c>
      <c r="F21" s="1">
        <v>53774192</v>
      </c>
      <c r="G21" s="1">
        <v>44102198</v>
      </c>
    </row>
    <row r="22" spans="1:9" x14ac:dyDescent="0.3">
      <c r="A22" s="32" t="s">
        <v>223</v>
      </c>
      <c r="B22" s="1">
        <v>1342069448</v>
      </c>
      <c r="C22" s="1">
        <v>1174593883</v>
      </c>
      <c r="D22" s="1">
        <v>1241189215</v>
      </c>
      <c r="E22" s="1">
        <v>864549191</v>
      </c>
      <c r="F22" s="1">
        <v>1197064979</v>
      </c>
      <c r="G22" s="1">
        <v>1614473994</v>
      </c>
    </row>
    <row r="23" spans="1:9" x14ac:dyDescent="0.3">
      <c r="A23" s="97" t="s">
        <v>359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9" x14ac:dyDescent="0.3">
      <c r="A24" s="97" t="s">
        <v>360</v>
      </c>
      <c r="B24" s="1">
        <v>1229443041</v>
      </c>
      <c r="C24" s="1">
        <v>1008700838</v>
      </c>
      <c r="D24" s="1">
        <v>1092741049</v>
      </c>
      <c r="E24" s="1">
        <v>716093770</v>
      </c>
      <c r="F24" s="1">
        <v>1009409214</v>
      </c>
      <c r="G24" s="1">
        <v>1125389864</v>
      </c>
    </row>
    <row r="25" spans="1:9" x14ac:dyDescent="0.3">
      <c r="A25" s="32" t="s">
        <v>224</v>
      </c>
      <c r="B25" s="1">
        <v>1804120765</v>
      </c>
      <c r="C25" s="1">
        <v>1572730826</v>
      </c>
      <c r="D25" s="1">
        <v>1261219515</v>
      </c>
      <c r="E25" s="1">
        <v>869370717</v>
      </c>
      <c r="F25" s="1">
        <v>700608965</v>
      </c>
      <c r="G25" s="1">
        <f>26275+660761234</f>
        <v>660787509</v>
      </c>
      <c r="H25" s="1"/>
      <c r="I25" s="1"/>
    </row>
    <row r="26" spans="1:9" x14ac:dyDescent="0.3">
      <c r="A26" s="32" t="s">
        <v>225</v>
      </c>
      <c r="B26" s="1">
        <v>274547521</v>
      </c>
      <c r="C26" s="1">
        <v>318227681</v>
      </c>
      <c r="D26" s="1">
        <v>356037162</v>
      </c>
      <c r="E26" s="1">
        <v>388084653</v>
      </c>
      <c r="F26" s="1">
        <v>417097333</v>
      </c>
      <c r="G26" s="1">
        <v>434009378</v>
      </c>
    </row>
    <row r="27" spans="1:9" x14ac:dyDescent="0.3">
      <c r="A27" s="72" t="s">
        <v>226</v>
      </c>
      <c r="B27" s="3">
        <f t="shared" ref="B27:D27" si="1">SUM(B16:B26)-B23-B24</f>
        <v>5179909082</v>
      </c>
      <c r="C27" s="3">
        <f t="shared" si="1"/>
        <v>5988978619</v>
      </c>
      <c r="D27" s="3">
        <f t="shared" si="1"/>
        <v>6497788267</v>
      </c>
      <c r="E27" s="3">
        <f>SUM(E16:E26)-E23-E24</f>
        <v>5977987956</v>
      </c>
      <c r="F27" s="3">
        <f>SUM(F16:F26)-F23-F24</f>
        <v>6464748494</v>
      </c>
      <c r="G27" s="3">
        <f>SUM(G16:G26)-G23-G24</f>
        <v>7389099012</v>
      </c>
    </row>
    <row r="28" spans="1:9" x14ac:dyDescent="0.3">
      <c r="A28" s="10" t="s">
        <v>265</v>
      </c>
      <c r="B28" s="11">
        <f>B16+B17+B18</f>
        <v>-15945678</v>
      </c>
      <c r="C28" s="11">
        <f>C16+C17+C18</f>
        <v>1115055267</v>
      </c>
      <c r="D28" s="11">
        <f>D16+D17+D18</f>
        <v>1448352297</v>
      </c>
      <c r="E28" s="11">
        <f>E16+E17+E18</f>
        <v>1933179922</v>
      </c>
      <c r="F28" s="11">
        <f>F16+F17+F18</f>
        <v>2500615264</v>
      </c>
      <c r="G28" s="11">
        <f>G16+G17+G18</f>
        <v>2966139305</v>
      </c>
    </row>
    <row r="29" spans="1:9" x14ac:dyDescent="0.3">
      <c r="E29" s="6">
        <f>E28/E27*100</f>
        <v>32.33830406198296</v>
      </c>
      <c r="F29" s="6">
        <f>F28/F27*100</f>
        <v>38.680781879153486</v>
      </c>
      <c r="G29" s="6">
        <f>G28/G27*100</f>
        <v>40.142097164795715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2" workbookViewId="0">
      <selection activeCell="G173" sqref="G17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6" t="s">
        <v>209</v>
      </c>
      <c r="B1" s="116"/>
      <c r="C1" s="2" t="s">
        <v>210</v>
      </c>
      <c r="D1" s="104">
        <v>2016</v>
      </c>
      <c r="E1" s="104">
        <v>2017</v>
      </c>
      <c r="F1" s="104">
        <v>2018</v>
      </c>
      <c r="G1" s="104">
        <v>2019</v>
      </c>
      <c r="H1" s="104">
        <v>2020</v>
      </c>
    </row>
    <row r="2" spans="1:8" x14ac:dyDescent="0.3">
      <c r="A2" t="s">
        <v>76</v>
      </c>
    </row>
    <row r="3" spans="1:8" x14ac:dyDescent="0.3">
      <c r="A3" s="8" t="s">
        <v>77</v>
      </c>
      <c r="B3" s="8" t="s">
        <v>78</v>
      </c>
      <c r="C3" s="9">
        <v>48</v>
      </c>
      <c r="D3" s="7">
        <v>6.73</v>
      </c>
      <c r="E3" s="7">
        <v>5.66</v>
      </c>
      <c r="F3" s="7">
        <v>7.5</v>
      </c>
      <c r="G3" s="7">
        <v>12.03</v>
      </c>
      <c r="H3" s="7">
        <v>4.53</v>
      </c>
    </row>
    <row r="4" spans="1:8" x14ac:dyDescent="0.3">
      <c r="A4" t="s">
        <v>79</v>
      </c>
      <c r="D4" s="7"/>
      <c r="E4" s="7"/>
      <c r="F4" s="7"/>
      <c r="G4" s="7"/>
      <c r="H4" s="7"/>
    </row>
    <row r="5" spans="1:8" x14ac:dyDescent="0.3">
      <c r="A5" t="s">
        <v>80</v>
      </c>
      <c r="B5" t="s">
        <v>81</v>
      </c>
      <c r="D5" s="7">
        <v>103.75</v>
      </c>
      <c r="E5" s="7">
        <v>102.73</v>
      </c>
      <c r="F5" s="7">
        <v>104.1</v>
      </c>
      <c r="G5" s="7">
        <v>99.87</v>
      </c>
      <c r="H5" s="7">
        <v>110.65</v>
      </c>
    </row>
    <row r="6" spans="1:8" x14ac:dyDescent="0.3">
      <c r="A6" t="s">
        <v>82</v>
      </c>
      <c r="B6" t="s">
        <v>83</v>
      </c>
      <c r="D6" s="7">
        <v>96.4</v>
      </c>
      <c r="E6" s="7">
        <v>97.53</v>
      </c>
      <c r="F6" s="7">
        <v>98.42</v>
      </c>
      <c r="G6" s="7">
        <v>91.84</v>
      </c>
      <c r="H6" s="7">
        <v>103.51</v>
      </c>
    </row>
    <row r="7" spans="1:8" x14ac:dyDescent="0.3">
      <c r="A7" t="s">
        <v>84</v>
      </c>
      <c r="B7" t="s">
        <v>85</v>
      </c>
      <c r="D7" s="7">
        <v>93.31</v>
      </c>
      <c r="E7" s="7">
        <v>98.83</v>
      </c>
      <c r="F7" s="7">
        <v>99.33</v>
      </c>
      <c r="G7" s="7">
        <v>96.22</v>
      </c>
      <c r="H7" s="7">
        <v>102.94</v>
      </c>
    </row>
    <row r="8" spans="1:8" x14ac:dyDescent="0.3">
      <c r="A8" t="s">
        <v>86</v>
      </c>
      <c r="B8" t="s">
        <v>87</v>
      </c>
      <c r="D8" s="7">
        <v>86.71</v>
      </c>
      <c r="E8" s="7">
        <v>93.83</v>
      </c>
      <c r="F8" s="7">
        <v>93.91</v>
      </c>
      <c r="G8" s="7">
        <v>88.48</v>
      </c>
      <c r="H8" s="7">
        <v>96.29</v>
      </c>
    </row>
    <row r="9" spans="1:8" x14ac:dyDescent="0.3">
      <c r="A9" t="s">
        <v>88</v>
      </c>
      <c r="B9" t="s">
        <v>89</v>
      </c>
      <c r="D9" s="7">
        <v>96.31</v>
      </c>
      <c r="E9" s="7">
        <v>101.5</v>
      </c>
      <c r="F9" s="7">
        <v>99.76</v>
      </c>
      <c r="G9" s="7">
        <v>98.97</v>
      </c>
      <c r="H9" s="7">
        <v>104.89</v>
      </c>
    </row>
    <row r="10" spans="1:8" x14ac:dyDescent="0.3">
      <c r="A10" t="s">
        <v>90</v>
      </c>
      <c r="B10" t="s">
        <v>91</v>
      </c>
      <c r="D10" s="7">
        <v>95.46</v>
      </c>
      <c r="E10" s="7">
        <v>96.86</v>
      </c>
      <c r="F10" s="7">
        <v>95.25</v>
      </c>
      <c r="G10" s="7">
        <v>92.98</v>
      </c>
      <c r="H10" s="7">
        <v>99.42</v>
      </c>
    </row>
    <row r="11" spans="1:8" x14ac:dyDescent="0.3">
      <c r="A11" t="s">
        <v>92</v>
      </c>
      <c r="B11" t="s">
        <v>93</v>
      </c>
      <c r="D11" s="7">
        <v>88.64</v>
      </c>
      <c r="E11" s="7">
        <v>98.85</v>
      </c>
      <c r="F11" s="7">
        <v>96.39</v>
      </c>
      <c r="G11" s="7">
        <v>95.94</v>
      </c>
      <c r="H11" s="7">
        <v>97.65</v>
      </c>
    </row>
    <row r="12" spans="1:8" x14ac:dyDescent="0.3">
      <c r="A12" s="8" t="s">
        <v>94</v>
      </c>
      <c r="B12" s="8" t="s">
        <v>95</v>
      </c>
      <c r="C12" s="9">
        <v>22</v>
      </c>
      <c r="D12" s="7">
        <v>86.26</v>
      </c>
      <c r="E12" s="7">
        <v>94.33</v>
      </c>
      <c r="F12" s="7">
        <v>92.04</v>
      </c>
      <c r="G12" s="7">
        <v>90.13</v>
      </c>
      <c r="H12" s="7">
        <v>92.56</v>
      </c>
    </row>
    <row r="13" spans="1:8" x14ac:dyDescent="0.3">
      <c r="A13" t="s">
        <v>96</v>
      </c>
      <c r="D13" s="7"/>
      <c r="E13" s="7"/>
      <c r="F13" s="7"/>
      <c r="G13" s="7"/>
      <c r="H13" s="7"/>
    </row>
    <row r="14" spans="1:8" x14ac:dyDescent="0.3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101</v>
      </c>
      <c r="D16" s="7"/>
      <c r="E16" s="7"/>
      <c r="F16" s="7"/>
      <c r="G16" s="7"/>
      <c r="H16" s="7"/>
    </row>
    <row r="17" spans="1:8" x14ac:dyDescent="0.3">
      <c r="A17" t="s">
        <v>102</v>
      </c>
      <c r="B17" t="s">
        <v>103</v>
      </c>
      <c r="D17" s="7">
        <v>3.9</v>
      </c>
      <c r="E17" s="7">
        <v>3.6</v>
      </c>
      <c r="F17" s="7">
        <v>3.9</v>
      </c>
      <c r="G17" s="7">
        <v>3.92</v>
      </c>
      <c r="H17" s="7">
        <v>3.91</v>
      </c>
    </row>
    <row r="18" spans="1:8" x14ac:dyDescent="0.3">
      <c r="A18" t="s">
        <v>104</v>
      </c>
      <c r="B18" t="s">
        <v>105</v>
      </c>
      <c r="D18" s="7">
        <v>12.96</v>
      </c>
      <c r="E18" s="7">
        <v>11.43</v>
      </c>
      <c r="F18" s="7">
        <v>12.65</v>
      </c>
      <c r="G18" s="7">
        <v>13.74</v>
      </c>
      <c r="H18" s="7">
        <v>15.3</v>
      </c>
    </row>
    <row r="19" spans="1:8" x14ac:dyDescent="0.3">
      <c r="A19" t="s">
        <v>106</v>
      </c>
      <c r="B19" t="s">
        <v>107</v>
      </c>
      <c r="D19" s="7">
        <v>4.3899999999999997</v>
      </c>
      <c r="E19" s="7">
        <v>3.43</v>
      </c>
      <c r="F19" s="7">
        <v>3.24</v>
      </c>
      <c r="G19" s="7">
        <v>2.58</v>
      </c>
      <c r="H19" s="7">
        <v>2.76</v>
      </c>
    </row>
    <row r="20" spans="1:8" x14ac:dyDescent="0.3">
      <c r="A20" t="s">
        <v>108</v>
      </c>
      <c r="B20" t="s">
        <v>109</v>
      </c>
      <c r="D20" s="7">
        <v>150.75</v>
      </c>
      <c r="E20" s="7">
        <v>142.54</v>
      </c>
      <c r="F20" s="7">
        <v>158.31</v>
      </c>
      <c r="G20" s="7">
        <v>159.35</v>
      </c>
      <c r="H20" s="7">
        <v>150.71</v>
      </c>
    </row>
    <row r="21" spans="1:8" x14ac:dyDescent="0.3">
      <c r="A21" t="s">
        <v>110</v>
      </c>
      <c r="D21" s="7"/>
      <c r="E21" s="7"/>
      <c r="F21" s="7"/>
      <c r="G21" s="7"/>
      <c r="H21" s="7"/>
    </row>
    <row r="22" spans="1:8" x14ac:dyDescent="0.3">
      <c r="A22" t="s">
        <v>111</v>
      </c>
      <c r="B22" t="s">
        <v>112</v>
      </c>
      <c r="D22" s="7">
        <v>5.6</v>
      </c>
      <c r="E22" s="7">
        <v>5.21</v>
      </c>
      <c r="F22" s="7">
        <v>5.67</v>
      </c>
      <c r="G22" s="7">
        <v>5.04</v>
      </c>
      <c r="H22" s="7">
        <v>5.13</v>
      </c>
    </row>
    <row r="23" spans="1:8" x14ac:dyDescent="0.3">
      <c r="A23" t="s">
        <v>113</v>
      </c>
      <c r="D23" s="7"/>
      <c r="E23" s="7"/>
      <c r="F23" s="7"/>
      <c r="G23" s="7"/>
      <c r="H23" s="7"/>
    </row>
    <row r="24" spans="1:8" x14ac:dyDescent="0.3">
      <c r="A24" t="s">
        <v>114</v>
      </c>
      <c r="B24" t="s">
        <v>115</v>
      </c>
      <c r="D24" s="7">
        <v>0.57999999999999996</v>
      </c>
      <c r="E24" s="7">
        <v>0.61</v>
      </c>
      <c r="F24" s="7">
        <v>0.57999999999999996</v>
      </c>
      <c r="G24" s="7">
        <v>0.63</v>
      </c>
      <c r="H24" s="7">
        <v>0.56999999999999995</v>
      </c>
    </row>
    <row r="25" spans="1:8" x14ac:dyDescent="0.3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118</v>
      </c>
      <c r="B26" t="s">
        <v>119</v>
      </c>
      <c r="D26" s="7">
        <v>0.01</v>
      </c>
      <c r="E26" s="7">
        <v>0.01</v>
      </c>
      <c r="F26" s="7">
        <v>1.38</v>
      </c>
      <c r="G26" s="7">
        <v>0.74</v>
      </c>
      <c r="H26" s="7">
        <v>0.43</v>
      </c>
    </row>
    <row r="27" spans="1:8" x14ac:dyDescent="0.3">
      <c r="A27" t="s">
        <v>120</v>
      </c>
      <c r="D27" s="7"/>
      <c r="E27" s="7"/>
      <c r="F27" s="7"/>
      <c r="G27" s="7"/>
      <c r="H27" s="7"/>
    </row>
    <row r="28" spans="1:8" x14ac:dyDescent="0.3">
      <c r="A28" t="s">
        <v>121</v>
      </c>
      <c r="B28" t="s">
        <v>122</v>
      </c>
      <c r="D28" s="7">
        <v>11.47</v>
      </c>
      <c r="E28" s="7">
        <v>11.52</v>
      </c>
      <c r="F28" s="7">
        <v>9.5299999999999994</v>
      </c>
      <c r="G28" s="7">
        <v>10</v>
      </c>
      <c r="H28" s="7">
        <v>12.7</v>
      </c>
    </row>
    <row r="29" spans="1:8" x14ac:dyDescent="0.3">
      <c r="A29" t="s">
        <v>123</v>
      </c>
      <c r="B29" t="s">
        <v>124</v>
      </c>
      <c r="D29" s="7">
        <v>60.94</v>
      </c>
      <c r="E29" s="7">
        <v>34.97</v>
      </c>
      <c r="F29" s="7">
        <v>42.26</v>
      </c>
      <c r="G29" s="7">
        <v>25.25</v>
      </c>
      <c r="H29" s="7">
        <v>35.53</v>
      </c>
    </row>
    <row r="30" spans="1:8" x14ac:dyDescent="0.3">
      <c r="A30" t="s">
        <v>125</v>
      </c>
      <c r="B30" t="s">
        <v>126</v>
      </c>
      <c r="D30" s="7">
        <v>467.98</v>
      </c>
      <c r="E30" s="7">
        <v>494.16</v>
      </c>
      <c r="F30" s="7">
        <v>409.15</v>
      </c>
      <c r="G30" s="7">
        <v>459.44</v>
      </c>
      <c r="H30" s="7">
        <v>560.54999999999995</v>
      </c>
    </row>
    <row r="31" spans="1:8" x14ac:dyDescent="0.3">
      <c r="A31" t="s">
        <v>127</v>
      </c>
      <c r="B31" t="s">
        <v>128</v>
      </c>
      <c r="D31" s="7">
        <v>528.91999999999996</v>
      </c>
      <c r="E31" s="7">
        <v>529.12</v>
      </c>
      <c r="F31" s="7">
        <v>451.42</v>
      </c>
      <c r="G31" s="7">
        <v>484.69</v>
      </c>
      <c r="H31" s="7">
        <v>596.08000000000004</v>
      </c>
    </row>
    <row r="32" spans="1:8" x14ac:dyDescent="0.3">
      <c r="A32" t="s">
        <v>129</v>
      </c>
      <c r="B32" t="s">
        <v>130</v>
      </c>
      <c r="D32" s="7">
        <v>50.29</v>
      </c>
      <c r="E32" s="7">
        <v>38.85</v>
      </c>
      <c r="F32" s="7">
        <v>36.11</v>
      </c>
      <c r="G32" s="7">
        <v>41.1</v>
      </c>
      <c r="H32" s="7">
        <v>36.200000000000003</v>
      </c>
    </row>
    <row r="33" spans="1:8" x14ac:dyDescent="0.3">
      <c r="A33" t="s">
        <v>131</v>
      </c>
      <c r="B33" t="s">
        <v>132</v>
      </c>
      <c r="D33" s="7">
        <v>0</v>
      </c>
      <c r="E33" s="7">
        <v>0.18</v>
      </c>
      <c r="F33" s="7">
        <v>2.94</v>
      </c>
      <c r="G33" s="7">
        <v>2.25</v>
      </c>
      <c r="H33" s="7">
        <v>0.1</v>
      </c>
    </row>
    <row r="34" spans="1:8" x14ac:dyDescent="0.3">
      <c r="A34" t="s">
        <v>133</v>
      </c>
      <c r="B34" t="s">
        <v>134</v>
      </c>
      <c r="D34" s="7">
        <v>24.36</v>
      </c>
      <c r="E34" s="7">
        <v>7.73</v>
      </c>
      <c r="F34" s="7">
        <v>10.52</v>
      </c>
      <c r="G34" s="7">
        <v>6.48</v>
      </c>
      <c r="H34" s="7">
        <v>3.59</v>
      </c>
    </row>
    <row r="35" spans="1:8" x14ac:dyDescent="0.3">
      <c r="A35" t="s">
        <v>135</v>
      </c>
      <c r="D35" s="7"/>
      <c r="E35" s="7"/>
      <c r="F35" s="7"/>
      <c r="G35" s="7"/>
      <c r="H35" s="7"/>
    </row>
    <row r="36" spans="1:8" x14ac:dyDescent="0.3">
      <c r="A36" t="s">
        <v>136</v>
      </c>
      <c r="B36" t="s">
        <v>137</v>
      </c>
      <c r="D36" s="7">
        <v>82.28</v>
      </c>
      <c r="E36" s="7">
        <v>77.930000000000007</v>
      </c>
      <c r="F36" s="7">
        <v>68.92</v>
      </c>
      <c r="G36" s="7">
        <v>73.58</v>
      </c>
      <c r="H36" s="7">
        <v>72.58</v>
      </c>
    </row>
    <row r="37" spans="1:8" x14ac:dyDescent="0.3">
      <c r="A37" t="s">
        <v>138</v>
      </c>
      <c r="B37" t="s">
        <v>139</v>
      </c>
      <c r="D37" s="7">
        <v>69.56</v>
      </c>
      <c r="E37" s="7">
        <v>59.95</v>
      </c>
      <c r="F37" s="7">
        <v>36.46</v>
      </c>
      <c r="G37" s="7">
        <v>53.53</v>
      </c>
      <c r="H37" s="7">
        <v>40.85</v>
      </c>
    </row>
    <row r="38" spans="1:8" x14ac:dyDescent="0.3">
      <c r="A38" t="s">
        <v>140</v>
      </c>
      <c r="B38" t="s">
        <v>141</v>
      </c>
      <c r="D38" s="7">
        <v>89.98</v>
      </c>
      <c r="E38" s="7">
        <v>0</v>
      </c>
      <c r="F38" s="7">
        <v>99.55</v>
      </c>
      <c r="G38" s="7">
        <v>99.66</v>
      </c>
      <c r="H38" s="7">
        <v>99.97</v>
      </c>
    </row>
    <row r="39" spans="1:8" x14ac:dyDescent="0.3">
      <c r="A39" t="s">
        <v>142</v>
      </c>
      <c r="B39" t="s">
        <v>143</v>
      </c>
      <c r="D39" s="7">
        <v>74.319999999999993</v>
      </c>
      <c r="E39" s="7">
        <v>43.47</v>
      </c>
      <c r="F39" s="7">
        <v>58.06</v>
      </c>
      <c r="G39" s="7">
        <v>36.049999999999997</v>
      </c>
      <c r="H39" s="7">
        <v>66</v>
      </c>
    </row>
    <row r="40" spans="1:8" x14ac:dyDescent="0.3">
      <c r="A40" t="s">
        <v>144</v>
      </c>
      <c r="B40" t="s">
        <v>145</v>
      </c>
      <c r="D40" s="7">
        <v>79.010000000000005</v>
      </c>
      <c r="E40" s="7">
        <v>42.86</v>
      </c>
      <c r="F40" s="7">
        <v>25.02</v>
      </c>
      <c r="G40" s="7">
        <v>35.24</v>
      </c>
      <c r="H40" s="7">
        <v>15.52</v>
      </c>
    </row>
    <row r="41" spans="1:8" x14ac:dyDescent="0.3">
      <c r="A41" t="s">
        <v>146</v>
      </c>
      <c r="B41" t="s">
        <v>147</v>
      </c>
      <c r="D41" s="7">
        <v>0</v>
      </c>
      <c r="E41" s="7">
        <v>0</v>
      </c>
      <c r="F41" s="7">
        <v>100</v>
      </c>
      <c r="G41" s="7">
        <v>100</v>
      </c>
      <c r="H41" s="7">
        <v>90.41</v>
      </c>
    </row>
    <row r="42" spans="1:8" x14ac:dyDescent="0.3">
      <c r="A42" t="s">
        <v>148</v>
      </c>
      <c r="D42" s="7"/>
      <c r="E42" s="7"/>
      <c r="F42" s="7"/>
      <c r="G42" s="7"/>
      <c r="H42" s="7"/>
    </row>
    <row r="43" spans="1:8" x14ac:dyDescent="0.3">
      <c r="A43" t="s">
        <v>149</v>
      </c>
      <c r="B43" t="s">
        <v>150</v>
      </c>
      <c r="D43" s="7">
        <v>73.56</v>
      </c>
      <c r="E43" s="7">
        <v>77.459999999999994</v>
      </c>
      <c r="F43" s="7">
        <v>77.94</v>
      </c>
      <c r="G43" s="7">
        <v>75.930000000000007</v>
      </c>
      <c r="H43" s="7">
        <v>74.59</v>
      </c>
    </row>
    <row r="44" spans="1:8" x14ac:dyDescent="0.3">
      <c r="A44" t="s">
        <v>151</v>
      </c>
      <c r="B44" t="s">
        <v>152</v>
      </c>
      <c r="D44" s="7">
        <v>62.19</v>
      </c>
      <c r="E44" s="7">
        <v>65.88</v>
      </c>
      <c r="F44" s="7">
        <v>61.25</v>
      </c>
      <c r="G44" s="7">
        <v>50.46</v>
      </c>
      <c r="H44" s="7">
        <v>53.65</v>
      </c>
    </row>
    <row r="45" spans="1:8" x14ac:dyDescent="0.3">
      <c r="A45" t="s">
        <v>153</v>
      </c>
      <c r="B45" t="s">
        <v>154</v>
      </c>
      <c r="D45" s="7">
        <v>87.51</v>
      </c>
      <c r="E45" s="7">
        <v>87.66</v>
      </c>
      <c r="F45" s="7">
        <v>94.95</v>
      </c>
      <c r="G45" s="7">
        <v>90.82</v>
      </c>
      <c r="H45" s="7">
        <v>92.06</v>
      </c>
    </row>
    <row r="46" spans="1:8" x14ac:dyDescent="0.3">
      <c r="A46" t="s">
        <v>155</v>
      </c>
      <c r="B46" t="s">
        <v>156</v>
      </c>
      <c r="D46" s="7">
        <v>78.87</v>
      </c>
      <c r="E46" s="7">
        <v>67.66</v>
      </c>
      <c r="F46" s="7">
        <v>61.84</v>
      </c>
      <c r="G46" s="7">
        <v>42.83</v>
      </c>
      <c r="H46" s="7">
        <v>34.18</v>
      </c>
    </row>
    <row r="47" spans="1:8" x14ac:dyDescent="0.3">
      <c r="A47" t="s">
        <v>157</v>
      </c>
      <c r="B47" t="s">
        <v>158</v>
      </c>
      <c r="D47" s="7">
        <v>-4.7300000000000004</v>
      </c>
      <c r="E47" s="7">
        <v>-6.59</v>
      </c>
      <c r="F47" s="7">
        <v>-8.93</v>
      </c>
      <c r="G47" s="7">
        <v>-9.74</v>
      </c>
      <c r="H47" s="7">
        <v>-11.41</v>
      </c>
    </row>
    <row r="48" spans="1:8" x14ac:dyDescent="0.3">
      <c r="A48" t="s">
        <v>159</v>
      </c>
      <c r="D48" s="7"/>
      <c r="E48" s="7"/>
      <c r="F48" s="7"/>
      <c r="G48" s="7"/>
      <c r="H48" s="7"/>
    </row>
    <row r="49" spans="1:8" x14ac:dyDescent="0.3">
      <c r="A49" t="s">
        <v>160</v>
      </c>
      <c r="B49" t="s">
        <v>161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 x14ac:dyDescent="0.3">
      <c r="A50" t="s">
        <v>162</v>
      </c>
      <c r="B50" t="s">
        <v>163</v>
      </c>
      <c r="D50" s="7">
        <v>15.42</v>
      </c>
      <c r="E50" s="7">
        <v>5.03</v>
      </c>
      <c r="F50" s="7">
        <v>1.56</v>
      </c>
      <c r="G50" s="7">
        <v>2.71</v>
      </c>
      <c r="H50" s="7">
        <v>1.97</v>
      </c>
    </row>
    <row r="51" spans="1:8" x14ac:dyDescent="0.3">
      <c r="A51" s="8" t="s">
        <v>164</v>
      </c>
      <c r="B51" s="8" t="s">
        <v>165</v>
      </c>
      <c r="C51" s="9">
        <v>16</v>
      </c>
      <c r="D51" s="7">
        <v>3.02</v>
      </c>
      <c r="E51" s="7">
        <v>2.4500000000000002</v>
      </c>
      <c r="F51" s="7">
        <v>1.66</v>
      </c>
      <c r="G51" s="7">
        <v>1.67</v>
      </c>
      <c r="H51" s="7">
        <v>1.26</v>
      </c>
    </row>
    <row r="52" spans="1:8" x14ac:dyDescent="0.3">
      <c r="A52" t="s">
        <v>166</v>
      </c>
      <c r="B52" t="s">
        <v>167</v>
      </c>
      <c r="D52" s="7">
        <v>806.95</v>
      </c>
      <c r="E52" s="7">
        <v>811.56</v>
      </c>
      <c r="F52" s="7">
        <v>871.7</v>
      </c>
      <c r="G52" s="7">
        <v>901.83</v>
      </c>
      <c r="H52" s="7">
        <v>927.88</v>
      </c>
    </row>
    <row r="53" spans="1:8" x14ac:dyDescent="0.3">
      <c r="A53" t="s">
        <v>168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169</v>
      </c>
      <c r="B54" t="s">
        <v>170</v>
      </c>
      <c r="D54" s="7">
        <v>0</v>
      </c>
      <c r="E54" s="7">
        <v>-2280.9556463792769</v>
      </c>
      <c r="F54" s="7">
        <v>-197.25287460218914</v>
      </c>
      <c r="G54" s="7">
        <v>-73.646112640510779</v>
      </c>
      <c r="H54" s="7">
        <v>-11.622370295160083</v>
      </c>
    </row>
    <row r="55" spans="1:8" x14ac:dyDescent="0.3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173</v>
      </c>
      <c r="B56" t="s">
        <v>174</v>
      </c>
      <c r="D56" s="7">
        <v>0</v>
      </c>
      <c r="E56" s="7">
        <v>1993.2015767477371</v>
      </c>
      <c r="F56" s="7">
        <v>239.21531786511983</v>
      </c>
      <c r="G56" s="7">
        <v>124.36507811801587</v>
      </c>
      <c r="H56" s="7">
        <v>64.403667578951158</v>
      </c>
    </row>
    <row r="57" spans="1:8" x14ac:dyDescent="0.3">
      <c r="A57" t="s">
        <v>175</v>
      </c>
      <c r="B57" t="s">
        <v>176</v>
      </c>
      <c r="D57" s="7">
        <v>0</v>
      </c>
      <c r="E57" s="7">
        <v>387.75406963154001</v>
      </c>
      <c r="F57" s="7">
        <v>58.03755673706933</v>
      </c>
      <c r="G57" s="7">
        <v>49.281034522494913</v>
      </c>
      <c r="H57" s="7">
        <v>47.218702716208931</v>
      </c>
    </row>
    <row r="58" spans="1:8" x14ac:dyDescent="0.3">
      <c r="A58" t="s">
        <v>177</v>
      </c>
      <c r="D58" s="7"/>
      <c r="E58" s="7"/>
      <c r="F58" s="7"/>
      <c r="G58" s="7"/>
      <c r="H58" s="7"/>
    </row>
    <row r="59" spans="1:8" x14ac:dyDescent="0.3">
      <c r="A59" t="s">
        <v>178</v>
      </c>
      <c r="B59" t="s">
        <v>179</v>
      </c>
      <c r="D59" s="7">
        <v>3.67</v>
      </c>
      <c r="E59" s="7">
        <v>0</v>
      </c>
      <c r="F59" s="7">
        <v>39.520104574658561</v>
      </c>
      <c r="G59" s="7">
        <v>51.614744809083213</v>
      </c>
      <c r="H59" s="7">
        <v>62.433165610982677</v>
      </c>
    </row>
    <row r="60" spans="1:8" x14ac:dyDescent="0.3">
      <c r="A60" t="s">
        <v>180</v>
      </c>
      <c r="B60" t="s">
        <v>181</v>
      </c>
      <c r="D60" s="7"/>
      <c r="E60" s="7"/>
      <c r="F60" s="7">
        <v>-39.520104574658561</v>
      </c>
      <c r="G60" s="7">
        <v>-51.614744809083213</v>
      </c>
      <c r="H60" s="7">
        <v>-62.433165610982677</v>
      </c>
    </row>
    <row r="61" spans="1:8" x14ac:dyDescent="0.3">
      <c r="A61" t="s">
        <v>182</v>
      </c>
      <c r="B61" t="s">
        <v>183</v>
      </c>
      <c r="D61" s="7">
        <v>0</v>
      </c>
      <c r="E61" s="7">
        <v>100</v>
      </c>
      <c r="F61" s="7">
        <v>100</v>
      </c>
      <c r="G61" s="7">
        <v>21.381159039825828</v>
      </c>
      <c r="H61" s="7">
        <v>6.7715981586373957</v>
      </c>
    </row>
    <row r="62" spans="1:8" x14ac:dyDescent="0.3">
      <c r="A62" s="8" t="s">
        <v>184</v>
      </c>
      <c r="B62" s="8" t="s">
        <v>185</v>
      </c>
      <c r="C62" s="9">
        <v>1.2</v>
      </c>
      <c r="D62" s="7">
        <v>7.31</v>
      </c>
      <c r="E62" s="7">
        <v>5.86</v>
      </c>
      <c r="F62" s="7">
        <v>7.28</v>
      </c>
      <c r="G62" s="7">
        <v>11.15</v>
      </c>
      <c r="H62" s="7">
        <v>2.34</v>
      </c>
    </row>
    <row r="63" spans="1:8" x14ac:dyDescent="0.3">
      <c r="A63" t="s">
        <v>352</v>
      </c>
      <c r="B63" t="s">
        <v>353</v>
      </c>
      <c r="C63" s="7"/>
      <c r="D63" s="7">
        <v>31.9</v>
      </c>
      <c r="E63" s="7">
        <v>18.07</v>
      </c>
      <c r="F63" s="7">
        <v>19.97</v>
      </c>
      <c r="G63" s="7">
        <v>27.61</v>
      </c>
      <c r="H63" s="7">
        <v>6.15</v>
      </c>
    </row>
    <row r="64" spans="1:8" x14ac:dyDescent="0.3">
      <c r="A64" t="s">
        <v>186</v>
      </c>
      <c r="D64" s="7"/>
      <c r="E64" s="7"/>
      <c r="F64" s="7"/>
      <c r="G64" s="7"/>
      <c r="H64" s="7"/>
    </row>
    <row r="65" spans="1:8" x14ac:dyDescent="0.3">
      <c r="A65" s="8" t="s">
        <v>187</v>
      </c>
      <c r="B65" s="8" t="s">
        <v>188</v>
      </c>
      <c r="C65" s="9">
        <v>1</v>
      </c>
      <c r="D65" s="7">
        <v>0.19</v>
      </c>
      <c r="E65" s="7">
        <v>1.37</v>
      </c>
      <c r="F65" s="7">
        <v>0.04</v>
      </c>
      <c r="G65" s="7">
        <v>0.03</v>
      </c>
      <c r="H65" s="7">
        <v>0.02</v>
      </c>
    </row>
    <row r="66" spans="1:8" x14ac:dyDescent="0.3">
      <c r="A66" s="8" t="s">
        <v>189</v>
      </c>
      <c r="B66" s="8" t="s">
        <v>190</v>
      </c>
      <c r="C66" s="9"/>
      <c r="D66" s="7">
        <v>0.03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3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3">
      <c r="A68" t="s">
        <v>193</v>
      </c>
      <c r="D68" s="7"/>
      <c r="E68" s="7"/>
      <c r="F68" s="7"/>
      <c r="G68" s="7"/>
      <c r="H68" s="7"/>
    </row>
    <row r="69" spans="1:8" x14ac:dyDescent="0.3">
      <c r="A69" t="s">
        <v>194</v>
      </c>
      <c r="B69" t="s">
        <v>195</v>
      </c>
      <c r="D69" s="7">
        <v>51.05</v>
      </c>
      <c r="E69" s="7">
        <v>33.020000000000003</v>
      </c>
      <c r="F69" s="30">
        <v>27.25</v>
      </c>
      <c r="G69" s="30">
        <v>13.51</v>
      </c>
      <c r="H69" s="30">
        <v>15.65</v>
      </c>
    </row>
    <row r="70" spans="1:8" x14ac:dyDescent="0.3">
      <c r="A70" t="s">
        <v>196</v>
      </c>
      <c r="D70" s="7"/>
      <c r="E70" s="7"/>
      <c r="F70" s="7"/>
      <c r="G70" s="7"/>
      <c r="H70" s="7"/>
    </row>
    <row r="71" spans="1:8" x14ac:dyDescent="0.3">
      <c r="A71" t="s">
        <v>197</v>
      </c>
      <c r="B71" t="s">
        <v>198</v>
      </c>
      <c r="D71" s="7">
        <v>1.71</v>
      </c>
      <c r="E71" s="30">
        <v>2.0299999999999998</v>
      </c>
      <c r="F71" s="7">
        <v>1.91</v>
      </c>
      <c r="G71" s="7">
        <v>2.15</v>
      </c>
      <c r="H71" s="7">
        <v>1.97</v>
      </c>
    </row>
    <row r="72" spans="1:8" x14ac:dyDescent="0.3">
      <c r="A72" t="s">
        <v>199</v>
      </c>
      <c r="B72" t="s">
        <v>200</v>
      </c>
      <c r="D72" s="7">
        <v>1.97</v>
      </c>
      <c r="E72" s="30">
        <v>2.3199999999999998</v>
      </c>
      <c r="F72" s="7">
        <v>2.17</v>
      </c>
      <c r="G72" s="7">
        <v>2.36</v>
      </c>
      <c r="H72" s="7">
        <v>2.48</v>
      </c>
    </row>
    <row r="73" spans="1:8" x14ac:dyDescent="0.3">
      <c r="A73" t="s">
        <v>303</v>
      </c>
      <c r="D73" s="7"/>
      <c r="E73" s="7"/>
      <c r="F73" s="7"/>
      <c r="G73" s="7"/>
      <c r="H73" s="7"/>
    </row>
    <row r="74" spans="1:8" x14ac:dyDescent="0.3">
      <c r="B74" t="s">
        <v>201</v>
      </c>
      <c r="D74" s="7">
        <v>91.71</v>
      </c>
      <c r="E74" s="7">
        <v>93.19</v>
      </c>
      <c r="F74" s="7">
        <v>94.39</v>
      </c>
      <c r="G74" s="7">
        <v>96.26</v>
      </c>
      <c r="H74" s="7">
        <v>97.45</v>
      </c>
    </row>
    <row r="75" spans="1:8" x14ac:dyDescent="0.3">
      <c r="B75" t="s">
        <v>202</v>
      </c>
      <c r="D75" s="7">
        <v>92.44</v>
      </c>
      <c r="E75" s="7">
        <v>96.97</v>
      </c>
      <c r="F75" s="7">
        <v>96.24</v>
      </c>
      <c r="G75" s="7">
        <v>97.68</v>
      </c>
      <c r="H75" s="7">
        <v>97.57</v>
      </c>
    </row>
    <row r="76" spans="1:8" x14ac:dyDescent="0.3">
      <c r="B76" t="s">
        <v>203</v>
      </c>
      <c r="D76" s="7">
        <v>76.84</v>
      </c>
      <c r="E76" s="7">
        <v>49.6</v>
      </c>
      <c r="F76" s="7">
        <v>65.319999999999993</v>
      </c>
      <c r="G76" s="7">
        <v>70.59</v>
      </c>
      <c r="H76" s="7">
        <v>94.38</v>
      </c>
    </row>
    <row r="77" spans="1:8" x14ac:dyDescent="0.3">
      <c r="A77" s="8" t="s">
        <v>36</v>
      </c>
      <c r="B77" s="8"/>
      <c r="C77" s="9">
        <v>47</v>
      </c>
      <c r="D77" s="7">
        <v>81.143207556306706</v>
      </c>
      <c r="E77" s="7">
        <v>80.475540786601044</v>
      </c>
      <c r="F77" s="30">
        <v>78.536617014367778</v>
      </c>
      <c r="G77" s="30">
        <v>76.088889749601293</v>
      </c>
      <c r="H77" s="30">
        <v>71.816415402362907</v>
      </c>
    </row>
    <row r="78" spans="1:8" x14ac:dyDescent="0.3">
      <c r="A78" s="31" t="s">
        <v>333</v>
      </c>
      <c r="B78" s="31"/>
      <c r="C78" s="63"/>
      <c r="D78" s="30">
        <v>80.899366785346174</v>
      </c>
      <c r="E78" s="30">
        <v>80.310655445295893</v>
      </c>
      <c r="F78" s="30">
        <v>78.234646957190989</v>
      </c>
      <c r="G78" s="30">
        <v>75.723341268662807</v>
      </c>
      <c r="H78" s="30">
        <v>71.415018980038838</v>
      </c>
    </row>
    <row r="79" spans="1:8" x14ac:dyDescent="0.3">
      <c r="A79" t="s">
        <v>266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204</v>
      </c>
      <c r="D80" s="7">
        <v>2.7087349092015831</v>
      </c>
      <c r="E80" s="7">
        <v>2.1568826940685728</v>
      </c>
      <c r="F80" s="30">
        <v>2.1551285961167022</v>
      </c>
      <c r="G80" s="30">
        <v>2.1265771265771267</v>
      </c>
      <c r="H80" s="30">
        <v>1.9450101832993889</v>
      </c>
    </row>
    <row r="81" spans="1:8" x14ac:dyDescent="0.3">
      <c r="A81">
        <v>9</v>
      </c>
      <c r="B81" t="s">
        <v>345</v>
      </c>
      <c r="D81" s="7">
        <v>7.5986608501572492</v>
      </c>
      <c r="E81" s="7">
        <v>10.051887272357311</v>
      </c>
      <c r="F81" s="30">
        <v>10.084375317678154</v>
      </c>
      <c r="G81" s="30">
        <v>9.0862840862840848</v>
      </c>
      <c r="H81" s="30">
        <v>9.2871690427698557</v>
      </c>
    </row>
    <row r="82" spans="1:8" x14ac:dyDescent="0.3">
      <c r="A82">
        <v>10</v>
      </c>
      <c r="B82" t="s">
        <v>205</v>
      </c>
      <c r="D82" s="7">
        <v>7.7711271177843173</v>
      </c>
      <c r="E82" s="7">
        <v>7.9051785532607584</v>
      </c>
      <c r="F82" s="30">
        <v>6.9940022364542029</v>
      </c>
      <c r="G82" s="30">
        <v>7.5193325193325196</v>
      </c>
      <c r="H82" s="30">
        <v>7.5763747454175148</v>
      </c>
    </row>
    <row r="83" spans="1:8" x14ac:dyDescent="0.3">
      <c r="A83">
        <v>12</v>
      </c>
      <c r="B83" t="s">
        <v>206</v>
      </c>
      <c r="D83" s="7">
        <v>3.1449731155523999</v>
      </c>
      <c r="E83" s="7">
        <v>3.2454980160748805</v>
      </c>
      <c r="F83" s="30">
        <v>3.6799837348785198</v>
      </c>
      <c r="G83" s="30">
        <v>4.0700040700040701</v>
      </c>
      <c r="H83" s="30">
        <v>4.877800407331975</v>
      </c>
    </row>
    <row r="84" spans="1:8" x14ac:dyDescent="0.3">
      <c r="A84">
        <v>13</v>
      </c>
      <c r="B84" t="s">
        <v>354</v>
      </c>
      <c r="D84" s="7">
        <v>41.077406918940859</v>
      </c>
      <c r="E84" s="7">
        <v>41.570861735680126</v>
      </c>
      <c r="F84" s="30">
        <v>42.950086408457864</v>
      </c>
      <c r="G84" s="30">
        <v>43.538868538868535</v>
      </c>
      <c r="H84" s="30">
        <v>43.380855397148679</v>
      </c>
    </row>
    <row r="85" spans="1:8" x14ac:dyDescent="0.3">
      <c r="A85" t="s">
        <v>207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204</v>
      </c>
      <c r="D86" s="7">
        <v>44.65</v>
      </c>
      <c r="E86" s="7">
        <v>50.14</v>
      </c>
      <c r="F86" s="7">
        <v>65.540000000000006</v>
      </c>
      <c r="G86" s="7">
        <v>60.94</v>
      </c>
      <c r="H86" s="7">
        <v>58.18</v>
      </c>
    </row>
    <row r="87" spans="1:8" x14ac:dyDescent="0.3">
      <c r="A87">
        <v>9</v>
      </c>
      <c r="B87" t="s">
        <v>345</v>
      </c>
      <c r="D87" s="7">
        <v>58.47</v>
      </c>
      <c r="E87" s="7">
        <v>67.150000000000006</v>
      </c>
      <c r="F87" s="7">
        <v>73.88</v>
      </c>
      <c r="G87" s="7">
        <v>66.59</v>
      </c>
      <c r="H87" s="7">
        <v>62.61</v>
      </c>
    </row>
    <row r="88" spans="1:8" x14ac:dyDescent="0.3">
      <c r="A88">
        <v>10</v>
      </c>
      <c r="B88" t="s">
        <v>205</v>
      </c>
      <c r="D88" s="7">
        <v>77.849999999999994</v>
      </c>
      <c r="E88" s="7">
        <v>73.11</v>
      </c>
      <c r="F88" s="7">
        <v>81.53</v>
      </c>
      <c r="G88" s="7">
        <v>81.97</v>
      </c>
      <c r="H88" s="7">
        <v>79.25</v>
      </c>
    </row>
    <row r="89" spans="1:8" x14ac:dyDescent="0.3">
      <c r="A89">
        <v>12</v>
      </c>
      <c r="B89" t="s">
        <v>206</v>
      </c>
      <c r="D89" s="7">
        <v>76.7</v>
      </c>
      <c r="E89" s="7">
        <v>86.29</v>
      </c>
      <c r="F89" s="7">
        <v>89.12</v>
      </c>
      <c r="G89" s="7">
        <v>83.35</v>
      </c>
      <c r="H89" s="7">
        <v>74.569999999999993</v>
      </c>
    </row>
    <row r="90" spans="1:8" x14ac:dyDescent="0.3">
      <c r="A90">
        <v>13</v>
      </c>
      <c r="B90" t="s">
        <v>354</v>
      </c>
      <c r="D90" s="7">
        <v>95.74</v>
      </c>
      <c r="E90" s="7">
        <v>95.55</v>
      </c>
      <c r="F90" s="7">
        <v>98.48</v>
      </c>
      <c r="G90" s="7">
        <v>92.5</v>
      </c>
      <c r="H90" s="7">
        <v>92.61</v>
      </c>
    </row>
    <row r="91" spans="1:8" x14ac:dyDescent="0.3">
      <c r="B91" s="68" t="s">
        <v>357</v>
      </c>
      <c r="D91" s="7"/>
      <c r="E91" s="7"/>
      <c r="F91" s="7"/>
      <c r="G91" s="7"/>
      <c r="H91" s="7"/>
    </row>
    <row r="92" spans="1:8" x14ac:dyDescent="0.3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301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302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158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167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300</v>
      </c>
    </row>
    <row r="182" spans="2:8" x14ac:dyDescent="0.3">
      <c r="E182" s="31"/>
    </row>
    <row r="202" spans="2:2" x14ac:dyDescent="0.3">
      <c r="B202" s="39" t="s">
        <v>266</v>
      </c>
    </row>
    <row r="221" spans="2:2" x14ac:dyDescent="0.3">
      <c r="B221" s="39" t="s">
        <v>207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2022-06-12T13:18:18Z</dcterms:modified>
</cp:coreProperties>
</file>