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6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5" i="7" s="1"/>
  <c r="E10" i="7"/>
  <c r="E9" i="7"/>
  <c r="E8" i="7"/>
  <c r="E7" i="7"/>
  <c r="E6" i="7"/>
  <c r="E4" i="7"/>
  <c r="E3" i="7"/>
  <c r="E2" i="7"/>
  <c r="N55" i="2"/>
  <c r="O54" i="2"/>
  <c r="N54" i="2"/>
  <c r="O53" i="2"/>
  <c r="R53" i="2" s="1"/>
  <c r="N53" i="2"/>
  <c r="O52" i="2"/>
  <c r="N52" i="2"/>
  <c r="O51" i="2"/>
  <c r="N51" i="2"/>
  <c r="O50" i="2"/>
  <c r="N50" i="2"/>
  <c r="Q50" i="2" s="1"/>
  <c r="O15" i="2"/>
  <c r="R15" i="2" s="1"/>
  <c r="N15" i="2"/>
  <c r="N20" i="2" s="1"/>
  <c r="O14" i="2"/>
  <c r="N14" i="2"/>
  <c r="O12" i="2"/>
  <c r="O16" i="2" s="1"/>
  <c r="R16" i="2" s="1"/>
  <c r="N12" i="2"/>
  <c r="N16" i="2" s="1"/>
  <c r="Q16" i="2" s="1"/>
  <c r="R60" i="2"/>
  <c r="Q60" i="2"/>
  <c r="R59" i="2"/>
  <c r="R58" i="2"/>
  <c r="Q58" i="2"/>
  <c r="R55" i="2"/>
  <c r="Q55" i="2"/>
  <c r="R54" i="2"/>
  <c r="Q54" i="2"/>
  <c r="Q53" i="2"/>
  <c r="R52" i="2"/>
  <c r="Q52" i="2"/>
  <c r="R51" i="2"/>
  <c r="Q51" i="2"/>
  <c r="R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20" i="8"/>
  <c r="E30" i="8"/>
  <c r="E31" i="8" s="1"/>
  <c r="E21" i="8"/>
  <c r="E5" i="7"/>
  <c r="E11" i="7"/>
  <c r="E20" i="7"/>
  <c r="E21" i="7" s="1"/>
  <c r="E16" i="7"/>
  <c r="N21" i="2"/>
  <c r="Q21" i="2" s="1"/>
  <c r="Q20" i="2"/>
  <c r="O20" i="2"/>
  <c r="Q15" i="2"/>
  <c r="R14" i="2"/>
  <c r="R20" i="2" l="1"/>
  <c r="O21" i="2"/>
  <c r="R21" i="2" s="1"/>
  <c r="M55" i="2" l="1"/>
  <c r="K55" i="2"/>
  <c r="M54" i="2"/>
  <c r="L54" i="2"/>
  <c r="K54" i="2"/>
  <c r="L53" i="2"/>
  <c r="K53" i="2"/>
  <c r="M53" i="2" s="1"/>
  <c r="L52" i="2"/>
  <c r="K52" i="2"/>
  <c r="M52" i="2" s="1"/>
  <c r="M51" i="2"/>
  <c r="L51" i="2"/>
  <c r="K51" i="2"/>
  <c r="L50" i="2"/>
  <c r="L56" i="2" s="1"/>
  <c r="L57" i="2" s="1"/>
  <c r="K50" i="2"/>
  <c r="M50" i="2" s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M19" i="2"/>
  <c r="M18" i="2"/>
  <c r="M17" i="2"/>
  <c r="L16" i="2"/>
  <c r="L15" i="2"/>
  <c r="L60" i="2" s="1"/>
  <c r="K15" i="2"/>
  <c r="K60" i="2" s="1"/>
  <c r="L14" i="2"/>
  <c r="L59" i="2" s="1"/>
  <c r="K14" i="2"/>
  <c r="K59" i="2" s="1"/>
  <c r="M13" i="2"/>
  <c r="L12" i="2"/>
  <c r="K12" i="2"/>
  <c r="K16" i="2" s="1"/>
  <c r="M16" i="2" s="1"/>
  <c r="M11" i="2"/>
  <c r="M10" i="2"/>
  <c r="M9" i="2"/>
  <c r="M8" i="2"/>
  <c r="M7" i="2"/>
  <c r="M6" i="2"/>
  <c r="M5" i="2"/>
  <c r="M4" i="2"/>
  <c r="M3" i="2"/>
  <c r="F28" i="5"/>
  <c r="F29" i="5" s="1"/>
  <c r="F27" i="5"/>
  <c r="F15" i="5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1" i="6"/>
  <c r="F10" i="6"/>
  <c r="F28" i="6" s="1"/>
  <c r="F52" i="1"/>
  <c r="F24" i="1"/>
  <c r="F20" i="1"/>
  <c r="F14" i="1"/>
  <c r="F7" i="1"/>
  <c r="F22" i="1" s="1"/>
  <c r="F3" i="13"/>
  <c r="F4" i="13"/>
  <c r="C2" i="13"/>
  <c r="M14" i="2" l="1"/>
  <c r="K20" i="2"/>
  <c r="K56" i="2"/>
  <c r="M15" i="2"/>
  <c r="L20" i="2"/>
  <c r="L21" i="2" s="1"/>
  <c r="L58" i="2" s="1"/>
  <c r="M12" i="2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2" i="7"/>
  <c r="D10" i="7"/>
  <c r="D9" i="7"/>
  <c r="D8" i="7"/>
  <c r="D7" i="7"/>
  <c r="D6" i="7"/>
  <c r="D4" i="7"/>
  <c r="D3" i="7"/>
  <c r="D2" i="7"/>
  <c r="K57" i="2" l="1"/>
  <c r="M57" i="2" s="1"/>
  <c r="M56" i="2"/>
  <c r="K21" i="2"/>
  <c r="M20" i="2"/>
  <c r="D11" i="7"/>
  <c r="D5" i="7"/>
  <c r="D10" i="8"/>
  <c r="D15" i="8"/>
  <c r="D20" i="8"/>
  <c r="D27" i="8"/>
  <c r="K58" i="2" l="1"/>
  <c r="M21" i="2"/>
  <c r="D21" i="8"/>
  <c r="H55" i="2"/>
  <c r="I54" i="2"/>
  <c r="H54" i="2"/>
  <c r="J54" i="2" s="1"/>
  <c r="I53" i="2"/>
  <c r="H53" i="2"/>
  <c r="H52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I39" i="2"/>
  <c r="J38" i="2"/>
  <c r="J37" i="2"/>
  <c r="I36" i="2"/>
  <c r="I35" i="2"/>
  <c r="I34" i="2"/>
  <c r="J33" i="2"/>
  <c r="J32" i="2"/>
  <c r="J31" i="2"/>
  <c r="J30" i="2"/>
  <c r="J29" i="2"/>
  <c r="J26" i="2"/>
  <c r="J25" i="2"/>
  <c r="J24" i="2"/>
  <c r="J23" i="2"/>
  <c r="J19" i="2"/>
  <c r="J18" i="2"/>
  <c r="J17" i="2"/>
  <c r="I15" i="2"/>
  <c r="H15" i="2"/>
  <c r="I14" i="2"/>
  <c r="H14" i="2"/>
  <c r="J14" i="2" s="1"/>
  <c r="J13" i="2"/>
  <c r="I12" i="2"/>
  <c r="H12" i="2"/>
  <c r="H16" i="2" s="1"/>
  <c r="J11" i="2"/>
  <c r="J10" i="2"/>
  <c r="J9" i="2"/>
  <c r="J8" i="2"/>
  <c r="J7" i="2"/>
  <c r="J6" i="2"/>
  <c r="J5" i="2"/>
  <c r="J4" i="2"/>
  <c r="J3" i="2"/>
  <c r="G28" i="5"/>
  <c r="G27" i="5"/>
  <c r="G29" i="5" s="1"/>
  <c r="G15" i="5"/>
  <c r="F14" i="10"/>
  <c r="F12" i="10"/>
  <c r="F11" i="10"/>
  <c r="F10" i="10"/>
  <c r="F8" i="10"/>
  <c r="F7" i="10"/>
  <c r="F6" i="10"/>
  <c r="F4" i="10"/>
  <c r="F3" i="10"/>
  <c r="G21" i="6"/>
  <c r="G10" i="6"/>
  <c r="G52" i="1"/>
  <c r="G24" i="1"/>
  <c r="G20" i="1"/>
  <c r="G14" i="1"/>
  <c r="G7" i="1"/>
  <c r="C3" i="13"/>
  <c r="E52" i="1"/>
  <c r="D52" i="1"/>
  <c r="C52" i="1"/>
  <c r="B52" i="1"/>
  <c r="E24" i="1"/>
  <c r="D24" i="1"/>
  <c r="C24" i="1"/>
  <c r="B24" i="1"/>
  <c r="F5" i="10" l="1"/>
  <c r="H21" i="6"/>
  <c r="F2" i="10"/>
  <c r="H10" i="6"/>
  <c r="J39" i="2"/>
  <c r="J12" i="2"/>
  <c r="J35" i="2"/>
  <c r="D4" i="9"/>
  <c r="J53" i="2"/>
  <c r="H59" i="2"/>
  <c r="D5" i="9"/>
  <c r="J36" i="2"/>
  <c r="D28" i="8"/>
  <c r="I51" i="2"/>
  <c r="J55" i="2"/>
  <c r="D29" i="8"/>
  <c r="H56" i="2"/>
  <c r="D13" i="7"/>
  <c r="J34" i="2"/>
  <c r="I52" i="2"/>
  <c r="I59" i="2"/>
  <c r="J50" i="2"/>
  <c r="I16" i="2"/>
  <c r="J15" i="2"/>
  <c r="H57" i="2"/>
  <c r="H60" i="2"/>
  <c r="H20" i="2"/>
  <c r="G28" i="6"/>
  <c r="H28" i="6" s="1"/>
  <c r="G22" i="1"/>
  <c r="F8" i="13"/>
  <c r="F7" i="13"/>
  <c r="C7" i="13"/>
  <c r="F6" i="13"/>
  <c r="C6" i="13"/>
  <c r="F5" i="13"/>
  <c r="C5" i="13"/>
  <c r="C4" i="13"/>
  <c r="B55" i="2"/>
  <c r="C54" i="2"/>
  <c r="B54" i="2"/>
  <c r="C53" i="2"/>
  <c r="B53" i="2"/>
  <c r="C52" i="2"/>
  <c r="B52" i="2"/>
  <c r="C51" i="2"/>
  <c r="B51" i="2"/>
  <c r="C50" i="2"/>
  <c r="B50" i="2"/>
  <c r="C16" i="2"/>
  <c r="B16" i="2"/>
  <c r="C15" i="2"/>
  <c r="B15" i="2"/>
  <c r="C14" i="2"/>
  <c r="B14" i="2"/>
  <c r="B20" i="2" s="1"/>
  <c r="B21" i="2" s="1"/>
  <c r="F9" i="10" l="1"/>
  <c r="F13" i="10" s="1"/>
  <c r="J16" i="2"/>
  <c r="C20" i="2"/>
  <c r="C21" i="2" s="1"/>
  <c r="I20" i="2"/>
  <c r="I21" i="2" s="1"/>
  <c r="D30" i="8"/>
  <c r="I56" i="2"/>
  <c r="J51" i="2"/>
  <c r="D3" i="9"/>
  <c r="J52" i="2"/>
  <c r="I60" i="2"/>
  <c r="D15" i="7"/>
  <c r="D2" i="9"/>
  <c r="H21" i="2"/>
  <c r="E55" i="2"/>
  <c r="F54" i="2"/>
  <c r="E54" i="2"/>
  <c r="F53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B27" i="5"/>
  <c r="C27" i="5"/>
  <c r="D27" i="5"/>
  <c r="E27" i="5"/>
  <c r="J20" i="2" l="1"/>
  <c r="D20" i="7"/>
  <c r="D16" i="7"/>
  <c r="I57" i="2"/>
  <c r="I58" i="2" s="1"/>
  <c r="J56" i="2"/>
  <c r="D31" i="8"/>
  <c r="F20" i="2"/>
  <c r="F21" i="2" s="1"/>
  <c r="E20" i="2"/>
  <c r="E21" i="2" s="1"/>
  <c r="F15" i="10"/>
  <c r="J21" i="2"/>
  <c r="H58" i="2"/>
  <c r="B15" i="5"/>
  <c r="C15" i="5"/>
  <c r="D15" i="5"/>
  <c r="E15" i="5"/>
  <c r="D6" i="9" l="1"/>
  <c r="J57" i="2"/>
  <c r="D21" i="7"/>
  <c r="D7" i="1"/>
  <c r="C28" i="5"/>
  <c r="B7" i="1"/>
  <c r="C7" i="1"/>
  <c r="E7" i="1"/>
  <c r="C10" i="6"/>
  <c r="C21" i="6"/>
  <c r="F56" i="2"/>
  <c r="F57" i="2" s="1"/>
  <c r="E56" i="2"/>
  <c r="E57" i="2" s="1"/>
  <c r="C28" i="6" l="1"/>
  <c r="B14" i="1" l="1"/>
  <c r="B20" i="1"/>
  <c r="B22" i="1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C4" i="9" l="1"/>
  <c r="B4" i="9"/>
  <c r="C5" i="9"/>
  <c r="B5" i="9"/>
  <c r="I2" i="8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J25" i="8" s="1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J7" i="8" s="1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5" i="8" l="1"/>
  <c r="J9" i="8"/>
  <c r="J19" i="8"/>
  <c r="J17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G17" i="7" s="1"/>
  <c r="J21" i="8"/>
  <c r="J16" i="7"/>
  <c r="G21" i="7"/>
  <c r="G3" i="7"/>
  <c r="G7" i="7"/>
  <c r="G2" i="7"/>
  <c r="G8" i="7"/>
  <c r="G18" i="7"/>
  <c r="G10" i="7"/>
  <c r="G6" i="7"/>
  <c r="G14" i="7"/>
  <c r="G12" i="7"/>
  <c r="G9" i="7"/>
  <c r="G15" i="7"/>
  <c r="G5" i="7"/>
  <c r="J20" i="7"/>
  <c r="J21" i="7"/>
  <c r="I28" i="8"/>
  <c r="I30" i="8" s="1"/>
  <c r="I31" i="8" s="1"/>
  <c r="G13" i="7" l="1"/>
  <c r="G16" i="7"/>
  <c r="G4" i="7"/>
  <c r="G11" i="7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F58" i="2"/>
  <c r="E58" i="2"/>
  <c r="C6" i="9" s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H5" i="9"/>
  <c r="H4" i="9" l="1"/>
  <c r="F4" i="9"/>
  <c r="P55" i="2"/>
  <c r="F29" i="8"/>
  <c r="F5" i="9"/>
  <c r="J28" i="8"/>
  <c r="P51" i="2"/>
  <c r="P54" i="2"/>
  <c r="P53" i="2"/>
  <c r="P52" i="2"/>
  <c r="P50" i="2"/>
  <c r="P16" i="2"/>
  <c r="P14" i="2"/>
  <c r="P15" i="2"/>
  <c r="O56" i="2"/>
  <c r="R56" i="2" s="1"/>
  <c r="O60" i="2"/>
  <c r="H3" i="9" s="1"/>
  <c r="N60" i="2"/>
  <c r="F3" i="9" s="1"/>
  <c r="N56" i="2"/>
  <c r="Q56" i="2" s="1"/>
  <c r="O59" i="2"/>
  <c r="H2" i="9" s="1"/>
  <c r="N59" i="2"/>
  <c r="Q59" i="2" s="1"/>
  <c r="F2" i="9" l="1"/>
  <c r="F30" i="8"/>
  <c r="O57" i="2"/>
  <c r="R57" i="2" s="1"/>
  <c r="F31" i="8"/>
  <c r="J30" i="8"/>
  <c r="J29" i="8"/>
  <c r="P21" i="2"/>
  <c r="P20" i="2"/>
  <c r="N57" i="2"/>
  <c r="Q57" i="2" s="1"/>
  <c r="P56" i="2"/>
  <c r="G12" i="2"/>
  <c r="D55" i="2"/>
  <c r="D54" i="2"/>
  <c r="O58" i="2" l="1"/>
  <c r="H6" i="9" s="1"/>
  <c r="G21" i="8"/>
  <c r="P57" i="2"/>
  <c r="G17" i="8"/>
  <c r="G13" i="8"/>
  <c r="G23" i="8"/>
  <c r="G18" i="8"/>
  <c r="G14" i="8"/>
  <c r="G31" i="8"/>
  <c r="G16" i="8"/>
  <c r="G12" i="8"/>
  <c r="G8" i="8"/>
  <c r="G9" i="8"/>
  <c r="G24" i="8"/>
  <c r="G26" i="8"/>
  <c r="G11" i="8"/>
  <c r="G3" i="8"/>
  <c r="G6" i="8"/>
  <c r="G5" i="8"/>
  <c r="G25" i="8"/>
  <c r="G22" i="8"/>
  <c r="G7" i="8"/>
  <c r="G2" i="8"/>
  <c r="G15" i="8"/>
  <c r="G4" i="8"/>
  <c r="G19" i="8"/>
  <c r="G20" i="8"/>
  <c r="G10" i="8"/>
  <c r="G27" i="8"/>
  <c r="J31" i="8"/>
  <c r="G28" i="8"/>
  <c r="N58" i="2"/>
  <c r="G14" i="2"/>
  <c r="G15" i="2"/>
  <c r="G50" i="2"/>
  <c r="G51" i="2"/>
  <c r="G52" i="2"/>
  <c r="G53" i="2"/>
  <c r="G54" i="2"/>
  <c r="G55" i="2"/>
  <c r="B59" i="2"/>
  <c r="B2" i="9" s="1"/>
  <c r="D14" i="2"/>
  <c r="D16" i="2"/>
  <c r="D12" i="2"/>
  <c r="B60" i="2"/>
  <c r="B3" i="9" s="1"/>
  <c r="D51" i="2"/>
  <c r="F59" i="2"/>
  <c r="C60" i="2"/>
  <c r="D53" i="2"/>
  <c r="D15" i="2"/>
  <c r="D50" i="2"/>
  <c r="D52" i="2"/>
  <c r="E60" i="2"/>
  <c r="C56" i="2"/>
  <c r="C57" i="2" s="1"/>
  <c r="E59" i="2"/>
  <c r="F60" i="2"/>
  <c r="C59" i="2"/>
  <c r="B56" i="2"/>
  <c r="F6" i="9" l="1"/>
  <c r="C2" i="9"/>
  <c r="C3" i="9"/>
  <c r="C58" i="2"/>
  <c r="G20" i="2"/>
  <c r="G56" i="2"/>
  <c r="G16" i="2"/>
  <c r="D21" i="2"/>
  <c r="D20" i="2"/>
  <c r="B57" i="2"/>
  <c r="D57" i="2" s="1"/>
  <c r="D56" i="2"/>
  <c r="G21" i="2" l="1"/>
  <c r="G57" i="2"/>
  <c r="B58" i="2"/>
  <c r="B6" i="9" s="1"/>
</calcChain>
</file>

<file path=xl/sharedStrings.xml><?xml version="1.0" encoding="utf-8"?>
<sst xmlns="http://schemas.openxmlformats.org/spreadsheetml/2006/main" count="472" uniqueCount="369">
  <si>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</si>
  <si>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</si>
  <si>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</si>
  <si>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</si>
  <si>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</si>
  <si>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</si>
  <si>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</si>
  <si>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</si>
  <si>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</si>
  <si>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</si>
  <si>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</si>
  <si>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</si>
  <si>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</si>
  <si>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</si>
  <si>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</si>
  <si>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</si>
  <si>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</si>
  <si>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</si>
  <si>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</si>
  <si>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</si>
  <si>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</si>
  <si>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</si>
  <si>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</si>
  <si>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</si>
  <si>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</si>
  <si>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</si>
  <si>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</si>
  <si>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</si>
  <si>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</si>
  <si>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</si>
  <si>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</si>
  <si>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</si>
  <si>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</si>
  <si>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</si>
  <si>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</si>
  <si>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</si>
  <si>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</si>
  <si>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</si>
  <si>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</si>
  <si>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</si>
  <si>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</si>
  <si>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</si>
  <si>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</si>
  <si>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</si>
  <si>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</si>
  <si>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</si>
  <si>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</si>
  <si>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</si>
  <si>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</si>
  <si>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</si>
  <si>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</si>
  <si>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</si>
  <si>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</si>
  <si>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</si>
  <si>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</si>
  <si>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</si>
  <si>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</si>
  <si>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</si>
  <si>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</si>
  <si>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</si>
  <si>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</si>
  <si>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</si>
  <si>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</si>
  <si>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</si>
  <si>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</si>
  <si>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</si>
  <si>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</si>
  <si>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</si>
  <si>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</si>
  <si>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</si>
  <si>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entrate/uscite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</si>
  <si>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</si>
  <si>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</si>
  <si>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</si>
  <si>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</si>
  <si>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</si>
  <si>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</si>
  <si>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</si>
  <si>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</si>
  <si>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</si>
  <si>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</si>
  <si>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</si>
  <si>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</si>
  <si>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</si>
  <si>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</si>
  <si>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</si>
  <si>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</si>
  <si>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</si>
  <si>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</si>
  <si>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</si>
  <si>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</si>
  <si>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</si>
  <si>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</si>
  <si>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</si>
  <si>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</si>
  <si>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</si>
  <si>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</si>
  <si>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</si>
  <si>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</si>
  <si>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</si>
  <si>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</si>
  <si>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</si>
  <si>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</si>
  <si>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</si>
  <si>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</si>
  <si>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</si>
  <si>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</si>
  <si>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</si>
  <si>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</si>
  <si>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</si>
  <si>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</si>
  <si>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</si>
  <si>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</si>
  <si>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</si>
  <si>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</si>
  <si>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</si>
  <si>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</si>
  <si>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</si>
  <si>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</si>
  <si>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</si>
  <si>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</si>
  <si>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</si>
  <si>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</si>
  <si>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</si>
  <si>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</si>
  <si>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</si>
  <si>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</si>
  <si>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</si>
  <si>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</si>
  <si>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</si>
  <si>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</si>
  <si>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</si>
  <si>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</si>
  <si>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</si>
  <si>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</si>
  <si>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</si>
  <si>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</si>
  <si>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</si>
  <si>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</si>
  <si>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</si>
  <si>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</si>
  <si>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</si>
  <si>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</si>
  <si>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</si>
  <si>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</si>
  <si>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</si>
  <si>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</si>
  <si>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</si>
  <si>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</si>
  <si>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</si>
  <si>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</si>
  <si>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</si>
  <si>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</si>
  <si>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</si>
  <si>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</si>
  <si>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</si>
  <si>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</si>
  <si>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</si>
  <si>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</si>
  <si>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</si>
  <si>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</si>
  <si>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</si>
  <si>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</si>
  <si>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</si>
  <si>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</si>
  <si>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</si>
  <si>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</si>
  <si>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</si>
  <si>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</si>
  <si>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</si>
  <si>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</si>
  <si>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</si>
  <si>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</si>
  <si>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</si>
  <si>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</si>
  <si>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</si>
  <si>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</si>
  <si>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</si>
  <si>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</si>
  <si>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</si>
  <si>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</si>
  <si>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</si>
  <si>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</si>
  <si>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</si>
  <si>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</si>
  <si>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</si>
  <si>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</si>
  <si>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</si>
  <si>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</si>
  <si>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</si>
  <si>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</si>
  <si>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</si>
  <si>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</si>
  <si>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</si>
  <si>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</si>
  <si>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</si>
  <si>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</si>
  <si>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</si>
  <si>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</si>
  <si>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</si>
  <si>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</si>
  <si>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</si>
  <si>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</si>
  <si>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</si>
  <si>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</si>
  <si>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</si>
  <si>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</si>
  <si>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</si>
  <si>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</si>
  <si>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</si>
  <si>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</si>
  <si>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</si>
  <si>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</si>
  <si>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</si>
  <si>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</si>
  <si>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</si>
  <si>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</si>
  <si>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</si>
  <si>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</si>
  <si>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</si>
  <si>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</si>
  <si>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</si>
  <si>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</si>
  <si>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</si>
  <si>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</si>
  <si>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</si>
  <si>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</si>
  <si>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</si>
  <si>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</si>
  <si>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</si>
  <si>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</si>
  <si>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</si>
  <si>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</si>
  <si>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</si>
  <si>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</si>
  <si>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</si>
  <si>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</si>
  <si>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</si>
  <si>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</si>
  <si>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</si>
  <si>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</si>
  <si>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</si>
  <si>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</si>
  <si>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</si>
  <si>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</si>
  <si>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</si>
  <si>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</si>
  <si>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</si>
  <si>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</si>
  <si>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</si>
  <si>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</si>
  <si>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</si>
  <si>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</si>
  <si>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</si>
  <si>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</si>
  <si>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</si>
  <si>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</si>
  <si>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</si>
  <si>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</si>
  <si>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</si>
  <si>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</si>
  <si>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</si>
  <si>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</si>
  <si>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</si>
  <si>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</si>
  <si>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</si>
  <si>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</si>
  <si>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</si>
  <si>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</si>
  <si>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</si>
  <si>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</si>
  <si>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</si>
  <si>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</si>
  <si>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</si>
  <si>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</si>
  <si>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</si>
  <si>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</si>
  <si>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</si>
  <si>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</si>
  <si>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</si>
  <si>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</si>
  <si>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</si>
  <si>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</si>
  <si>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</si>
  <si>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</si>
  <si>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</si>
  <si>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</si>
  <si>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</si>
  <si>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</si>
  <si>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</si>
  <si>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</si>
  <si>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</si>
  <si>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</si>
  <si>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</si>
  <si>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</si>
  <si>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</si>
  <si>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</si>
  <si>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</si>
  <si>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</si>
  <si>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</si>
  <si>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</si>
  <si>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</si>
  <si>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</si>
  <si>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</si>
  <si>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</si>
  <si>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</si>
  <si>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</si>
  <si>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</si>
  <si>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</si>
  <si>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</si>
  <si>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</si>
  <si>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</si>
  <si>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</si>
  <si>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</si>
  <si>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</si>
  <si>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</si>
  <si>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</si>
  <si>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</si>
  <si>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</si>
  <si>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</si>
  <si>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</si>
  <si>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</si>
  <si>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</si>
  <si>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</si>
  <si>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</si>
  <si>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</si>
  <si>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</si>
  <si>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</si>
  <si>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</si>
  <si>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</si>
  <si>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</si>
  <si>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</si>
  <si>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</si>
  <si>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</si>
  <si>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</si>
  <si>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</si>
  <si>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</si>
  <si>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</si>
  <si>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</si>
  <si>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</si>
  <si>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</si>
  <si>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</si>
  <si>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</si>
  <si>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</si>
  <si>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</si>
  <si>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</si>
  <si>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</si>
  <si>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</si>
  <si>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</si>
  <si>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</si>
  <si>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</si>
  <si>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</si>
  <si>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</si>
  <si>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</si>
  <si>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</si>
  <si>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</si>
  <si>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</si>
  <si>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</si>
  <si>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</si>
  <si>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 di cui da tributi destinati al finanziamento della sanità</t>
  </si>
  <si>
    <t xml:space="preserve">    di cui enti finanziati dal ssn</t>
  </si>
  <si>
    <t xml:space="preserve">    di cui altre amministrazioni pubbliche</t>
  </si>
  <si>
    <t xml:space="preserve">     di cui da trasferimenti e contributi da amm.ni pubbliche</t>
  </si>
  <si>
    <t>Anno</t>
  </si>
  <si>
    <t>Regione</t>
  </si>
  <si>
    <t>Popolazione al 1° gennaio</t>
  </si>
  <si>
    <t>Rapporto Fcde/Residui attivi (scala dx)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</si>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</sst>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center"/>
    </xf>
    <xf numFmtId="164" fontId="0" fillId="0" borderId="0" xfId="1" applyNumberFormat="1" applyFont="1" applyFill="1"/>
    <xf numFmtId="164" fontId="0" fillId="0" borderId="0" xfId="0" applyNumberFormat="1" applyFill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 applyAlignment="1">
      <alignment wrapText="1"/>
    </xf>
    <xf numFmtId="167" fontId="0" fillId="4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7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57"/>
          <c:y val="5.4234059497589075E-2"/>
          <c:w val="0.80361249792401179"/>
          <c:h val="0.69993782761097634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Risultato_amministrazione!$B$3:$G$3</c:f>
              <c:numCache>
                <c:formatCode>#,##0</c:formatCode>
                <c:ptCount val="6"/>
                <c:pt idx="0">
                  <c:v>4620189081.5799999</c:v>
                </c:pt>
                <c:pt idx="1">
                  <c:v>6452817557.4099998</c:v>
                </c:pt>
                <c:pt idx="2">
                  <c:v>8418542872.4300003</c:v>
                </c:pt>
                <c:pt idx="3">
                  <c:v>9490667974.8899994</c:v>
                </c:pt>
                <c:pt idx="4">
                  <c:v>9646010213.2700005</c:v>
                </c:pt>
                <c:pt idx="5">
                  <c:v>11064563215.190001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Risultato_amministrazione!$B$4:$G$4</c:f>
              <c:numCache>
                <c:formatCode>#,##0</c:formatCode>
                <c:ptCount val="6"/>
                <c:pt idx="0">
                  <c:v>3681194070.3000002</c:v>
                </c:pt>
                <c:pt idx="1">
                  <c:v>5643188113.1300001</c:v>
                </c:pt>
                <c:pt idx="2">
                  <c:v>7176042236.9799995</c:v>
                </c:pt>
                <c:pt idx="3">
                  <c:v>7761015312.0299997</c:v>
                </c:pt>
                <c:pt idx="4">
                  <c:v>8844610250.2399998</c:v>
                </c:pt>
                <c:pt idx="5">
                  <c:v>9570122927.8199997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1924256"/>
        <c:axId val="-1351924800"/>
      </c:lineChart>
      <c:catAx>
        <c:axId val="-13519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351924800"/>
        <c:crosses val="autoZero"/>
        <c:auto val="1"/>
        <c:lblAlgn val="ctr"/>
        <c:lblOffset val="100"/>
        <c:noMultiLvlLbl val="0"/>
      </c:catAx>
      <c:valAx>
        <c:axId val="-1351924800"/>
        <c:scaling>
          <c:orientation val="minMax"/>
          <c:min val="30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-135192425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9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545.9773992449658</c:v>
                </c:pt>
                <c:pt idx="1">
                  <c:v>547.76</c:v>
                </c:pt>
                <c:pt idx="2">
                  <c:v>371.45</c:v>
                </c:pt>
                <c:pt idx="3">
                  <c:v>510.42</c:v>
                </c:pt>
                <c:pt idx="4">
                  <c:v>565.94000000000005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5866240"/>
        <c:axId val="-1035865696"/>
      </c:barChart>
      <c:catAx>
        <c:axId val="-10358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5865696"/>
        <c:crosses val="autoZero"/>
        <c:auto val="1"/>
        <c:lblAlgn val="ctr"/>
        <c:lblOffset val="100"/>
        <c:noMultiLvlLbl val="0"/>
      </c:catAx>
      <c:valAx>
        <c:axId val="-103586569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03586624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76E-2"/>
          <c:y val="3.6934441366574607E-3"/>
          <c:w val="0.956799214531189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3745704467353955E-2"/>
                  <c:y val="-3.6934441366574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-9.4</c:v>
                </c:pt>
                <c:pt idx="1">
                  <c:v>-6.1</c:v>
                </c:pt>
                <c:pt idx="2">
                  <c:v>-0.35</c:v>
                </c:pt>
                <c:pt idx="3">
                  <c:v>-4.24</c:v>
                </c:pt>
                <c:pt idx="4">
                  <c:v>-11.32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5861344"/>
        <c:axId val="-1035863520"/>
      </c:barChart>
      <c:catAx>
        <c:axId val="-10358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5863520"/>
        <c:crosses val="autoZero"/>
        <c:auto val="1"/>
        <c:lblAlgn val="ctr"/>
        <c:lblOffset val="100"/>
        <c:noMultiLvlLbl val="0"/>
      </c:catAx>
      <c:valAx>
        <c:axId val="-1035863520"/>
        <c:scaling>
          <c:orientation val="minMax"/>
          <c:min val="-12"/>
        </c:scaling>
        <c:delete val="1"/>
        <c:axPos val="l"/>
        <c:numFmt formatCode="0" sourceLinked="0"/>
        <c:majorTickMark val="out"/>
        <c:minorTickMark val="none"/>
        <c:tickLblPos val="nextTo"/>
        <c:crossAx val="-103586134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76E-2"/>
          <c:y val="3.6934441366574607E-3"/>
          <c:w val="0.95679921453118966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598.29</c:v>
                </c:pt>
                <c:pt idx="1">
                  <c:v>681.33</c:v>
                </c:pt>
                <c:pt idx="2">
                  <c:v>1024.51</c:v>
                </c:pt>
                <c:pt idx="3">
                  <c:v>942.73</c:v>
                </c:pt>
                <c:pt idx="4">
                  <c:v>1027.23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5860256"/>
        <c:axId val="-1035861888"/>
      </c:barChart>
      <c:catAx>
        <c:axId val="-10358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35861888"/>
        <c:crosses val="autoZero"/>
        <c:auto val="1"/>
        <c:lblAlgn val="ctr"/>
        <c:lblOffset val="100"/>
        <c:noMultiLvlLbl val="0"/>
      </c:catAx>
      <c:valAx>
        <c:axId val="-1035861888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-1035860256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904190377010355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3933777</c:v>
                </c:pt>
                <c:pt idx="1">
                  <c:v>3953305</c:v>
                </c:pt>
                <c:pt idx="2">
                  <c:v>3975528</c:v>
                </c:pt>
                <c:pt idx="3">
                  <c:v>4000966</c:v>
                </c:pt>
                <c:pt idx="4">
                  <c:v>4024067</c:v>
                </c:pt>
                <c:pt idx="5">
                  <c:v>4043735</c:v>
                </c:pt>
                <c:pt idx="6">
                  <c:v>4063269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5862976"/>
        <c:axId val="-1035862432"/>
      </c:barChart>
      <c:catAx>
        <c:axId val="-103586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-1035862432"/>
        <c:crosses val="autoZero"/>
        <c:auto val="1"/>
        <c:lblAlgn val="ctr"/>
        <c:lblOffset val="100"/>
        <c:noMultiLvlLbl val="0"/>
      </c:catAx>
      <c:valAx>
        <c:axId val="-1035862432"/>
        <c:scaling>
          <c:orientation val="minMax"/>
          <c:max val="41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-103586297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39920509936286"/>
          <c:y val="5.0307315954437812E-2"/>
          <c:w val="0.8055215898012742"/>
          <c:h val="0.71093112147389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106496325.34999999</c:v>
                </c:pt>
                <c:pt idx="1">
                  <c:v>352041531.49000001</c:v>
                </c:pt>
                <c:pt idx="2">
                  <c:v>578111115.49000001</c:v>
                </c:pt>
                <c:pt idx="3">
                  <c:v>638080292.21000004</c:v>
                </c:pt>
                <c:pt idx="4">
                  <c:v>770775744.13999999</c:v>
                </c:pt>
                <c:pt idx="5">
                  <c:v>874205675.80999994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Risultato_amministrazione!$B$8:$G$8</c:f>
              <c:numCache>
                <c:formatCode>#,##0</c:formatCode>
                <c:ptCount val="6"/>
                <c:pt idx="0">
                  <c:v>106496325.34999999</c:v>
                </c:pt>
                <c:pt idx="1">
                  <c:v>352041531.49000001</c:v>
                </c:pt>
                <c:pt idx="2">
                  <c:v>578111115.49000001</c:v>
                </c:pt>
                <c:pt idx="3">
                  <c:v>638080292.21000004</c:v>
                </c:pt>
                <c:pt idx="4">
                  <c:v>770775744.13999999</c:v>
                </c:pt>
                <c:pt idx="5">
                  <c:v>874205675.80999994</c:v>
                </c:pt>
              </c:numCache>
            </c:numRef>
          </c:val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Risultato_amministrazione!$B$10:$G$10</c:f>
              <c:numCache>
                <c:formatCode>#,##0</c:formatCode>
                <c:ptCount val="6"/>
                <c:pt idx="0">
                  <c:v>506337113.00999999</c:v>
                </c:pt>
                <c:pt idx="1">
                  <c:v>490867978.81</c:v>
                </c:pt>
                <c:pt idx="2">
                  <c:v>475057528.06</c:v>
                </c:pt>
                <c:pt idx="3">
                  <c:v>458897099.92000002</c:v>
                </c:pt>
                <c:pt idx="4">
                  <c:v>566484356.82000005</c:v>
                </c:pt>
                <c:pt idx="5">
                  <c:v>549597010.78999996</c:v>
                </c:pt>
              </c:numCache>
            </c:numRef>
          </c:val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Risultato_amministrazione!$B$52:$G$52</c:f>
              <c:numCache>
                <c:formatCode>#,##0</c:formatCode>
                <c:ptCount val="6"/>
                <c:pt idx="0">
                  <c:v>91400000</c:v>
                </c:pt>
                <c:pt idx="1">
                  <c:v>85495000</c:v>
                </c:pt>
                <c:pt idx="2">
                  <c:v>65344383.969999999</c:v>
                </c:pt>
                <c:pt idx="3">
                  <c:v>74478645.789999992</c:v>
                </c:pt>
                <c:pt idx="4">
                  <c:v>112257815.76000001</c:v>
                </c:pt>
                <c:pt idx="5">
                  <c:v>170922485.18000004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51923712"/>
        <c:axId val="-1351923168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2.1333333333333357E-2"/>
                  <c:y val="-1.9417475728155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Risultato_amministrazione!$B$1:$G$1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Risultato_amministrazione!$B$24:$G$24</c:f>
              <c:numCache>
                <c:formatCode>0.0</c:formatCode>
                <c:ptCount val="6"/>
                <c:pt idx="0">
                  <c:v>2.3050209303031526</c:v>
                </c:pt>
                <c:pt idx="1">
                  <c:v>5.4556250561545507</c:v>
                </c:pt>
                <c:pt idx="2">
                  <c:v>6.8671161298383829</c:v>
                </c:pt>
                <c:pt idx="3">
                  <c:v>6.7232390164549569</c:v>
                </c:pt>
                <c:pt idx="4">
                  <c:v>7.9906171266504051</c:v>
                </c:pt>
                <c:pt idx="5">
                  <c:v>7.90095061872705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1922624"/>
        <c:axId val="-1351925888"/>
      </c:lineChart>
      <c:catAx>
        <c:axId val="-13519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51923168"/>
        <c:crosses val="autoZero"/>
        <c:auto val="1"/>
        <c:lblAlgn val="ctr"/>
        <c:lblOffset val="100"/>
        <c:noMultiLvlLbl val="0"/>
      </c:catAx>
      <c:valAx>
        <c:axId val="-13519231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51923712"/>
        <c:crosses val="autoZero"/>
        <c:crossBetween val="between"/>
      </c:valAx>
      <c:valAx>
        <c:axId val="-135192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51922624"/>
        <c:crosses val="max"/>
        <c:crossBetween val="between"/>
        <c:majorUnit val="1"/>
      </c:valAx>
      <c:catAx>
        <c:axId val="-13519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351925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4118035245594305E-2"/>
          <c:y val="0.8478620390897742"/>
          <c:w val="0.9671923809523808"/>
          <c:h val="0.13272048518207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26E-2"/>
          <c:y val="1.9227205294990481E-2"/>
          <c:w val="0.88607165037917857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87666585347625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088377416018098E-3"/>
                  <c:y val="-1.58715827389409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963655837855647E-2"/>
                  <c:y val="3.86473429951695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-579134292.84999895</c:v>
                </c:pt>
                <c:pt idx="1">
                  <c:v>346619117.29999936</c:v>
                </c:pt>
                <c:pt idx="2">
                  <c:v>-52920901.389999889</c:v>
                </c:pt>
                <c:pt idx="3">
                  <c:v>49729210.250001594</c:v>
                </c:pt>
                <c:pt idx="4">
                  <c:v>35614174.900003515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60583856"/>
        <c:axId val="-1060581680"/>
      </c:barChart>
      <c:catAx>
        <c:axId val="-106058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-1060581680"/>
        <c:crosses val="autoZero"/>
        <c:auto val="1"/>
        <c:lblAlgn val="ctr"/>
        <c:lblOffset val="100"/>
        <c:noMultiLvlLbl val="0"/>
      </c:catAx>
      <c:valAx>
        <c:axId val="-106058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one"/>
        <c:crossAx val="-1060583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1707531390.9100001</c:v>
                </c:pt>
                <c:pt idx="1">
                  <c:v>2439337080.3299999</c:v>
                </c:pt>
                <c:pt idx="2">
                  <c:v>2768862551.8099999</c:v>
                </c:pt>
                <c:pt idx="3">
                  <c:v>4147444609.1100001</c:v>
                </c:pt>
                <c:pt idx="4">
                  <c:v>3798325462.3499999</c:v>
                </c:pt>
                <c:pt idx="5">
                  <c:v>4060939558.0700002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49827971.219999999</c:v>
                </c:pt>
                <c:pt idx="1">
                  <c:v>75045630.150000006</c:v>
                </c:pt>
                <c:pt idx="2">
                  <c:v>255304893.91999999</c:v>
                </c:pt>
                <c:pt idx="3">
                  <c:v>188194640.94999999</c:v>
                </c:pt>
                <c:pt idx="4">
                  <c:v>226941450.69</c:v>
                </c:pt>
                <c:pt idx="5">
                  <c:v>314903559.74000001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2107930468.1500001</c:v>
                </c:pt>
                <c:pt idx="1">
                  <c:v>2914250017.1500001</c:v>
                </c:pt>
                <c:pt idx="2">
                  <c:v>4184663208.9699998</c:v>
                </c:pt>
                <c:pt idx="3">
                  <c:v>4692393444.9200001</c:v>
                </c:pt>
                <c:pt idx="4">
                  <c:v>5958659515.6700001</c:v>
                </c:pt>
                <c:pt idx="5">
                  <c:v>6313972156.3100004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158977342.03</c:v>
                </c:pt>
                <c:pt idx="1">
                  <c:v>143515057.68000001</c:v>
                </c:pt>
                <c:pt idx="2">
                  <c:v>148812125.71000001</c:v>
                </c:pt>
                <c:pt idx="3">
                  <c:v>170003147.91</c:v>
                </c:pt>
                <c:pt idx="4">
                  <c:v>301993739.23000002</c:v>
                </c:pt>
                <c:pt idx="5">
                  <c:v>294720394.94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0583312"/>
        <c:axId val="-1060578960"/>
      </c:barChart>
      <c:catAx>
        <c:axId val="-1060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060578960"/>
        <c:crosses val="autoZero"/>
        <c:auto val="1"/>
        <c:lblAlgn val="ctr"/>
        <c:lblOffset val="100"/>
        <c:noMultiLvlLbl val="0"/>
      </c:catAx>
      <c:valAx>
        <c:axId val="-10605789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106058331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932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2486741303.52</c:v>
                </c:pt>
                <c:pt idx="1">
                  <c:v>2547835894.96</c:v>
                </c:pt>
                <c:pt idx="2">
                  <c:v>2463629016.6700001</c:v>
                </c:pt>
                <c:pt idx="3">
                  <c:v>-31440368.640000001</c:v>
                </c:pt>
                <c:pt idx="4">
                  <c:v>-49056951.920000002</c:v>
                </c:pt>
                <c:pt idx="5">
                  <c:v>-39449744.479999997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748547520.15999997</c:v>
                </c:pt>
                <c:pt idx="3">
                  <c:v>749911344.38999999</c:v>
                </c:pt>
                <c:pt idx="4">
                  <c:v>807591299.53999996</c:v>
                </c:pt>
                <c:pt idx="5">
                  <c:v>865549905.76999998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-613800449.19000006</c:v>
                </c:pt>
                <c:pt idx="2">
                  <c:v>346619117.30000001</c:v>
                </c:pt>
                <c:pt idx="3">
                  <c:v>-52920901.390000001</c:v>
                </c:pt>
                <c:pt idx="4">
                  <c:v>49729210.25</c:v>
                </c:pt>
                <c:pt idx="5">
                  <c:v>35614174.899999999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0577872"/>
        <c:axId val="-1060582768"/>
      </c:barChart>
      <c:catAx>
        <c:axId val="-106057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060582768"/>
        <c:crosses val="autoZero"/>
        <c:auto val="1"/>
        <c:lblAlgn val="ctr"/>
        <c:lblOffset val="100"/>
        <c:noMultiLvlLbl val="0"/>
      </c:catAx>
      <c:valAx>
        <c:axId val="-106058276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-106057787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324E-2"/>
          <c:w val="0.912266379073743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87.49</c:v>
                </c:pt>
                <c:pt idx="1">
                  <c:v>87.29</c:v>
                </c:pt>
                <c:pt idx="2">
                  <c:v>84.61</c:v>
                </c:pt>
                <c:pt idx="3">
                  <c:v>77.44</c:v>
                </c:pt>
                <c:pt idx="4">
                  <c:v>82.399828408010094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62.695680439722523</c:v>
                </c:pt>
                <c:pt idx="1">
                  <c:v>57.101492083463043</c:v>
                </c:pt>
                <c:pt idx="2">
                  <c:v>54.57694102313593</c:v>
                </c:pt>
                <c:pt idx="3">
                  <c:v>56.882312101059782</c:v>
                </c:pt>
                <c:pt idx="4">
                  <c:v>55.592448925278312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60.193595665953602</c:v>
                </c:pt>
                <c:pt idx="1">
                  <c:v>55.333812714199318</c:v>
                </c:pt>
                <c:pt idx="2">
                  <c:v>53.347545389545893</c:v>
                </c:pt>
                <c:pt idx="3">
                  <c:v>55.732458007905485</c:v>
                </c:pt>
                <c:pt idx="4">
                  <c:v>53.328706028849091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582224"/>
        <c:axId val="-1060579504"/>
      </c:lineChart>
      <c:catAx>
        <c:axId val="-106058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060579504"/>
        <c:crosses val="autoZero"/>
        <c:auto val="1"/>
        <c:lblAlgn val="ctr"/>
        <c:lblOffset val="100"/>
        <c:noMultiLvlLbl val="0"/>
      </c:catAx>
      <c:valAx>
        <c:axId val="-1060579504"/>
        <c:scaling>
          <c:orientation val="minMax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06058222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54"/>
          <c:w val="0.96177967444791634"/>
          <c:h val="0.1795680460155262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08192490686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1.2437521794722772</c:v>
                </c:pt>
                <c:pt idx="1">
                  <c:v>1.6937967443906732</c:v>
                </c:pt>
                <c:pt idx="2">
                  <c:v>1.8476499189627227</c:v>
                </c:pt>
                <c:pt idx="3">
                  <c:v>1.0831889081455806E-2</c:v>
                </c:pt>
                <c:pt idx="4">
                  <c:v>0.62632815121351082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3.5801464605370219</c:v>
                </c:pt>
                <c:pt idx="1">
                  <c:v>4.0915090189177299</c:v>
                </c:pt>
                <c:pt idx="2">
                  <c:v>4.3111831442463533</c:v>
                </c:pt>
                <c:pt idx="3">
                  <c:v>3.4337088388214907</c:v>
                </c:pt>
                <c:pt idx="4">
                  <c:v>2.5276814673973824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6.6837149831454141</c:v>
                </c:pt>
                <c:pt idx="1">
                  <c:v>8.8759348878134627</c:v>
                </c:pt>
                <c:pt idx="2">
                  <c:v>8.0929227444624541</c:v>
                </c:pt>
                <c:pt idx="3">
                  <c:v>7.9614384748700182</c:v>
                </c:pt>
                <c:pt idx="4">
                  <c:v>6.1066994743317302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2.7432291061257699</c:v>
                </c:pt>
                <c:pt idx="1">
                  <c:v>1.6168059832820061</c:v>
                </c:pt>
                <c:pt idx="2">
                  <c:v>1.8908698001080499</c:v>
                </c:pt>
                <c:pt idx="3">
                  <c:v>2.4480069324090121</c:v>
                </c:pt>
                <c:pt idx="4">
                  <c:v>2.6171569175707416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69.626874346158317</c:v>
                </c:pt>
                <c:pt idx="1">
                  <c:v>65.222173339199301</c:v>
                </c:pt>
                <c:pt idx="2">
                  <c:v>67.152890329551596</c:v>
                </c:pt>
                <c:pt idx="3">
                  <c:v>65.142980935875215</c:v>
                </c:pt>
                <c:pt idx="4">
                  <c:v>61.581478581814117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0578416"/>
        <c:axId val="-1060581136"/>
      </c:barChart>
      <c:catAx>
        <c:axId val="-1060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1060581136"/>
        <c:crosses val="autoZero"/>
        <c:auto val="1"/>
        <c:lblAlgn val="ctr"/>
        <c:lblOffset val="100"/>
        <c:noMultiLvlLbl val="0"/>
      </c:catAx>
      <c:valAx>
        <c:axId val="-1060581136"/>
        <c:scaling>
          <c:orientation val="minMax"/>
          <c:max val="10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-106057841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4119439915825498"/>
          <c:h val="0.1632902750537250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34E-2"/>
          <c:w val="0.9122665336936"/>
          <c:h val="0.71915787122354602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86.38</c:v>
                </c:pt>
                <c:pt idx="1">
                  <c:v>79.349999999999994</c:v>
                </c:pt>
                <c:pt idx="2">
                  <c:v>77.86</c:v>
                </c:pt>
                <c:pt idx="3">
                  <c:v>21.88</c:v>
                </c:pt>
                <c:pt idx="4">
                  <c:v>27.295268906070735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42.1</c:v>
                </c:pt>
                <c:pt idx="1">
                  <c:v>19.989999999999998</c:v>
                </c:pt>
                <c:pt idx="2">
                  <c:v>17.96</c:v>
                </c:pt>
                <c:pt idx="3">
                  <c:v>11.6</c:v>
                </c:pt>
                <c:pt idx="4">
                  <c:v>13.238225979429489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81.99</c:v>
                </c:pt>
                <c:pt idx="1">
                  <c:v>51.87</c:v>
                </c:pt>
                <c:pt idx="2">
                  <c:v>46.51</c:v>
                </c:pt>
                <c:pt idx="3">
                  <c:v>30.84</c:v>
                </c:pt>
                <c:pt idx="4">
                  <c:v>41.600914272412567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26.61</c:v>
                </c:pt>
                <c:pt idx="1">
                  <c:v>24.41</c:v>
                </c:pt>
                <c:pt idx="2">
                  <c:v>44.555919582141591</c:v>
                </c:pt>
                <c:pt idx="3">
                  <c:v>81.94</c:v>
                </c:pt>
                <c:pt idx="4">
                  <c:v>45.38247369361342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78.69</c:v>
                </c:pt>
                <c:pt idx="1">
                  <c:v>83.13</c:v>
                </c:pt>
                <c:pt idx="2">
                  <c:v>79.89</c:v>
                </c:pt>
                <c:pt idx="3">
                  <c:v>72.38</c:v>
                </c:pt>
                <c:pt idx="4">
                  <c:v>81.541347801635979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580592"/>
        <c:axId val="-1060577328"/>
      </c:lineChart>
      <c:catAx>
        <c:axId val="-106058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60577328"/>
        <c:crosses val="autoZero"/>
        <c:auto val="1"/>
        <c:lblAlgn val="ctr"/>
        <c:lblOffset val="100"/>
        <c:noMultiLvlLbl val="0"/>
      </c:catAx>
      <c:valAx>
        <c:axId val="-1060577328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106058059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904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10162002945524E-3"/>
          <c:y val="3.6934441366574373E-2"/>
          <c:w val="0.97250859106529208"/>
          <c:h val="0.7655526715670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37.6</c:v>
                </c:pt>
                <c:pt idx="1">
                  <c:v>39.4</c:v>
                </c:pt>
                <c:pt idx="2">
                  <c:v>39.17</c:v>
                </c:pt>
                <c:pt idx="3">
                  <c:v>43.62</c:v>
                </c:pt>
                <c:pt idx="4">
                  <c:v>41.95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60580048"/>
        <c:axId val="-1060584400"/>
      </c:barChart>
      <c:catAx>
        <c:axId val="-106058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-1060584400"/>
        <c:crosses val="autoZero"/>
        <c:auto val="1"/>
        <c:lblAlgn val="ctr"/>
        <c:lblOffset val="100"/>
        <c:noMultiLvlLbl val="0"/>
      </c:catAx>
      <c:valAx>
        <c:axId val="-106058440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-106058004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26</xdr:row>
      <xdr:rowOff>142874</xdr:rowOff>
    </xdr:from>
    <xdr:to>
      <xdr:col>10</xdr:col>
      <xdr:colOff>247650</xdr:colOff>
      <xdr:row>49</xdr:row>
      <xdr:rowOff>57149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1343024</xdr:colOff>
      <xdr:row>53</xdr:row>
      <xdr:rowOff>47625</xdr:rowOff>
    </xdr:from>
    <xdr:to>
      <xdr:col>10</xdr:col>
      <xdr:colOff>304799</xdr:colOff>
      <xdr:row>73</xdr:row>
      <xdr:rowOff>161925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pane xSplit="1" ySplit="2" topLeftCell="F38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2">
        <v>2016</v>
      </c>
      <c r="C1" s="112"/>
      <c r="D1" s="113"/>
      <c r="E1" s="114">
        <v>2017</v>
      </c>
      <c r="F1" s="112"/>
      <c r="G1" s="113"/>
      <c r="H1" s="114">
        <v>2018</v>
      </c>
      <c r="I1" s="112"/>
      <c r="J1" s="113"/>
      <c r="K1" s="114">
        <v>2019</v>
      </c>
      <c r="L1" s="112"/>
      <c r="M1" s="113"/>
      <c r="N1" s="114">
        <v>2020</v>
      </c>
      <c r="O1" s="112"/>
      <c r="P1" s="113"/>
      <c r="Q1" s="111" t="s">
        <v>233</v>
      </c>
      <c r="R1" s="111"/>
    </row>
    <row r="2" spans="1:18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12" t="s">
        <v>73</v>
      </c>
      <c r="R2" s="12" t="s">
        <v>74</v>
      </c>
    </row>
    <row r="3" spans="1:18" x14ac:dyDescent="0.3">
      <c r="A3" t="s">
        <v>19</v>
      </c>
      <c r="B3" s="28">
        <v>6331753249.0699997</v>
      </c>
      <c r="C3" s="102">
        <v>5671689262.7600002</v>
      </c>
      <c r="D3" s="20">
        <f>IF(B3&gt;0,C3/B3*100,"-")</f>
        <v>89.575336240290966</v>
      </c>
      <c r="E3" s="28">
        <v>6933451570.8500004</v>
      </c>
      <c r="F3" s="28">
        <v>6319415952.6599998</v>
      </c>
      <c r="G3" s="20">
        <f>IF(E3&gt;0,F3/E3*100,"-")</f>
        <v>91.143868073275897</v>
      </c>
      <c r="H3" s="28">
        <v>6887517718.7299995</v>
      </c>
      <c r="I3" s="28">
        <v>6320556773.9099998</v>
      </c>
      <c r="J3" s="20">
        <f>IF(H3&gt;0,I3/H3*100,"-")</f>
        <v>91.768283321025805</v>
      </c>
      <c r="K3" s="28">
        <v>7020372945.5799999</v>
      </c>
      <c r="L3" s="28">
        <v>6443219548.8699999</v>
      </c>
      <c r="M3" s="20">
        <f>IF(K3&gt;0,L3/K3*100,"-")</f>
        <v>91.778878398855241</v>
      </c>
      <c r="N3" s="28">
        <v>7034867825.9300003</v>
      </c>
      <c r="O3" s="28">
        <v>6386352218.3299999</v>
      </c>
      <c r="P3" s="20">
        <f>IF(N3&gt;0,O3/N3*100,"-")</f>
        <v>90.78141020347789</v>
      </c>
      <c r="Q3" s="13">
        <f t="shared" ref="Q3:R18" si="0">IF(K3&gt;0,N3/K3*100-100,"-")</f>
        <v>0.20646880817245972</v>
      </c>
      <c r="R3" s="13">
        <f t="shared" si="0"/>
        <v>-0.88259184882150521</v>
      </c>
    </row>
    <row r="4" spans="1:18" x14ac:dyDescent="0.3">
      <c r="A4" t="s">
        <v>20</v>
      </c>
      <c r="B4" s="28">
        <v>3009232949.25</v>
      </c>
      <c r="C4" s="28">
        <v>1365236222.3599999</v>
      </c>
      <c r="D4" s="20">
        <f t="shared" ref="D4:D21" si="1">IF(B4&gt;0,C4/B4*100,"-")</f>
        <v>45.36824650614907</v>
      </c>
      <c r="E4" s="28">
        <v>2554874878.29</v>
      </c>
      <c r="F4" s="28">
        <v>1190877987.29</v>
      </c>
      <c r="G4" s="20">
        <f t="shared" ref="G4:G21" si="2">IF(E4&gt;0,F4/E4*100,"-")</f>
        <v>46.611988610849899</v>
      </c>
      <c r="H4" s="28">
        <v>2766205382.9299998</v>
      </c>
      <c r="I4" s="28">
        <v>1799602130.8800001</v>
      </c>
      <c r="J4" s="20">
        <f t="shared" ref="J4:J13" si="3">IF(H4&gt;0,I4/H4*100,"-")</f>
        <v>65.056706995987355</v>
      </c>
      <c r="K4" s="28">
        <v>2786638104.7800002</v>
      </c>
      <c r="L4" s="28">
        <v>1516791911.3099999</v>
      </c>
      <c r="M4" s="20">
        <f t="shared" ref="M4:M21" si="4">IF(K4&gt;0,L4/K4*100,"-")</f>
        <v>54.43088963393572</v>
      </c>
      <c r="N4" s="28">
        <v>3506408647.5300002</v>
      </c>
      <c r="O4" s="28">
        <v>1930106428.46</v>
      </c>
      <c r="P4" s="20">
        <f t="shared" ref="P4:P21" si="5">IF(N4&gt;0,O4/N4*100,"-")</f>
        <v>55.045108042943426</v>
      </c>
      <c r="Q4" s="13">
        <f t="shared" si="0"/>
        <v>25.829351199761348</v>
      </c>
      <c r="R4" s="13">
        <f t="shared" si="0"/>
        <v>27.249256412043678</v>
      </c>
    </row>
    <row r="5" spans="1:18" x14ac:dyDescent="0.3">
      <c r="A5" t="s">
        <v>21</v>
      </c>
      <c r="B5" s="28">
        <v>134596735.09999999</v>
      </c>
      <c r="C5" s="28">
        <v>82014726.25</v>
      </c>
      <c r="D5" s="20">
        <f t="shared" si="1"/>
        <v>60.933666919235698</v>
      </c>
      <c r="E5" s="28">
        <v>155898633.59999999</v>
      </c>
      <c r="F5" s="28">
        <v>77745374.760000005</v>
      </c>
      <c r="G5" s="20">
        <f t="shared" si="2"/>
        <v>49.869182920151012</v>
      </c>
      <c r="H5" s="28">
        <v>105048320.79000001</v>
      </c>
      <c r="I5" s="28">
        <v>65972078.149999999</v>
      </c>
      <c r="J5" s="20">
        <f t="shared" si="3"/>
        <v>62.801649425585261</v>
      </c>
      <c r="K5" s="28">
        <v>70714029.260000005</v>
      </c>
      <c r="L5" s="28">
        <v>32569288.640000001</v>
      </c>
      <c r="M5" s="20">
        <f t="shared" si="4"/>
        <v>46.057746929184098</v>
      </c>
      <c r="N5" s="28">
        <v>132645467.70999999</v>
      </c>
      <c r="O5" s="28">
        <v>55474576.039999999</v>
      </c>
      <c r="P5" s="20">
        <f t="shared" si="5"/>
        <v>41.821689800425673</v>
      </c>
      <c r="Q5" s="13">
        <f t="shared" si="0"/>
        <v>87.580129569892904</v>
      </c>
      <c r="R5" s="13">
        <f t="shared" si="0"/>
        <v>70.327871305942011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423551167.58999997</v>
      </c>
      <c r="C7" s="28">
        <v>151079668.72</v>
      </c>
      <c r="D7" s="20">
        <f t="shared" si="1"/>
        <v>35.669756166566877</v>
      </c>
      <c r="E7" s="28">
        <v>2224700350.9000001</v>
      </c>
      <c r="F7" s="28">
        <v>66237564.5</v>
      </c>
      <c r="G7" s="20">
        <f t="shared" si="2"/>
        <v>2.9773701646248072</v>
      </c>
      <c r="H7" s="28">
        <v>1290365207.77</v>
      </c>
      <c r="I7" s="28">
        <v>263781825.53999999</v>
      </c>
      <c r="J7" s="20">
        <f t="shared" si="3"/>
        <v>20.442416143245666</v>
      </c>
      <c r="K7" s="28">
        <v>1433882891.47</v>
      </c>
      <c r="L7" s="28">
        <v>92449764.709999993</v>
      </c>
      <c r="M7" s="20">
        <f t="shared" si="4"/>
        <v>6.4475115269156724</v>
      </c>
      <c r="N7" s="28">
        <v>1876897210.9100001</v>
      </c>
      <c r="O7" s="28">
        <v>377375617.39999998</v>
      </c>
      <c r="P7" s="20">
        <f t="shared" si="5"/>
        <v>20.106355063367168</v>
      </c>
      <c r="Q7" s="13">
        <f t="shared" si="0"/>
        <v>30.896129807771615</v>
      </c>
      <c r="R7" s="13">
        <f t="shared" si="0"/>
        <v>308.19532487050287</v>
      </c>
    </row>
    <row r="8" spans="1:18" x14ac:dyDescent="0.3">
      <c r="A8" t="s">
        <v>24</v>
      </c>
      <c r="B8" s="28">
        <v>747657037.55999994</v>
      </c>
      <c r="C8" s="28">
        <v>43319181.479999997</v>
      </c>
      <c r="D8" s="20">
        <f t="shared" si="1"/>
        <v>5.7939910017263241</v>
      </c>
      <c r="E8" s="28">
        <v>22088441.800000001</v>
      </c>
      <c r="F8" s="28">
        <v>21005293.100000001</v>
      </c>
      <c r="G8" s="20">
        <f t="shared" si="2"/>
        <v>95.096310052979831</v>
      </c>
      <c r="H8" s="28">
        <v>14997436.68</v>
      </c>
      <c r="I8" s="28">
        <v>13188726.029999999</v>
      </c>
      <c r="J8" s="20">
        <f t="shared" si="3"/>
        <v>87.939868068174434</v>
      </c>
      <c r="K8" s="28">
        <v>19865423.190000001</v>
      </c>
      <c r="L8" s="28">
        <v>3984606.51</v>
      </c>
      <c r="M8" s="20">
        <f t="shared" si="4"/>
        <v>20.057999630261083</v>
      </c>
      <c r="N8" s="28">
        <v>61248655.189999998</v>
      </c>
      <c r="O8" s="28">
        <v>47932108.189999998</v>
      </c>
      <c r="P8" s="20">
        <f t="shared" si="5"/>
        <v>78.258221411244662</v>
      </c>
      <c r="Q8" s="13">
        <f t="shared" si="0"/>
        <v>208.31789790832033</v>
      </c>
      <c r="R8" s="13">
        <f t="shared" si="0"/>
        <v>1102.9320353140718</v>
      </c>
    </row>
    <row r="9" spans="1:18" x14ac:dyDescent="0.3">
      <c r="A9" t="s">
        <v>25</v>
      </c>
      <c r="B9" s="28">
        <v>3976280.89</v>
      </c>
      <c r="C9" s="28">
        <v>3423723.03</v>
      </c>
      <c r="D9" s="20">
        <f t="shared" si="1"/>
        <v>86.103651243813403</v>
      </c>
      <c r="E9" s="28">
        <v>1303478.19</v>
      </c>
      <c r="F9" s="28">
        <v>1137130.93</v>
      </c>
      <c r="G9" s="20">
        <f t="shared" si="2"/>
        <v>87.238201507614022</v>
      </c>
      <c r="H9" s="28">
        <v>3497418.17</v>
      </c>
      <c r="I9" s="28">
        <v>3271604.58</v>
      </c>
      <c r="J9" s="20">
        <f t="shared" si="3"/>
        <v>93.543420345414404</v>
      </c>
      <c r="K9" s="28">
        <v>5913434.4000000004</v>
      </c>
      <c r="L9" s="28">
        <v>4948471.53</v>
      </c>
      <c r="M9" s="20">
        <f t="shared" si="4"/>
        <v>83.681853814088143</v>
      </c>
      <c r="N9" s="28">
        <v>2959205.87</v>
      </c>
      <c r="O9" s="28">
        <v>2414470.9300000002</v>
      </c>
      <c r="P9" s="20">
        <f t="shared" si="5"/>
        <v>81.591853898289273</v>
      </c>
      <c r="Q9" s="13">
        <f t="shared" si="0"/>
        <v>-49.957914980844301</v>
      </c>
      <c r="R9" s="13">
        <f t="shared" si="0"/>
        <v>-51.20774333322273</v>
      </c>
    </row>
    <row r="10" spans="1:18" x14ac:dyDescent="0.3">
      <c r="A10" t="s">
        <v>26</v>
      </c>
      <c r="B10" s="28">
        <v>330000</v>
      </c>
      <c r="C10" s="28">
        <v>330000</v>
      </c>
      <c r="D10" s="20">
        <f t="shared" si="1"/>
        <v>100</v>
      </c>
      <c r="E10" s="28">
        <v>0</v>
      </c>
      <c r="F10" s="28">
        <v>0</v>
      </c>
      <c r="G10" s="20" t="str">
        <f t="shared" si="2"/>
        <v>-</v>
      </c>
      <c r="H10" s="28">
        <v>542025.30000000005</v>
      </c>
      <c r="I10" s="28">
        <v>542025.30000000005</v>
      </c>
      <c r="J10" s="20">
        <f t="shared" si="3"/>
        <v>100</v>
      </c>
      <c r="K10" s="28">
        <v>702416.4</v>
      </c>
      <c r="L10" s="28">
        <v>516626.61</v>
      </c>
      <c r="M10" s="20">
        <f t="shared" si="4"/>
        <v>73.549907149092746</v>
      </c>
      <c r="N10" s="28">
        <v>896782.63</v>
      </c>
      <c r="O10" s="28">
        <v>0</v>
      </c>
      <c r="P10" s="20">
        <f t="shared" si="5"/>
        <v>0</v>
      </c>
      <c r="Q10" s="13">
        <f t="shared" si="0"/>
        <v>27.671083704765437</v>
      </c>
      <c r="R10" s="13">
        <f t="shared" si="0"/>
        <v>-100</v>
      </c>
    </row>
    <row r="11" spans="1:18" x14ac:dyDescent="0.3">
      <c r="A11" t="s">
        <v>27</v>
      </c>
      <c r="B11" s="28">
        <v>0</v>
      </c>
      <c r="C11" s="28">
        <v>0</v>
      </c>
      <c r="D11" s="20" t="str">
        <f t="shared" si="1"/>
        <v>-</v>
      </c>
      <c r="E11" s="28">
        <v>175614.84</v>
      </c>
      <c r="F11" s="28">
        <v>175614.84</v>
      </c>
      <c r="G11" s="20">
        <f t="shared" si="2"/>
        <v>100</v>
      </c>
      <c r="H11" s="28">
        <v>407000</v>
      </c>
      <c r="I11" s="28">
        <v>407000</v>
      </c>
      <c r="J11" s="20">
        <f t="shared" si="3"/>
        <v>100</v>
      </c>
      <c r="K11" s="28">
        <v>0</v>
      </c>
      <c r="L11" s="28">
        <v>0</v>
      </c>
      <c r="M11" s="20" t="str">
        <f t="shared" si="4"/>
        <v>-</v>
      </c>
      <c r="N11" s="28">
        <v>0</v>
      </c>
      <c r="O11" s="28">
        <v>0</v>
      </c>
      <c r="P11" s="20" t="str">
        <f t="shared" si="5"/>
        <v>-</v>
      </c>
      <c r="Q11" s="13" t="str">
        <f t="shared" si="0"/>
        <v>-</v>
      </c>
      <c r="R11" s="13" t="str">
        <f t="shared" si="0"/>
        <v>-</v>
      </c>
    </row>
    <row r="12" spans="1:18" x14ac:dyDescent="0.3">
      <c r="A12" t="s">
        <v>28</v>
      </c>
      <c r="B12" s="28">
        <v>548901.74</v>
      </c>
      <c r="C12" s="28">
        <v>264715.53000000003</v>
      </c>
      <c r="D12" s="20">
        <f t="shared" si="1"/>
        <v>48.226396586026496</v>
      </c>
      <c r="E12" s="28">
        <v>1882969.9200000002</v>
      </c>
      <c r="F12" s="28">
        <v>1182425.24</v>
      </c>
      <c r="G12" s="20">
        <f t="shared" si="2"/>
        <v>62.795758309298954</v>
      </c>
      <c r="H12" s="28">
        <f>205484.17+202037262.13</f>
        <v>202242746.29999998</v>
      </c>
      <c r="I12" s="28">
        <f>161004.17+1059770.88</f>
        <v>1220775.0499999998</v>
      </c>
      <c r="J12" s="20">
        <f t="shared" si="3"/>
        <v>0.60361870689252994</v>
      </c>
      <c r="K12" s="28">
        <f>5111454.02+19850787.19</f>
        <v>24962241.210000001</v>
      </c>
      <c r="L12" s="28">
        <f>264660.13+18546370.06</f>
        <v>18811030.189999998</v>
      </c>
      <c r="M12" s="20">
        <f t="shared" si="4"/>
        <v>75.35793774184107</v>
      </c>
      <c r="N12" s="28">
        <f>955488.12+4551016.19</f>
        <v>5506504.3100000005</v>
      </c>
      <c r="O12" s="28">
        <f>165785.61+1262881.66</f>
        <v>1428667.27</v>
      </c>
      <c r="P12" s="20">
        <f t="shared" si="5"/>
        <v>25.94508583976755</v>
      </c>
      <c r="Q12" s="13">
        <f t="shared" si="0"/>
        <v>-77.940665408705101</v>
      </c>
      <c r="R12" s="13">
        <f t="shared" si="0"/>
        <v>-92.405161995011397</v>
      </c>
    </row>
    <row r="13" spans="1:18" x14ac:dyDescent="0.3">
      <c r="A13" t="s">
        <v>29</v>
      </c>
      <c r="B13" s="28">
        <v>220535699.21000001</v>
      </c>
      <c r="C13" s="28">
        <v>181825714.53</v>
      </c>
      <c r="D13" s="20">
        <f t="shared" si="1"/>
        <v>82.447293196218851</v>
      </c>
      <c r="E13" s="28">
        <v>135008188.68000001</v>
      </c>
      <c r="F13" s="28">
        <v>129431716.52</v>
      </c>
      <c r="G13" s="20">
        <f t="shared" si="2"/>
        <v>95.869530422915673</v>
      </c>
      <c r="H13" s="28">
        <v>450885555.75</v>
      </c>
      <c r="I13" s="28">
        <v>434423527.83999997</v>
      </c>
      <c r="J13" s="20">
        <f t="shared" si="3"/>
        <v>96.348956470202907</v>
      </c>
      <c r="K13" s="28">
        <v>565326334.14999998</v>
      </c>
      <c r="L13" s="28">
        <v>553687972.09000003</v>
      </c>
      <c r="M13" s="20">
        <f t="shared" si="4"/>
        <v>97.941301977821553</v>
      </c>
      <c r="N13" s="28">
        <v>978982279.78999996</v>
      </c>
      <c r="O13" s="28">
        <v>688473469.32000005</v>
      </c>
      <c r="P13" s="20">
        <f t="shared" si="5"/>
        <v>70.325427082059491</v>
      </c>
      <c r="Q13" s="13">
        <f t="shared" si="0"/>
        <v>73.17117930866516</v>
      </c>
      <c r="R13" s="13">
        <f t="shared" si="0"/>
        <v>24.343222902463751</v>
      </c>
    </row>
    <row r="14" spans="1:18" x14ac:dyDescent="0.3">
      <c r="A14" t="s">
        <v>30</v>
      </c>
      <c r="B14" s="28">
        <f t="shared" ref="B14:C14" si="6">SUM(B3:B5)</f>
        <v>9475582933.4200001</v>
      </c>
      <c r="C14" s="28">
        <f t="shared" si="6"/>
        <v>7118940211.3699999</v>
      </c>
      <c r="D14" s="20">
        <f>IF(B14&gt;0,C14/B14*100,"-")</f>
        <v>75.129311424860035</v>
      </c>
      <c r="E14" s="28">
        <f t="shared" ref="E14:F14" si="7">SUM(E3:E5)</f>
        <v>9644225082.7399998</v>
      </c>
      <c r="F14" s="28">
        <f t="shared" si="7"/>
        <v>7588039314.71</v>
      </c>
      <c r="G14" s="20">
        <f>IF(E14&gt;0,F14/E14*100,"-")</f>
        <v>78.679616554056807</v>
      </c>
      <c r="H14" s="28">
        <f t="shared" ref="H14:I14" si="8">SUM(H3:H5)</f>
        <v>9758771422.4500008</v>
      </c>
      <c r="I14" s="28">
        <f t="shared" si="8"/>
        <v>8186130982.9399996</v>
      </c>
      <c r="J14" s="20">
        <f>IF(H14&gt;0,I14/H14*100,"-")</f>
        <v>83.884852186493987</v>
      </c>
      <c r="K14" s="28">
        <f t="shared" ref="K14:L14" si="9">SUM(K3:K5)</f>
        <v>9877725079.6200008</v>
      </c>
      <c r="L14" s="28">
        <f t="shared" si="9"/>
        <v>7992580748.8200006</v>
      </c>
      <c r="M14" s="20">
        <f>IF(K14&gt;0,L14/K14*100,"-")</f>
        <v>80.915197420411275</v>
      </c>
      <c r="N14" s="28">
        <f t="shared" ref="N14:O14" si="10">SUM(N3:N5)</f>
        <v>10673921941.17</v>
      </c>
      <c r="O14" s="28">
        <f t="shared" si="10"/>
        <v>8371933222.8299999</v>
      </c>
      <c r="P14" s="20">
        <f>IF(N14&gt;0,O14/N14*100,"-")</f>
        <v>78.433524893403217</v>
      </c>
      <c r="Q14" s="13">
        <f t="shared" si="0"/>
        <v>8.0605286655804491</v>
      </c>
      <c r="R14" s="13">
        <f t="shared" si="0"/>
        <v>4.7463076812330769</v>
      </c>
    </row>
    <row r="15" spans="1:18" x14ac:dyDescent="0.3">
      <c r="A15" t="s">
        <v>31</v>
      </c>
      <c r="B15" s="27">
        <f t="shared" ref="B15:C15" si="11">SUM(B6:B10)</f>
        <v>1175514486.04</v>
      </c>
      <c r="C15" s="27">
        <f t="shared" si="11"/>
        <v>198152573.22999999</v>
      </c>
      <c r="D15" s="20">
        <f>IF(B15&gt;0,C15/B15*100,"-")</f>
        <v>16.85666791717081</v>
      </c>
      <c r="E15" s="27">
        <f t="shared" ref="E15:F15" si="12">SUM(E6:E10)</f>
        <v>2248092270.8900003</v>
      </c>
      <c r="F15" s="27">
        <f t="shared" si="12"/>
        <v>88379988.530000001</v>
      </c>
      <c r="G15" s="20">
        <f>IF(E15&gt;0,F15/E15*100,"-")</f>
        <v>3.9313327871106964</v>
      </c>
      <c r="H15" s="27">
        <f t="shared" ref="H15:I15" si="13">SUM(H6:H10)</f>
        <v>1309402087.9200001</v>
      </c>
      <c r="I15" s="27">
        <f t="shared" si="13"/>
        <v>280784181.44999999</v>
      </c>
      <c r="J15" s="20">
        <f>IF(H15&gt;0,I15/H15*100,"-")</f>
        <v>21.443694342662063</v>
      </c>
      <c r="K15" s="27">
        <f t="shared" ref="K15:L15" si="14">SUM(K6:K10)</f>
        <v>1460364165.4600003</v>
      </c>
      <c r="L15" s="27">
        <f t="shared" si="14"/>
        <v>101899469.36</v>
      </c>
      <c r="M15" s="20">
        <f>IF(K15&gt;0,L15/K15*100,"-")</f>
        <v>6.9776752792275394</v>
      </c>
      <c r="N15" s="27">
        <f t="shared" ref="N15:O15" si="15">SUM(N6:N10)</f>
        <v>1942001854.6000001</v>
      </c>
      <c r="O15" s="27">
        <f t="shared" si="15"/>
        <v>427722196.51999998</v>
      </c>
      <c r="P15" s="20">
        <f>IF(N15&gt;0,O15/N15*100,"-")</f>
        <v>22.024808859314874</v>
      </c>
      <c r="Q15" s="13">
        <f t="shared" si="0"/>
        <v>32.980656505515441</v>
      </c>
      <c r="R15" s="13">
        <f t="shared" si="0"/>
        <v>319.74918928076346</v>
      </c>
    </row>
    <row r="16" spans="1:18" x14ac:dyDescent="0.3">
      <c r="A16" t="s">
        <v>32</v>
      </c>
      <c r="B16" s="28">
        <f t="shared" ref="B16:C16" si="16">SUM(B11:B13)</f>
        <v>221084600.95000002</v>
      </c>
      <c r="C16" s="28">
        <f t="shared" si="16"/>
        <v>182090430.06</v>
      </c>
      <c r="D16" s="20">
        <f t="shared" si="1"/>
        <v>82.362330654219178</v>
      </c>
      <c r="E16" s="28">
        <f t="shared" ref="E16:F16" si="17">SUM(E11:E13)</f>
        <v>137066773.44</v>
      </c>
      <c r="F16" s="28">
        <f t="shared" si="17"/>
        <v>130789756.59999999</v>
      </c>
      <c r="G16" s="20">
        <f t="shared" si="2"/>
        <v>95.420467935106302</v>
      </c>
      <c r="H16" s="28">
        <f t="shared" ref="H16:I16" si="18">SUM(H11:H13)</f>
        <v>653535302.04999995</v>
      </c>
      <c r="I16" s="28">
        <f t="shared" si="18"/>
        <v>436051302.88999999</v>
      </c>
      <c r="J16" s="20">
        <f t="shared" ref="J16:J21" si="19">IF(H16&gt;0,I16/H16*100,"-")</f>
        <v>66.721920227140089</v>
      </c>
      <c r="K16" s="28">
        <f t="shared" ref="K16:L16" si="20">SUM(K11:K13)</f>
        <v>590288575.36000001</v>
      </c>
      <c r="L16" s="28">
        <f t="shared" si="20"/>
        <v>572499002.27999997</v>
      </c>
      <c r="M16" s="20">
        <f t="shared" ref="M16:M33" si="21">IF(K16&gt;0,L16/K16*100,"-")</f>
        <v>96.986292159025652</v>
      </c>
      <c r="N16" s="28">
        <f t="shared" ref="N16:O16" si="22">SUM(N11:N13)</f>
        <v>984488784.0999999</v>
      </c>
      <c r="O16" s="28">
        <f t="shared" si="22"/>
        <v>689902136.59000003</v>
      </c>
      <c r="P16" s="20">
        <f t="shared" si="5"/>
        <v>70.077196178592814</v>
      </c>
      <c r="Q16" s="13">
        <f t="shared" si="0"/>
        <v>66.780931428257531</v>
      </c>
      <c r="R16" s="13">
        <f t="shared" si="0"/>
        <v>20.507133434719975</v>
      </c>
    </row>
    <row r="17" spans="1:18" x14ac:dyDescent="0.3">
      <c r="A17" t="s">
        <v>33</v>
      </c>
      <c r="B17" s="28">
        <v>37786875.009999998</v>
      </c>
      <c r="C17" s="28">
        <v>37786875.009999998</v>
      </c>
      <c r="D17" s="20">
        <f t="shared" si="1"/>
        <v>100</v>
      </c>
      <c r="E17" s="28">
        <v>17236879.239999998</v>
      </c>
      <c r="F17" s="28">
        <v>16309006.9</v>
      </c>
      <c r="G17" s="20">
        <f t="shared" si="2"/>
        <v>94.616935426183346</v>
      </c>
      <c r="H17" s="28">
        <v>9587749.3399999999</v>
      </c>
      <c r="I17" s="28">
        <v>9587749.3399999999</v>
      </c>
      <c r="J17" s="20">
        <f t="shared" si="19"/>
        <v>100</v>
      </c>
      <c r="K17" s="28">
        <v>10000050</v>
      </c>
      <c r="L17" s="28">
        <v>10000000</v>
      </c>
      <c r="M17" s="20">
        <f t="shared" si="21"/>
        <v>99.999500002499985</v>
      </c>
      <c r="N17" s="28">
        <v>146495016.44999999</v>
      </c>
      <c r="O17" s="28">
        <v>146495016.44999999</v>
      </c>
      <c r="P17" s="20">
        <f t="shared" si="5"/>
        <v>100</v>
      </c>
      <c r="Q17" s="13">
        <f t="shared" si="0"/>
        <v>1364.942839785801</v>
      </c>
      <c r="R17" s="13">
        <f t="shared" si="0"/>
        <v>1364.9501644999998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1828905293.4100001</v>
      </c>
      <c r="C19" s="28">
        <v>1625327521.25</v>
      </c>
      <c r="D19" s="20">
        <f t="shared" si="1"/>
        <v>88.868872932155568</v>
      </c>
      <c r="E19" s="28">
        <v>1222689350.01</v>
      </c>
      <c r="F19" s="28">
        <v>1218063799.4200001</v>
      </c>
      <c r="G19" s="20">
        <f t="shared" si="2"/>
        <v>99.621690449012078</v>
      </c>
      <c r="H19" s="28">
        <v>956872114.50999999</v>
      </c>
      <c r="I19" s="28">
        <v>954128553.85000002</v>
      </c>
      <c r="J19" s="20">
        <f t="shared" si="19"/>
        <v>99.713278230351094</v>
      </c>
      <c r="K19" s="28">
        <v>1028792154.59</v>
      </c>
      <c r="L19" s="28">
        <v>1024112301.17</v>
      </c>
      <c r="M19" s="20">
        <f t="shared" si="21"/>
        <v>99.545111867433988</v>
      </c>
      <c r="N19" s="28">
        <v>1600245852.0599999</v>
      </c>
      <c r="O19" s="28">
        <v>1596876155.5799999</v>
      </c>
      <c r="P19" s="20">
        <f t="shared" si="5"/>
        <v>99.78942632623216</v>
      </c>
      <c r="Q19" s="13">
        <f t="shared" ref="Q19:R60" si="23">IF(K19&gt;0,N19/K19*100-100,"-")</f>
        <v>55.546078468856393</v>
      </c>
      <c r="R19" s="13">
        <f t="shared" si="23"/>
        <v>55.927836601088018</v>
      </c>
    </row>
    <row r="20" spans="1:18" x14ac:dyDescent="0.3">
      <c r="A20" t="s">
        <v>36</v>
      </c>
      <c r="B20" s="28">
        <f t="shared" ref="B20:C20" si="24">B14+B15+B16+B17+B18+B19</f>
        <v>12738874188.83</v>
      </c>
      <c r="C20" s="28">
        <f t="shared" si="24"/>
        <v>9162297610.9200001</v>
      </c>
      <c r="D20" s="20">
        <f t="shared" si="1"/>
        <v>71.923919453996191</v>
      </c>
      <c r="E20" s="28">
        <f t="shared" ref="E20:F20" si="25">E14+E15+E16+E17+E18+E19</f>
        <v>13269310356.320002</v>
      </c>
      <c r="F20" s="28">
        <f t="shared" si="25"/>
        <v>9041581866.1599998</v>
      </c>
      <c r="G20" s="20">
        <f t="shared" si="2"/>
        <v>68.139048853082343</v>
      </c>
      <c r="H20" s="28">
        <f t="shared" ref="H20:I20" si="26">H14+H15+H16+H17+H18+H19</f>
        <v>12688168676.27</v>
      </c>
      <c r="I20" s="28">
        <f t="shared" si="26"/>
        <v>9866682770.4699993</v>
      </c>
      <c r="J20" s="20">
        <f t="shared" si="19"/>
        <v>77.762859418184789</v>
      </c>
      <c r="K20" s="28">
        <f t="shared" ref="K20:L20" si="27">K14+K15+K16+K17+K18+K19</f>
        <v>12967170025.030003</v>
      </c>
      <c r="L20" s="28">
        <f t="shared" si="27"/>
        <v>9701091521.6300011</v>
      </c>
      <c r="M20" s="20">
        <f t="shared" si="21"/>
        <v>74.812711662640169</v>
      </c>
      <c r="N20" s="28">
        <f t="shared" ref="N20:O20" si="28">N14+N15+N16+N17+N18+N19</f>
        <v>15347153448.380001</v>
      </c>
      <c r="O20" s="28">
        <f t="shared" si="28"/>
        <v>11232928727.970001</v>
      </c>
      <c r="P20" s="20">
        <f t="shared" si="5"/>
        <v>73.192261781651212</v>
      </c>
      <c r="Q20" s="13">
        <f t="shared" si="23"/>
        <v>18.353915455384737</v>
      </c>
      <c r="R20" s="13">
        <f t="shared" si="23"/>
        <v>15.790359290235997</v>
      </c>
    </row>
    <row r="21" spans="1:18" x14ac:dyDescent="0.3">
      <c r="A21" t="s">
        <v>37</v>
      </c>
      <c r="B21" s="28">
        <f t="shared" ref="B21:C21" si="29">B20-B19</f>
        <v>10909968895.42</v>
      </c>
      <c r="C21" s="28">
        <f t="shared" si="29"/>
        <v>7536970089.6700001</v>
      </c>
      <c r="D21" s="20">
        <f t="shared" si="1"/>
        <v>69.083332518335752</v>
      </c>
      <c r="E21" s="28">
        <f t="shared" ref="E21:F21" si="30">E20-E19</f>
        <v>12046621006.310001</v>
      </c>
      <c r="F21" s="28">
        <f t="shared" si="30"/>
        <v>7823518066.7399998</v>
      </c>
      <c r="G21" s="20">
        <f t="shared" si="2"/>
        <v>64.943672276583229</v>
      </c>
      <c r="H21" s="28">
        <f t="shared" ref="H21:I21" si="31">H20-H19</f>
        <v>11731296561.76</v>
      </c>
      <c r="I21" s="28">
        <f t="shared" si="31"/>
        <v>8912554216.6199989</v>
      </c>
      <c r="J21" s="20">
        <f t="shared" si="19"/>
        <v>75.972456835435111</v>
      </c>
      <c r="K21" s="28">
        <f t="shared" ref="K21:L21" si="32">K20-K19</f>
        <v>11938377870.440002</v>
      </c>
      <c r="L21" s="28">
        <f t="shared" si="32"/>
        <v>8676979220.460001</v>
      </c>
      <c r="M21" s="20">
        <f t="shared" si="21"/>
        <v>72.681392016788308</v>
      </c>
      <c r="N21" s="28">
        <f t="shared" ref="N21:O21" si="33">N20-N19</f>
        <v>13746907596.320002</v>
      </c>
      <c r="O21" s="28">
        <f t="shared" si="33"/>
        <v>9636052572.3900013</v>
      </c>
      <c r="P21" s="20">
        <f t="shared" si="5"/>
        <v>70.096147114348383</v>
      </c>
      <c r="Q21" s="13">
        <f t="shared" si="23"/>
        <v>15.148873201257999</v>
      </c>
      <c r="R21" s="13">
        <f t="shared" si="23"/>
        <v>11.053078814209201</v>
      </c>
    </row>
    <row r="22" spans="1:18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8"/>
      <c r="K22" s="12" t="s">
        <v>75</v>
      </c>
      <c r="L22" s="12" t="s">
        <v>76</v>
      </c>
      <c r="M22" s="18"/>
      <c r="N22" s="12" t="s">
        <v>75</v>
      </c>
      <c r="O22" s="12" t="s">
        <v>76</v>
      </c>
      <c r="P22" s="18"/>
    </row>
    <row r="23" spans="1:18" x14ac:dyDescent="0.3">
      <c r="A23" s="5" t="s">
        <v>38</v>
      </c>
      <c r="B23" s="27">
        <v>153747627.88999999</v>
      </c>
      <c r="C23" s="101">
        <v>136984345.91</v>
      </c>
      <c r="D23" s="20">
        <f>IF(B23&gt;0,C23/B23*100,"-")</f>
        <v>89.096884153560126</v>
      </c>
      <c r="E23" s="27">
        <v>160130371.74000001</v>
      </c>
      <c r="F23" s="101">
        <v>135982938.94999999</v>
      </c>
      <c r="G23" s="20">
        <f>IF(E23&gt;0,F23/E23*100,"-")</f>
        <v>84.920141927099465</v>
      </c>
      <c r="H23" s="27">
        <v>158570713.53999999</v>
      </c>
      <c r="I23" s="101">
        <v>139225813.09</v>
      </c>
      <c r="J23" s="20">
        <f>IF(H23&gt;0,I23/H23*100,"-")</f>
        <v>87.800458219468013</v>
      </c>
      <c r="K23" s="27">
        <v>165399085.69</v>
      </c>
      <c r="L23" s="101">
        <v>139700839.59</v>
      </c>
      <c r="M23" s="20">
        <f>IF(K23&gt;0,L23/K23*100,"-")</f>
        <v>84.462885031804191</v>
      </c>
      <c r="N23" s="1">
        <v>155015243.66999999</v>
      </c>
      <c r="O23" s="1">
        <v>122558831.65000001</v>
      </c>
      <c r="P23" s="20">
        <f>IF(N23&gt;0,O23/N23*100,"-")</f>
        <v>79.062438472764697</v>
      </c>
      <c r="Q23" s="13">
        <f t="shared" si="23"/>
        <v>-6.2780528542110403</v>
      </c>
      <c r="R23" s="13">
        <f t="shared" si="23"/>
        <v>-12.270511752333846</v>
      </c>
    </row>
    <row r="24" spans="1:18" x14ac:dyDescent="0.3">
      <c r="A24" s="5" t="s">
        <v>39</v>
      </c>
      <c r="B24" s="27">
        <v>12897722.74</v>
      </c>
      <c r="C24" s="27">
        <v>12291299.460000001</v>
      </c>
      <c r="D24" s="20">
        <f t="shared" ref="D24:D57" si="34">IF(B24&gt;0,C24/B24*100,"-")</f>
        <v>95.298214326477307</v>
      </c>
      <c r="E24" s="27">
        <v>13139890.9</v>
      </c>
      <c r="F24" s="27">
        <v>11083053.25</v>
      </c>
      <c r="G24" s="20">
        <f t="shared" ref="G24:G57" si="35">IF(E24&gt;0,F24/E24*100,"-")</f>
        <v>84.346615465429778</v>
      </c>
      <c r="H24" s="27">
        <v>13216266.310000001</v>
      </c>
      <c r="I24" s="27">
        <v>11330549.83</v>
      </c>
      <c r="J24" s="20">
        <f t="shared" ref="J24:J26" si="36">IF(H24&gt;0,I24/H24*100,"-")</f>
        <v>85.73185167604268</v>
      </c>
      <c r="K24" s="27">
        <v>12506756.369999999</v>
      </c>
      <c r="L24" s="27">
        <v>9799836.7400000002</v>
      </c>
      <c r="M24" s="20">
        <f t="shared" ref="M24:M57" si="37">IF(K24&gt;0,L24/K24*100,"-")</f>
        <v>78.356341565163163</v>
      </c>
      <c r="N24" s="1">
        <v>12487950.9</v>
      </c>
      <c r="O24" s="1">
        <v>8358197.7800000003</v>
      </c>
      <c r="P24" s="20">
        <f t="shared" ref="P24:P57" si="38">IF(N24&gt;0,O24/N24*100,"-")</f>
        <v>66.930098035539203</v>
      </c>
      <c r="Q24" s="13">
        <f t="shared" si="23"/>
        <v>-0.15036248763195204</v>
      </c>
      <c r="R24" s="13">
        <f t="shared" si="23"/>
        <v>-14.710846703350285</v>
      </c>
    </row>
    <row r="25" spans="1:18" x14ac:dyDescent="0.3">
      <c r="A25" s="5" t="s">
        <v>40</v>
      </c>
      <c r="B25" s="27">
        <v>485751921.76999998</v>
      </c>
      <c r="C25" s="27">
        <v>415407852.75999999</v>
      </c>
      <c r="D25" s="20">
        <f t="shared" si="34"/>
        <v>85.518519668707057</v>
      </c>
      <c r="E25" s="27">
        <v>513476110.25</v>
      </c>
      <c r="F25" s="27">
        <v>341835251.13</v>
      </c>
      <c r="G25" s="20">
        <f t="shared" si="35"/>
        <v>66.572766348091264</v>
      </c>
      <c r="H25" s="27">
        <v>492096048.13999999</v>
      </c>
      <c r="I25" s="27">
        <v>365630376.06999999</v>
      </c>
      <c r="J25" s="20">
        <f t="shared" si="36"/>
        <v>74.300612136998751</v>
      </c>
      <c r="K25" s="27">
        <v>499165870.36000001</v>
      </c>
      <c r="L25" s="27">
        <v>355097149.75</v>
      </c>
      <c r="M25" s="20">
        <f t="shared" si="37"/>
        <v>71.138106756758589</v>
      </c>
      <c r="N25" s="1">
        <v>979275893.77999997</v>
      </c>
      <c r="O25" s="1">
        <v>767672473.08000004</v>
      </c>
      <c r="P25" s="20">
        <f t="shared" si="38"/>
        <v>78.391848298929148</v>
      </c>
      <c r="Q25" s="13">
        <f t="shared" si="23"/>
        <v>96.182461968752591</v>
      </c>
      <c r="R25" s="13">
        <f t="shared" si="23"/>
        <v>116.1866051643801</v>
      </c>
    </row>
    <row r="26" spans="1:18" x14ac:dyDescent="0.3">
      <c r="A26" s="5" t="s">
        <v>41</v>
      </c>
      <c r="B26" s="27">
        <v>8053429603.75</v>
      </c>
      <c r="C26" s="27">
        <v>7058076224.1300001</v>
      </c>
      <c r="D26" s="20">
        <f t="shared" si="34"/>
        <v>87.640627302975076</v>
      </c>
      <c r="E26" s="27">
        <v>8257481855.4399996</v>
      </c>
      <c r="F26" s="27">
        <v>7750931533.29</v>
      </c>
      <c r="G26" s="20">
        <f t="shared" si="35"/>
        <v>93.865559367638369</v>
      </c>
      <c r="H26" s="27">
        <v>8418565301.4200001</v>
      </c>
      <c r="I26" s="27">
        <v>7806445274.0699997</v>
      </c>
      <c r="J26" s="20">
        <f t="shared" si="36"/>
        <v>92.728927015072856</v>
      </c>
      <c r="K26" s="27">
        <v>8697555197.8999996</v>
      </c>
      <c r="L26" s="27">
        <v>7812863892.5100002</v>
      </c>
      <c r="M26" s="20">
        <f t="shared" si="37"/>
        <v>89.828276047002191</v>
      </c>
      <c r="N26" s="1">
        <v>8706707781.7999992</v>
      </c>
      <c r="O26" s="1">
        <v>7657720866.0100002</v>
      </c>
      <c r="P26" s="20">
        <f t="shared" si="38"/>
        <v>87.951968274590072</v>
      </c>
      <c r="Q26" s="13">
        <f t="shared" si="23"/>
        <v>0.1052316851315851</v>
      </c>
      <c r="R26" s="13">
        <f t="shared" si="23"/>
        <v>-1.9857382470048037</v>
      </c>
    </row>
    <row r="27" spans="1:18" x14ac:dyDescent="0.3">
      <c r="A27" s="5" t="s">
        <v>351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8">
        <v>0</v>
      </c>
      <c r="O27" s="28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352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8">
        <v>0</v>
      </c>
      <c r="O28" s="28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53492929.729999997</v>
      </c>
      <c r="C29" s="27">
        <v>53492929.729999997</v>
      </c>
      <c r="D29" s="20">
        <f t="shared" si="34"/>
        <v>100</v>
      </c>
      <c r="E29" s="27">
        <v>48855171.68</v>
      </c>
      <c r="F29" s="27">
        <v>48855171.68</v>
      </c>
      <c r="G29" s="20">
        <f t="shared" si="35"/>
        <v>100</v>
      </c>
      <c r="H29" s="27">
        <v>46184388.060000002</v>
      </c>
      <c r="I29" s="27">
        <v>46184388.060000002</v>
      </c>
      <c r="J29" s="20">
        <f t="shared" ref="J29:J57" si="39">IF(H29&gt;0,I29/H29*100,"-")</f>
        <v>100</v>
      </c>
      <c r="K29" s="27">
        <v>43679537.25</v>
      </c>
      <c r="L29" s="27">
        <v>43679537.25</v>
      </c>
      <c r="M29" s="20">
        <f t="shared" ref="M29:M62" si="40">IF(K29&gt;0,L29/K29*100,"-")</f>
        <v>100</v>
      </c>
      <c r="N29" s="1">
        <v>41056181.890000001</v>
      </c>
      <c r="O29" s="1">
        <v>41056181.890000001</v>
      </c>
      <c r="P29" s="20">
        <f t="shared" si="38"/>
        <v>100</v>
      </c>
      <c r="Q29" s="13">
        <f t="shared" si="23"/>
        <v>-6.0059138103620882</v>
      </c>
      <c r="R29" s="13">
        <f t="shared" si="23"/>
        <v>-6.0059138103620882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27">
        <v>0</v>
      </c>
      <c r="G30" s="20" t="str">
        <f t="shared" si="35"/>
        <v>-</v>
      </c>
      <c r="H30" s="27">
        <v>0</v>
      </c>
      <c r="I30" s="27">
        <v>0</v>
      </c>
      <c r="J30" s="20" t="str">
        <f t="shared" si="39"/>
        <v>-</v>
      </c>
      <c r="K30" s="27">
        <v>0</v>
      </c>
      <c r="L30" s="27">
        <v>0</v>
      </c>
      <c r="M30" s="20" t="str">
        <f t="shared" si="40"/>
        <v>-</v>
      </c>
      <c r="N30" s="1">
        <v>1187.2</v>
      </c>
      <c r="O30" s="1">
        <v>1187.2</v>
      </c>
      <c r="P30" s="20">
        <f t="shared" si="38"/>
        <v>100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17116544.949999999</v>
      </c>
      <c r="C31" s="27">
        <v>395722.99</v>
      </c>
      <c r="D31" s="20">
        <f t="shared" si="34"/>
        <v>2.3119326426914211</v>
      </c>
      <c r="E31" s="27">
        <v>12062286.68</v>
      </c>
      <c r="F31" s="27">
        <v>11504314.210000001</v>
      </c>
      <c r="G31" s="20">
        <f t="shared" si="35"/>
        <v>95.374239687694114</v>
      </c>
      <c r="H31" s="27">
        <v>21229323.739999998</v>
      </c>
      <c r="I31" s="27">
        <v>423085.28</v>
      </c>
      <c r="J31" s="20">
        <f t="shared" si="39"/>
        <v>1.99292867347832</v>
      </c>
      <c r="K31" s="27">
        <v>20034031.52</v>
      </c>
      <c r="L31" s="27">
        <v>6079544.3099999996</v>
      </c>
      <c r="M31" s="20">
        <f t="shared" si="40"/>
        <v>30.346085379424419</v>
      </c>
      <c r="N31" s="1">
        <v>7828315.8899999997</v>
      </c>
      <c r="O31" s="1">
        <v>7081590.9299999997</v>
      </c>
      <c r="P31" s="20">
        <f t="shared" si="38"/>
        <v>90.461231119277173</v>
      </c>
      <c r="Q31" s="13">
        <f t="shared" si="23"/>
        <v>-60.924909785706475</v>
      </c>
      <c r="R31" s="13">
        <f t="shared" si="23"/>
        <v>16.482265263726646</v>
      </c>
    </row>
    <row r="32" spans="1:18" x14ac:dyDescent="0.3">
      <c r="A32" s="5" t="s">
        <v>45</v>
      </c>
      <c r="B32" s="27">
        <v>4786466.41</v>
      </c>
      <c r="C32" s="27">
        <v>3895710.24</v>
      </c>
      <c r="D32" s="20">
        <f t="shared" si="34"/>
        <v>81.390109243449189</v>
      </c>
      <c r="E32" s="27">
        <v>9607765.3000000007</v>
      </c>
      <c r="F32" s="27">
        <v>6147545.0499999998</v>
      </c>
      <c r="G32" s="20">
        <f t="shared" si="35"/>
        <v>63.985170932516425</v>
      </c>
      <c r="H32" s="27">
        <v>11550265.060000001</v>
      </c>
      <c r="I32" s="27">
        <v>10591471.43</v>
      </c>
      <c r="J32" s="20">
        <f t="shared" si="39"/>
        <v>91.698946950400114</v>
      </c>
      <c r="K32" s="27">
        <v>6046853.5199999996</v>
      </c>
      <c r="L32" s="27">
        <v>5633703.6699999999</v>
      </c>
      <c r="M32" s="20">
        <f t="shared" si="40"/>
        <v>93.167523429606746</v>
      </c>
      <c r="N32" s="1">
        <v>10435086.359999999</v>
      </c>
      <c r="O32" s="1">
        <v>9532518.2200000007</v>
      </c>
      <c r="P32" s="20">
        <f t="shared" si="38"/>
        <v>91.350640436865547</v>
      </c>
      <c r="Q32" s="13">
        <f t="shared" si="23"/>
        <v>72.570516641190267</v>
      </c>
      <c r="R32" s="13">
        <f t="shared" si="23"/>
        <v>69.205176174983308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28">
        <v>0</v>
      </c>
      <c r="F33" s="28">
        <v>0</v>
      </c>
      <c r="G33" s="20" t="str">
        <f t="shared" si="35"/>
        <v>-</v>
      </c>
      <c r="H33" s="28">
        <v>0</v>
      </c>
      <c r="I33" s="28">
        <v>0</v>
      </c>
      <c r="J33" s="20" t="str">
        <f t="shared" si="39"/>
        <v>-</v>
      </c>
      <c r="K33" s="28">
        <v>0</v>
      </c>
      <c r="L33" s="28">
        <v>0</v>
      </c>
      <c r="M33" s="20" t="str">
        <f t="shared" si="40"/>
        <v>-</v>
      </c>
      <c r="N33" s="28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34353231.189999998</v>
      </c>
      <c r="C34" s="27">
        <v>23936089.129999999</v>
      </c>
      <c r="D34" s="20">
        <f t="shared" si="34"/>
        <v>69.676383562334706</v>
      </c>
      <c r="E34" s="27">
        <v>123104343.3</v>
      </c>
      <c r="F34" s="27">
        <v>35294340.100000001</v>
      </c>
      <c r="G34" s="20">
        <f t="shared" si="35"/>
        <v>28.670263902865891</v>
      </c>
      <c r="H34" s="27">
        <v>49319910.25</v>
      </c>
      <c r="I34" s="27">
        <f>18950358.97+1020318.15+35776+5500000+371460.57+2888906.25+959839.07+414506.18+223195.63+328659.44+4950</f>
        <v>30697970.259999998</v>
      </c>
      <c r="J34" s="20">
        <f t="shared" si="39"/>
        <v>62.242550938137597</v>
      </c>
      <c r="K34" s="27">
        <v>46128774.590000004</v>
      </c>
      <c r="L34" s="27">
        <v>27223280.010000002</v>
      </c>
      <c r="M34" s="20">
        <f t="shared" si="40"/>
        <v>59.015831770873838</v>
      </c>
      <c r="N34" s="1">
        <v>103736897.51000001</v>
      </c>
      <c r="O34" s="1">
        <v>60413219.829999998</v>
      </c>
      <c r="P34" s="20">
        <f t="shared" si="38"/>
        <v>58.236964166174623</v>
      </c>
      <c r="Q34" s="13">
        <f t="shared" si="23"/>
        <v>124.88543958089133</v>
      </c>
      <c r="R34" s="13">
        <f t="shared" si="23"/>
        <v>121.91749050007289</v>
      </c>
    </row>
    <row r="35" spans="1:18" x14ac:dyDescent="0.3">
      <c r="A35" s="5" t="s">
        <v>48</v>
      </c>
      <c r="B35" s="27">
        <v>1289201732.6099999</v>
      </c>
      <c r="C35" s="27">
        <v>460030977.04000002</v>
      </c>
      <c r="D35" s="20">
        <f t="shared" si="34"/>
        <v>35.683397361611</v>
      </c>
      <c r="E35" s="27">
        <v>2102936145.6700001</v>
      </c>
      <c r="F35" s="27">
        <v>497370768.55000001</v>
      </c>
      <c r="G35" s="20">
        <f t="shared" si="35"/>
        <v>23.651253965751611</v>
      </c>
      <c r="H35" s="27">
        <v>1454398272.9400001</v>
      </c>
      <c r="I35" s="27">
        <f>1489592.13+246139.25+34476949.09+34564227.89+1726811.32+7543246.3+6989553.19+42490230.27+73008272.04+1676751.66+2247187.55+79106638.15+253511990.83+26409934.8+1675168.44</f>
        <v>567162692.91000009</v>
      </c>
      <c r="J35" s="20">
        <f t="shared" si="39"/>
        <v>38.996381078169627</v>
      </c>
      <c r="K35" s="27">
        <v>2010384592.79</v>
      </c>
      <c r="L35" s="27">
        <v>418616175.89999998</v>
      </c>
      <c r="M35" s="20">
        <f t="shared" si="40"/>
        <v>20.822691210493556</v>
      </c>
      <c r="N35" s="1">
        <v>2133597456.01</v>
      </c>
      <c r="O35" s="1">
        <v>977981726.26999998</v>
      </c>
      <c r="P35" s="20">
        <f t="shared" si="38"/>
        <v>45.837218427270955</v>
      </c>
      <c r="Q35" s="13">
        <f t="shared" si="23"/>
        <v>6.1288205083688041</v>
      </c>
      <c r="R35" s="13">
        <f t="shared" si="23"/>
        <v>133.62253600625854</v>
      </c>
    </row>
    <row r="36" spans="1:18" x14ac:dyDescent="0.3">
      <c r="A36" s="5" t="s">
        <v>49</v>
      </c>
      <c r="B36" s="27">
        <v>174864784.66</v>
      </c>
      <c r="C36" s="27">
        <v>67634054.930000007</v>
      </c>
      <c r="D36" s="20">
        <f t="shared" si="34"/>
        <v>38.677916231964552</v>
      </c>
      <c r="E36" s="27">
        <v>250742106.06999999</v>
      </c>
      <c r="F36" s="27">
        <v>28546432.48</v>
      </c>
      <c r="G36" s="20">
        <f t="shared" si="35"/>
        <v>11.384778140146377</v>
      </c>
      <c r="H36" s="27">
        <v>218997476.44999999</v>
      </c>
      <c r="I36" s="27">
        <f>257465.7+7222032.32+5307190.6+1661793.82+1430397.13</f>
        <v>15878879.57</v>
      </c>
      <c r="J36" s="20">
        <f t="shared" si="39"/>
        <v>7.2507134910412345</v>
      </c>
      <c r="K36" s="27">
        <v>52897052.530000001</v>
      </c>
      <c r="L36" s="27">
        <v>4341239.51</v>
      </c>
      <c r="M36" s="20">
        <f t="shared" si="40"/>
        <v>8.206959182721782</v>
      </c>
      <c r="N36" s="1">
        <v>44814267.270000003</v>
      </c>
      <c r="O36" s="1">
        <v>7947997.5800000001</v>
      </c>
      <c r="P36" s="20">
        <f t="shared" si="38"/>
        <v>17.735417901880158</v>
      </c>
      <c r="Q36" s="13">
        <f t="shared" si="23"/>
        <v>-15.280218600868039</v>
      </c>
      <c r="R36" s="13">
        <f t="shared" si="23"/>
        <v>83.081296521232474</v>
      </c>
    </row>
    <row r="37" spans="1:18" x14ac:dyDescent="0.3">
      <c r="A37" s="5" t="s">
        <v>50</v>
      </c>
      <c r="B37" s="27">
        <v>0</v>
      </c>
      <c r="C37" s="27">
        <v>0</v>
      </c>
      <c r="D37" s="20" t="str">
        <f t="shared" si="34"/>
        <v>-</v>
      </c>
      <c r="E37" s="27">
        <v>0</v>
      </c>
      <c r="F37" s="27">
        <v>0</v>
      </c>
      <c r="G37" s="20" t="str">
        <f t="shared" si="35"/>
        <v>-</v>
      </c>
      <c r="H37" s="27">
        <v>127794.41</v>
      </c>
      <c r="I37" s="27">
        <v>127794.41</v>
      </c>
      <c r="J37" s="20">
        <f t="shared" si="39"/>
        <v>100</v>
      </c>
      <c r="K37" s="27">
        <v>0</v>
      </c>
      <c r="L37" s="27">
        <v>0</v>
      </c>
      <c r="M37" s="20" t="str">
        <f t="shared" si="40"/>
        <v>-</v>
      </c>
      <c r="N37" s="1">
        <v>2760000</v>
      </c>
      <c r="O37" s="28">
        <v>0</v>
      </c>
      <c r="P37" s="20">
        <f t="shared" si="38"/>
        <v>0</v>
      </c>
      <c r="Q37" s="13" t="str">
        <f t="shared" si="23"/>
        <v>-</v>
      </c>
      <c r="R37" s="13" t="str">
        <f t="shared" si="23"/>
        <v>-</v>
      </c>
    </row>
    <row r="38" spans="1:18" x14ac:dyDescent="0.3">
      <c r="A38" s="5" t="s">
        <v>51</v>
      </c>
      <c r="B38" s="27">
        <v>800000</v>
      </c>
      <c r="C38" s="27">
        <v>0</v>
      </c>
      <c r="D38" s="20">
        <f t="shared" si="34"/>
        <v>0</v>
      </c>
      <c r="E38" s="27">
        <v>0</v>
      </c>
      <c r="F38" s="27">
        <v>0</v>
      </c>
      <c r="G38" s="20" t="str">
        <f t="shared" si="35"/>
        <v>-</v>
      </c>
      <c r="H38" s="27">
        <v>0</v>
      </c>
      <c r="I38" s="27">
        <v>0</v>
      </c>
      <c r="J38" s="20" t="str">
        <f t="shared" si="39"/>
        <v>-</v>
      </c>
      <c r="K38" s="27">
        <v>6055046.1200000001</v>
      </c>
      <c r="L38" s="27">
        <v>6055046.1200000001</v>
      </c>
      <c r="M38" s="20">
        <f t="shared" si="40"/>
        <v>100</v>
      </c>
      <c r="N38" s="28">
        <v>0</v>
      </c>
      <c r="O38" s="28">
        <v>0</v>
      </c>
      <c r="P38" s="20" t="str">
        <f t="shared" si="38"/>
        <v>-</v>
      </c>
      <c r="Q38" s="13">
        <f t="shared" si="23"/>
        <v>-100</v>
      </c>
      <c r="R38" s="13">
        <f t="shared" si="23"/>
        <v>-100</v>
      </c>
    </row>
    <row r="39" spans="1:18" x14ac:dyDescent="0.3">
      <c r="A39" s="5" t="s">
        <v>262</v>
      </c>
      <c r="B39" s="27">
        <v>0</v>
      </c>
      <c r="C39" s="27">
        <v>0</v>
      </c>
      <c r="D39" s="20" t="str">
        <f t="shared" si="34"/>
        <v>-</v>
      </c>
      <c r="E39" s="27">
        <v>0</v>
      </c>
      <c r="F39" s="27">
        <v>0</v>
      </c>
      <c r="G39" s="20" t="str">
        <f t="shared" si="35"/>
        <v>-</v>
      </c>
      <c r="H39" s="27">
        <v>3734310.39</v>
      </c>
      <c r="I39" s="27">
        <f>44480</f>
        <v>44480</v>
      </c>
      <c r="J39" s="20">
        <f t="shared" si="39"/>
        <v>1.1911168423254714</v>
      </c>
      <c r="K39" s="27">
        <v>1684326.53</v>
      </c>
      <c r="L39" s="27">
        <v>216047.31</v>
      </c>
      <c r="M39" s="20">
        <f t="shared" si="40"/>
        <v>12.826925548693936</v>
      </c>
      <c r="N39" s="1">
        <v>789702.51</v>
      </c>
      <c r="O39" s="28">
        <v>0</v>
      </c>
      <c r="P39" s="20">
        <f t="shared" si="38"/>
        <v>0</v>
      </c>
      <c r="Q39" s="13">
        <f t="shared" si="23"/>
        <v>-53.114642800288848</v>
      </c>
      <c r="R39" s="13">
        <f t="shared" si="23"/>
        <v>-100</v>
      </c>
    </row>
    <row r="40" spans="1:18" x14ac:dyDescent="0.3">
      <c r="A40" s="5" t="s">
        <v>52</v>
      </c>
      <c r="B40" s="27">
        <v>2000000</v>
      </c>
      <c r="C40" s="27">
        <v>2000000</v>
      </c>
      <c r="D40" s="20">
        <f t="shared" si="34"/>
        <v>100</v>
      </c>
      <c r="E40" s="27">
        <v>500000</v>
      </c>
      <c r="F40" s="27">
        <v>0</v>
      </c>
      <c r="G40" s="20">
        <f t="shared" si="35"/>
        <v>0</v>
      </c>
      <c r="H40" s="27"/>
      <c r="I40" s="27">
        <v>0</v>
      </c>
      <c r="J40" s="20" t="str">
        <f t="shared" si="39"/>
        <v>-</v>
      </c>
      <c r="K40" s="27">
        <v>100000</v>
      </c>
      <c r="L40" s="27">
        <v>0</v>
      </c>
      <c r="M40" s="20">
        <f t="shared" si="40"/>
        <v>0</v>
      </c>
      <c r="N40" s="1">
        <v>100000</v>
      </c>
      <c r="O40" s="28">
        <v>0</v>
      </c>
      <c r="P40" s="20">
        <f t="shared" si="38"/>
        <v>0</v>
      </c>
      <c r="Q40" s="13">
        <f t="shared" si="23"/>
        <v>0</v>
      </c>
      <c r="R40" s="13" t="str">
        <f t="shared" si="23"/>
        <v>-</v>
      </c>
    </row>
    <row r="41" spans="1:18" x14ac:dyDescent="0.3">
      <c r="A41" s="5" t="s">
        <v>53</v>
      </c>
      <c r="B41" s="27">
        <v>190084701.03</v>
      </c>
      <c r="C41" s="27">
        <v>190084701.03</v>
      </c>
      <c r="D41" s="20">
        <f t="shared" si="34"/>
        <v>100</v>
      </c>
      <c r="E41" s="27">
        <v>135008188.68000001</v>
      </c>
      <c r="F41" s="27">
        <v>135008188.68000001</v>
      </c>
      <c r="G41" s="20">
        <f t="shared" si="35"/>
        <v>100</v>
      </c>
      <c r="H41" s="27">
        <v>450885555.75</v>
      </c>
      <c r="I41" s="27">
        <v>450885555.75</v>
      </c>
      <c r="J41" s="20">
        <f t="shared" si="39"/>
        <v>100</v>
      </c>
      <c r="K41" s="27">
        <v>565326334.14999998</v>
      </c>
      <c r="L41" s="27">
        <v>565326334.14999998</v>
      </c>
      <c r="M41" s="20">
        <f t="shared" si="40"/>
        <v>100</v>
      </c>
      <c r="N41" s="1">
        <v>978870448.40999997</v>
      </c>
      <c r="O41" s="1">
        <v>978870448.40999997</v>
      </c>
      <c r="P41" s="20">
        <f t="shared" si="38"/>
        <v>100</v>
      </c>
      <c r="Q41" s="13">
        <f t="shared" si="23"/>
        <v>73.151397569650953</v>
      </c>
      <c r="R41" s="13">
        <f t="shared" si="23"/>
        <v>73.151397569650953</v>
      </c>
    </row>
    <row r="42" spans="1:18" x14ac:dyDescent="0.3">
      <c r="A42" s="5" t="s">
        <v>54</v>
      </c>
      <c r="B42" s="27">
        <v>60000000</v>
      </c>
      <c r="C42" s="27">
        <v>60000000</v>
      </c>
      <c r="D42" s="20">
        <f t="shared" si="34"/>
        <v>100</v>
      </c>
      <c r="E42" s="27">
        <v>0</v>
      </c>
      <c r="F42" s="27">
        <v>0</v>
      </c>
      <c r="G42" s="20" t="str">
        <f t="shared" si="35"/>
        <v>-</v>
      </c>
      <c r="H42" s="27">
        <v>0</v>
      </c>
      <c r="I42" s="27">
        <v>0</v>
      </c>
      <c r="J42" s="20" t="str">
        <f t="shared" si="39"/>
        <v>-</v>
      </c>
      <c r="K42" s="27">
        <v>0</v>
      </c>
      <c r="L42" s="27">
        <v>0</v>
      </c>
      <c r="M42" s="20" t="str">
        <f t="shared" si="40"/>
        <v>-</v>
      </c>
      <c r="N42" s="27">
        <v>0</v>
      </c>
      <c r="O42" s="27">
        <v>0</v>
      </c>
      <c r="P42" s="20" t="str">
        <f t="shared" si="38"/>
        <v>-</v>
      </c>
      <c r="Q42" s="13" t="str">
        <f t="shared" si="23"/>
        <v>-</v>
      </c>
      <c r="R42" s="13" t="str">
        <f t="shared" si="23"/>
        <v>-</v>
      </c>
    </row>
    <row r="43" spans="1:18" x14ac:dyDescent="0.3">
      <c r="A43" s="5" t="s">
        <v>55</v>
      </c>
      <c r="B43" s="27">
        <v>0</v>
      </c>
      <c r="C43" s="27">
        <v>0</v>
      </c>
      <c r="D43" s="20" t="str">
        <f t="shared" si="34"/>
        <v>-</v>
      </c>
      <c r="E43" s="27">
        <v>0</v>
      </c>
      <c r="F43" s="27">
        <v>0</v>
      </c>
      <c r="G43" s="20" t="str">
        <f t="shared" si="35"/>
        <v>-</v>
      </c>
      <c r="H43" s="27">
        <v>0</v>
      </c>
      <c r="I43" s="27">
        <v>0</v>
      </c>
      <c r="J43" s="20" t="str">
        <f t="shared" si="39"/>
        <v>-</v>
      </c>
      <c r="K43" s="27">
        <v>0</v>
      </c>
      <c r="L43" s="27">
        <v>0</v>
      </c>
      <c r="M43" s="20" t="str">
        <f t="shared" si="40"/>
        <v>-</v>
      </c>
      <c r="N43" s="27">
        <v>0</v>
      </c>
      <c r="O43" s="27">
        <v>0</v>
      </c>
      <c r="P43" s="20" t="str">
        <f t="shared" si="38"/>
        <v>-</v>
      </c>
      <c r="Q43" s="13" t="str">
        <f t="shared" si="23"/>
        <v>-</v>
      </c>
      <c r="R43" s="13" t="str">
        <f t="shared" si="23"/>
        <v>-</v>
      </c>
    </row>
    <row r="44" spans="1:18" x14ac:dyDescent="0.3">
      <c r="A44" s="5" t="s">
        <v>56</v>
      </c>
      <c r="B44" s="27">
        <v>181686020.56</v>
      </c>
      <c r="C44" s="27">
        <v>181686020.56</v>
      </c>
      <c r="D44" s="20">
        <f t="shared" si="34"/>
        <v>100</v>
      </c>
      <c r="E44" s="27">
        <v>76475387.920000002</v>
      </c>
      <c r="F44" s="27">
        <v>76475387.920000002</v>
      </c>
      <c r="G44" s="20">
        <f t="shared" si="35"/>
        <v>100</v>
      </c>
      <c r="H44" s="27">
        <v>72946879.409999996</v>
      </c>
      <c r="I44" s="27">
        <v>72946879.409999996</v>
      </c>
      <c r="J44" s="20">
        <f t="shared" si="39"/>
        <v>100</v>
      </c>
      <c r="K44" s="27">
        <v>70741827.829999998</v>
      </c>
      <c r="L44" s="27">
        <v>70741827.829999998</v>
      </c>
      <c r="M44" s="20">
        <f t="shared" si="40"/>
        <v>100</v>
      </c>
      <c r="N44" s="27">
        <v>164880833.44999999</v>
      </c>
      <c r="O44" s="27">
        <v>164880833.44999999</v>
      </c>
      <c r="P44" s="20">
        <f t="shared" si="38"/>
        <v>100</v>
      </c>
      <c r="Q44" s="13">
        <f t="shared" si="23"/>
        <v>133.07403626356086</v>
      </c>
      <c r="R44" s="13">
        <f t="shared" si="23"/>
        <v>133.07403626356086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0</v>
      </c>
      <c r="I45" s="27">
        <v>0</v>
      </c>
      <c r="J45" s="20" t="str">
        <f t="shared" si="39"/>
        <v>-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1759912227.52</v>
      </c>
      <c r="C48" s="27">
        <v>0</v>
      </c>
      <c r="D48" s="20">
        <f t="shared" si="34"/>
        <v>0</v>
      </c>
      <c r="E48" s="27">
        <v>1211847046.54</v>
      </c>
      <c r="F48" s="27">
        <v>0</v>
      </c>
      <c r="G48" s="20">
        <f t="shared" si="35"/>
        <v>0</v>
      </c>
      <c r="H48" s="27">
        <v>948818545.74000001</v>
      </c>
      <c r="I48" s="27">
        <v>0</v>
      </c>
      <c r="J48" s="20">
        <f t="shared" si="39"/>
        <v>0</v>
      </c>
      <c r="K48" s="27">
        <v>1017001930.9299999</v>
      </c>
      <c r="L48" s="27">
        <v>0</v>
      </c>
      <c r="M48" s="20">
        <f t="shared" si="40"/>
        <v>0</v>
      </c>
      <c r="N48" s="27">
        <v>1591537976.0799999</v>
      </c>
      <c r="O48" s="27">
        <v>0</v>
      </c>
      <c r="P48" s="20">
        <f t="shared" si="38"/>
        <v>0</v>
      </c>
      <c r="Q48" s="13">
        <f t="shared" si="23"/>
        <v>56.4931125179491</v>
      </c>
      <c r="R48" s="13" t="str">
        <f t="shared" si="23"/>
        <v>-</v>
      </c>
    </row>
    <row r="49" spans="1:18" x14ac:dyDescent="0.3">
      <c r="A49" s="5" t="s">
        <v>61</v>
      </c>
      <c r="B49" s="27">
        <v>68992736.159999996</v>
      </c>
      <c r="C49" s="27">
        <v>0</v>
      </c>
      <c r="D49" s="20">
        <f t="shared" si="34"/>
        <v>0</v>
      </c>
      <c r="E49" s="27">
        <v>10842303.470000001</v>
      </c>
      <c r="F49" s="27">
        <v>0</v>
      </c>
      <c r="G49" s="20">
        <f t="shared" si="35"/>
        <v>0</v>
      </c>
      <c r="H49" s="27">
        <v>8053568.7699999996</v>
      </c>
      <c r="I49" s="27">
        <v>0</v>
      </c>
      <c r="J49" s="20">
        <f t="shared" si="39"/>
        <v>0</v>
      </c>
      <c r="K49" s="27">
        <v>11790223.66</v>
      </c>
      <c r="L49" s="27">
        <v>0</v>
      </c>
      <c r="M49" s="20">
        <f t="shared" si="40"/>
        <v>0</v>
      </c>
      <c r="N49" s="27">
        <v>8707875.9800000004</v>
      </c>
      <c r="O49" s="27">
        <v>0</v>
      </c>
      <c r="P49" s="20">
        <f t="shared" si="38"/>
        <v>0</v>
      </c>
      <c r="Q49" s="13">
        <f t="shared" si="23"/>
        <v>-26.143250279952696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8781222817.2399998</v>
      </c>
      <c r="C50" s="27">
        <f t="shared" si="41"/>
        <v>7680544085.2199993</v>
      </c>
      <c r="D50" s="20">
        <f t="shared" si="34"/>
        <v>87.465541474940594</v>
      </c>
      <c r="E50" s="27">
        <f t="shared" ref="E50:F50" si="42">SUM(E23:E32)</f>
        <v>9014753451.9899998</v>
      </c>
      <c r="F50" s="27">
        <f t="shared" si="42"/>
        <v>8306339807.5600004</v>
      </c>
      <c r="G50" s="20">
        <f t="shared" si="35"/>
        <v>92.141619311023788</v>
      </c>
      <c r="H50" s="27">
        <f t="shared" ref="H50:I50" si="43">SUM(H23:H32)</f>
        <v>9161412306.2699986</v>
      </c>
      <c r="I50" s="27">
        <f t="shared" si="43"/>
        <v>8379830957.8299999</v>
      </c>
      <c r="J50" s="20">
        <f t="shared" si="39"/>
        <v>91.468767889585195</v>
      </c>
      <c r="K50" s="27">
        <f t="shared" ref="K50:L50" si="44">SUM(K23:K32)</f>
        <v>9444387332.6100006</v>
      </c>
      <c r="L50" s="27">
        <f t="shared" si="44"/>
        <v>8372854503.8200006</v>
      </c>
      <c r="M50" s="20">
        <f t="shared" si="40"/>
        <v>88.654289674353322</v>
      </c>
      <c r="N50" s="27">
        <f t="shared" ref="N50:O50" si="45">SUM(N23:N32)</f>
        <v>9912807641.4899998</v>
      </c>
      <c r="O50" s="27">
        <f t="shared" si="45"/>
        <v>8613981846.7600002</v>
      </c>
      <c r="P50" s="20">
        <f t="shared" si="38"/>
        <v>86.897498249701016</v>
      </c>
      <c r="Q50" s="13">
        <f t="shared" si="23"/>
        <v>4.9597744393923477</v>
      </c>
      <c r="R50" s="13">
        <f t="shared" si="23"/>
        <v>2.8798702142738506</v>
      </c>
    </row>
    <row r="51" spans="1:18" x14ac:dyDescent="0.3">
      <c r="A51" s="5" t="s">
        <v>63</v>
      </c>
      <c r="B51" s="27">
        <f t="shared" ref="B51:C51" si="46">SUM(B33:B37)</f>
        <v>1498419748.46</v>
      </c>
      <c r="C51" s="27">
        <f t="shared" si="46"/>
        <v>551601121.10000002</v>
      </c>
      <c r="D51" s="20">
        <f t="shared" si="34"/>
        <v>36.812189753032001</v>
      </c>
      <c r="E51" s="27">
        <f t="shared" ref="E51:F51" si="47">SUM(E33:E37)</f>
        <v>2476782595.0400004</v>
      </c>
      <c r="F51" s="27">
        <f t="shared" si="47"/>
        <v>561211541.13</v>
      </c>
      <c r="G51" s="20">
        <f t="shared" si="35"/>
        <v>22.658893931743588</v>
      </c>
      <c r="H51" s="27">
        <f t="shared" ref="H51:I51" si="48">SUM(H33:H37)</f>
        <v>1722843454.0500002</v>
      </c>
      <c r="I51" s="27">
        <f t="shared" si="48"/>
        <v>613867337.1500001</v>
      </c>
      <c r="J51" s="20">
        <f t="shared" si="39"/>
        <v>35.631057233142229</v>
      </c>
      <c r="K51" s="27">
        <f t="shared" ref="K51:L51" si="49">SUM(K33:K37)</f>
        <v>2109410419.9099998</v>
      </c>
      <c r="L51" s="27">
        <f t="shared" si="49"/>
        <v>450180695.41999996</v>
      </c>
      <c r="M51" s="20">
        <f t="shared" si="40"/>
        <v>21.341541274798832</v>
      </c>
      <c r="N51" s="27">
        <f t="shared" ref="N51:O51" si="50">SUM(N33:N37)</f>
        <v>2284908620.79</v>
      </c>
      <c r="O51" s="27">
        <f t="shared" si="50"/>
        <v>1046342943.6800001</v>
      </c>
      <c r="P51" s="20">
        <f t="shared" si="38"/>
        <v>45.793645056940193</v>
      </c>
      <c r="Q51" s="13">
        <f t="shared" si="23"/>
        <v>8.3197750055433914</v>
      </c>
      <c r="R51" s="13">
        <f t="shared" si="23"/>
        <v>132.42732403347625</v>
      </c>
    </row>
    <row r="52" spans="1:18" x14ac:dyDescent="0.3">
      <c r="A52" s="5" t="s">
        <v>64</v>
      </c>
      <c r="B52" s="27">
        <f t="shared" ref="B52:C52" si="51">SUM(B38:B41)</f>
        <v>192884701.03</v>
      </c>
      <c r="C52" s="27">
        <f t="shared" si="51"/>
        <v>192084701.03</v>
      </c>
      <c r="D52" s="20">
        <f t="shared" si="34"/>
        <v>99.585244451359785</v>
      </c>
      <c r="E52" s="27">
        <f t="shared" ref="E52:F52" si="52">SUM(E38:E41)</f>
        <v>135508188.68000001</v>
      </c>
      <c r="F52" s="27">
        <f t="shared" si="52"/>
        <v>135008188.68000001</v>
      </c>
      <c r="G52" s="20">
        <f t="shared" si="35"/>
        <v>99.631018608638669</v>
      </c>
      <c r="H52" s="27">
        <f t="shared" ref="H52:I52" si="53">SUM(H38:H41)</f>
        <v>454619866.13999999</v>
      </c>
      <c r="I52" s="27">
        <f t="shared" si="53"/>
        <v>450930035.75</v>
      </c>
      <c r="J52" s="20">
        <f t="shared" si="39"/>
        <v>99.188370182471587</v>
      </c>
      <c r="K52" s="27">
        <f t="shared" ref="K52:L52" si="54">SUM(K38:K41)</f>
        <v>573165706.79999995</v>
      </c>
      <c r="L52" s="27">
        <f t="shared" si="54"/>
        <v>571597427.57999992</v>
      </c>
      <c r="M52" s="20">
        <f t="shared" si="40"/>
        <v>99.726382928812015</v>
      </c>
      <c r="N52" s="27">
        <f t="shared" ref="N52:O52" si="55">SUM(N38:N41)</f>
        <v>979760150.91999996</v>
      </c>
      <c r="O52" s="27">
        <f t="shared" si="55"/>
        <v>978870448.40999997</v>
      </c>
      <c r="P52" s="20">
        <f t="shared" si="38"/>
        <v>99.909191804834634</v>
      </c>
      <c r="Q52" s="13">
        <f t="shared" si="23"/>
        <v>70.938375987291352</v>
      </c>
      <c r="R52" s="13">
        <f t="shared" si="23"/>
        <v>71.2517238844639</v>
      </c>
    </row>
    <row r="53" spans="1:18" x14ac:dyDescent="0.3">
      <c r="A53" s="5" t="s">
        <v>65</v>
      </c>
      <c r="B53" s="27">
        <f t="shared" ref="B53:C53" si="56">SUM(B42:B46)</f>
        <v>241686020.56</v>
      </c>
      <c r="C53" s="27">
        <f t="shared" si="56"/>
        <v>241686020.56</v>
      </c>
      <c r="D53" s="20">
        <f t="shared" si="34"/>
        <v>100</v>
      </c>
      <c r="E53" s="27">
        <f t="shared" ref="E53:F53" si="57">SUM(E42:E46)</f>
        <v>76475387.920000002</v>
      </c>
      <c r="F53" s="27">
        <f t="shared" si="57"/>
        <v>76475387.920000002</v>
      </c>
      <c r="G53" s="20">
        <f t="shared" si="35"/>
        <v>100</v>
      </c>
      <c r="H53" s="27">
        <f t="shared" ref="H53:I53" si="58">SUM(H42:H46)</f>
        <v>72946879.409999996</v>
      </c>
      <c r="I53" s="27">
        <f t="shared" si="58"/>
        <v>72946879.409999996</v>
      </c>
      <c r="J53" s="20">
        <f t="shared" si="39"/>
        <v>100</v>
      </c>
      <c r="K53" s="27">
        <f t="shared" ref="K53:L53" si="59">SUM(K42:K46)</f>
        <v>70741827.829999998</v>
      </c>
      <c r="L53" s="27">
        <f t="shared" si="59"/>
        <v>70741827.829999998</v>
      </c>
      <c r="M53" s="20">
        <f t="shared" si="40"/>
        <v>100</v>
      </c>
      <c r="N53" s="27">
        <f t="shared" ref="N53:O53" si="60">SUM(N42:N46)</f>
        <v>164880833.44999999</v>
      </c>
      <c r="O53" s="27">
        <f t="shared" si="60"/>
        <v>164880833.44999999</v>
      </c>
      <c r="P53" s="20">
        <f t="shared" si="38"/>
        <v>100</v>
      </c>
      <c r="Q53" s="13">
        <f t="shared" si="23"/>
        <v>133.07403626356086</v>
      </c>
      <c r="R53" s="13">
        <f t="shared" si="23"/>
        <v>133.07403626356086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27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27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27">
        <f t="shared" si="64"/>
        <v>0</v>
      </c>
      <c r="M54" s="20" t="str">
        <f t="shared" si="40"/>
        <v>-</v>
      </c>
      <c r="N54" s="27">
        <f t="shared" ref="N54:O54" si="65">N47</f>
        <v>0</v>
      </c>
      <c r="O54" s="27">
        <f t="shared" si="65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1828904963.6800001</v>
      </c>
      <c r="C55" s="29">
        <v>330572102.76999998</v>
      </c>
      <c r="D55" s="20">
        <f t="shared" si="34"/>
        <v>18.074864978486634</v>
      </c>
      <c r="E55" s="27">
        <f>SUM(E48:E49)</f>
        <v>1222689350.01</v>
      </c>
      <c r="F55" s="29">
        <v>135222106.31</v>
      </c>
      <c r="G55" s="20">
        <f t="shared" si="35"/>
        <v>11.059400027398134</v>
      </c>
      <c r="H55" s="27">
        <f>SUM(H48:H49)</f>
        <v>956872114.50999999</v>
      </c>
      <c r="I55" s="29">
        <v>142724070.88999999</v>
      </c>
      <c r="J55" s="20">
        <f t="shared" si="39"/>
        <v>14.915689225940801</v>
      </c>
      <c r="K55" s="27">
        <f>SUM(K48:K49)</f>
        <v>1028792154.5899999</v>
      </c>
      <c r="L55" s="29">
        <v>121440253.48999999</v>
      </c>
      <c r="M55" s="20">
        <f t="shared" si="40"/>
        <v>11.804158201264379</v>
      </c>
      <c r="N55" s="27">
        <f>SUM(N48:N49)</f>
        <v>1600245852.0599999</v>
      </c>
      <c r="O55" s="29">
        <v>126859608.73999999</v>
      </c>
      <c r="P55" s="20">
        <f t="shared" si="38"/>
        <v>7.9275074249805648</v>
      </c>
      <c r="Q55" s="13">
        <f t="shared" si="23"/>
        <v>55.546078468856422</v>
      </c>
      <c r="R55" s="13">
        <f t="shared" si="23"/>
        <v>4.4625691187693945</v>
      </c>
    </row>
    <row r="56" spans="1:18" x14ac:dyDescent="0.3">
      <c r="A56" s="5" t="s">
        <v>68</v>
      </c>
      <c r="B56" s="19">
        <f t="shared" ref="B56:C56" si="66">SUM(B50:B55)</f>
        <v>12543118250.970001</v>
      </c>
      <c r="C56" s="19">
        <f t="shared" si="66"/>
        <v>8996488030.6800003</v>
      </c>
      <c r="D56" s="20">
        <f t="shared" si="34"/>
        <v>71.724493468633867</v>
      </c>
      <c r="E56" s="19">
        <f t="shared" ref="E56:F56" si="67">SUM(E50:E55)</f>
        <v>12926208973.640001</v>
      </c>
      <c r="F56" s="19">
        <f t="shared" si="67"/>
        <v>9214257031.6000004</v>
      </c>
      <c r="G56" s="20">
        <f t="shared" si="35"/>
        <v>71.283522109153083</v>
      </c>
      <c r="H56" s="24">
        <f t="shared" ref="H56:I56" si="68">SUM(H50:H55)</f>
        <v>12368694620.379999</v>
      </c>
      <c r="I56" s="19">
        <f t="shared" si="68"/>
        <v>9660299281.0299988</v>
      </c>
      <c r="J56" s="20">
        <f t="shared" si="39"/>
        <v>78.102819881353085</v>
      </c>
      <c r="K56" s="24">
        <f t="shared" ref="K56:L56" si="69">SUM(K50:K55)</f>
        <v>13226497441.74</v>
      </c>
      <c r="L56" s="19">
        <f t="shared" si="69"/>
        <v>9586814708.1399994</v>
      </c>
      <c r="M56" s="20">
        <f t="shared" si="40"/>
        <v>72.481885324273847</v>
      </c>
      <c r="N56" s="24">
        <f t="shared" ref="N56:O56" si="70">SUM(N50:N55)</f>
        <v>14942603098.709999</v>
      </c>
      <c r="O56" s="19">
        <f t="shared" si="70"/>
        <v>10930935681.040001</v>
      </c>
      <c r="P56" s="20">
        <f t="shared" si="38"/>
        <v>73.152820889578962</v>
      </c>
      <c r="Q56" s="13">
        <f t="shared" si="23"/>
        <v>12.97475514231256</v>
      </c>
      <c r="R56" s="13">
        <f t="shared" si="23"/>
        <v>14.020516864258695</v>
      </c>
    </row>
    <row r="57" spans="1:18" x14ac:dyDescent="0.3">
      <c r="A57" s="14" t="s">
        <v>69</v>
      </c>
      <c r="B57" s="15">
        <f t="shared" ref="B57:C57" si="71">B56-B55</f>
        <v>10714213287.290001</v>
      </c>
      <c r="C57" s="15">
        <f t="shared" si="71"/>
        <v>8665915927.9099998</v>
      </c>
      <c r="D57" s="21">
        <f t="shared" si="34"/>
        <v>80.882428747149888</v>
      </c>
      <c r="E57" s="15">
        <f t="shared" ref="E57:F57" si="72">E56-E55</f>
        <v>11703519623.630001</v>
      </c>
      <c r="F57" s="15">
        <f t="shared" si="72"/>
        <v>9079034925.2900009</v>
      </c>
      <c r="G57" s="21">
        <f t="shared" si="35"/>
        <v>77.575252721061517</v>
      </c>
      <c r="H57" s="25">
        <f t="shared" ref="H57:I57" si="73">H56-H55</f>
        <v>11411822505.869999</v>
      </c>
      <c r="I57" s="15">
        <f t="shared" si="73"/>
        <v>9517575210.1399994</v>
      </c>
      <c r="J57" s="21">
        <f t="shared" si="39"/>
        <v>83.401009832078628</v>
      </c>
      <c r="K57" s="25">
        <f t="shared" ref="K57:L57" si="74">K56-K55</f>
        <v>12197705287.15</v>
      </c>
      <c r="L57" s="15">
        <f t="shared" si="74"/>
        <v>9465374454.6499996</v>
      </c>
      <c r="M57" s="21">
        <f t="shared" si="40"/>
        <v>77.599632322823481</v>
      </c>
      <c r="N57" s="25">
        <f t="shared" ref="N57:O57" si="75">N56-N55</f>
        <v>13342357246.65</v>
      </c>
      <c r="O57" s="15">
        <f t="shared" si="75"/>
        <v>10804076072.300001</v>
      </c>
      <c r="P57" s="21">
        <f t="shared" si="38"/>
        <v>80.975766669811591</v>
      </c>
      <c r="Q57" s="16">
        <f t="shared" si="23"/>
        <v>9.3841581883919076</v>
      </c>
      <c r="R57" s="16">
        <f t="shared" si="23"/>
        <v>14.143144828172609</v>
      </c>
    </row>
    <row r="58" spans="1:18" x14ac:dyDescent="0.3">
      <c r="A58" s="5" t="s">
        <v>70</v>
      </c>
      <c r="B58" s="19">
        <f t="shared" ref="B58:F58" si="76">B21-B57</f>
        <v>195755608.12999916</v>
      </c>
      <c r="C58" s="19">
        <f t="shared" si="76"/>
        <v>-1128945838.2399998</v>
      </c>
      <c r="D58" s="22"/>
      <c r="E58" s="24">
        <f t="shared" si="76"/>
        <v>343101382.68000031</v>
      </c>
      <c r="F58" s="19">
        <f t="shared" si="76"/>
        <v>-1255516858.5500011</v>
      </c>
      <c r="G58" s="22"/>
      <c r="H58" s="24">
        <f t="shared" ref="H58:I58" si="77">H21-H57</f>
        <v>319474055.8900013</v>
      </c>
      <c r="I58" s="19">
        <f t="shared" si="77"/>
        <v>-605020993.52000046</v>
      </c>
      <c r="J58" s="22"/>
      <c r="K58" s="24">
        <f t="shared" ref="K58:L58" si="78">K21-K57</f>
        <v>-259327416.70999718</v>
      </c>
      <c r="L58" s="19">
        <f t="shared" si="78"/>
        <v>-788395234.18999863</v>
      </c>
      <c r="M58" s="22"/>
      <c r="N58" s="24">
        <f t="shared" ref="N58:O58" si="79">N21-N57</f>
        <v>404550349.67000198</v>
      </c>
      <c r="O58" s="19">
        <f t="shared" si="79"/>
        <v>-1168023499.9099998</v>
      </c>
      <c r="P58" s="22"/>
      <c r="Q58" s="13" t="str">
        <f t="shared" si="23"/>
        <v>-</v>
      </c>
      <c r="R58" s="13" t="str">
        <f t="shared" si="23"/>
        <v>-</v>
      </c>
    </row>
    <row r="59" spans="1:18" x14ac:dyDescent="0.3">
      <c r="A59" s="5" t="s">
        <v>71</v>
      </c>
      <c r="B59" s="19">
        <f>B14-B50</f>
        <v>694360116.18000031</v>
      </c>
      <c r="C59" s="19">
        <f>C14-C50</f>
        <v>-561603873.84999943</v>
      </c>
      <c r="D59" s="22"/>
      <c r="E59" s="24">
        <f>E14-E50</f>
        <v>629471630.75</v>
      </c>
      <c r="F59" s="19">
        <f>F14-F50</f>
        <v>-718300492.85000038</v>
      </c>
      <c r="G59" s="22"/>
      <c r="H59" s="24">
        <f>H14-H50</f>
        <v>597359116.18000221</v>
      </c>
      <c r="I59" s="19">
        <f>I14-I50</f>
        <v>-193699974.89000034</v>
      </c>
      <c r="J59" s="22"/>
      <c r="K59" s="24">
        <f>K14-K50</f>
        <v>433337747.01000023</v>
      </c>
      <c r="L59" s="19">
        <f>L14-L50</f>
        <v>-380273755</v>
      </c>
      <c r="M59" s="22"/>
      <c r="N59" s="24">
        <f>N14-N50</f>
        <v>761114299.68000031</v>
      </c>
      <c r="O59" s="19">
        <f>O14-O50</f>
        <v>-242048623.93000031</v>
      </c>
      <c r="P59" s="22"/>
      <c r="Q59" s="13">
        <f t="shared" si="23"/>
        <v>75.639972499888387</v>
      </c>
      <c r="R59" s="13" t="str">
        <f t="shared" si="23"/>
        <v>-</v>
      </c>
    </row>
    <row r="60" spans="1:18" x14ac:dyDescent="0.3">
      <c r="A60" s="5" t="s">
        <v>72</v>
      </c>
      <c r="B60" s="19">
        <f>B15-B51</f>
        <v>-322905262.42000008</v>
      </c>
      <c r="C60" s="19">
        <f>C15-C51</f>
        <v>-353448547.87</v>
      </c>
      <c r="D60" s="22"/>
      <c r="E60" s="24">
        <f>E15-E51</f>
        <v>-228690324.1500001</v>
      </c>
      <c r="F60" s="19">
        <f>F15-F51</f>
        <v>-472831552.60000002</v>
      </c>
      <c r="G60" s="22"/>
      <c r="H60" s="24">
        <f>H15-H51</f>
        <v>-413441366.13000011</v>
      </c>
      <c r="I60" s="19">
        <f>I15-I51</f>
        <v>-333083155.70000011</v>
      </c>
      <c r="J60" s="22"/>
      <c r="K60" s="24">
        <f>K15-K51</f>
        <v>-649046254.44999957</v>
      </c>
      <c r="L60" s="19">
        <f>L15-L51</f>
        <v>-348281226.05999994</v>
      </c>
      <c r="M60" s="22"/>
      <c r="N60" s="24">
        <f>N15-N51</f>
        <v>-342906766.18999982</v>
      </c>
      <c r="O60" s="19">
        <f>O15-O51</f>
        <v>-618620747.16000009</v>
      </c>
      <c r="P60" s="22"/>
      <c r="Q60" s="13" t="str">
        <f t="shared" si="23"/>
        <v>-</v>
      </c>
      <c r="R60" s="13" t="str">
        <f t="shared" si="23"/>
        <v>-</v>
      </c>
    </row>
    <row r="61" spans="1:18" x14ac:dyDescent="0.3">
      <c r="F61" s="6"/>
      <c r="I61" s="6"/>
      <c r="L61" s="6"/>
      <c r="O61" s="6"/>
    </row>
    <row r="62" spans="1:18" x14ac:dyDescent="0.3">
      <c r="F62" s="6"/>
      <c r="I62" s="6"/>
      <c r="L62" s="6"/>
      <c r="O62" s="6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G1" sqref="G1:I1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309</v>
      </c>
      <c r="B1" s="74" t="s">
        <v>310</v>
      </c>
      <c r="C1" s="74" t="s">
        <v>320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311</v>
      </c>
      <c r="B2" s="75" t="s">
        <v>78</v>
      </c>
      <c r="C2" s="77" t="s">
        <v>319</v>
      </c>
      <c r="D2" s="89" t="s">
        <v>326</v>
      </c>
      <c r="E2" s="82">
        <f>Piano_indicatori!D3</f>
        <v>4.2699999999999996</v>
      </c>
      <c r="F2" s="82">
        <f>Piano_indicatori!E3</f>
        <v>3.06</v>
      </c>
      <c r="G2" s="82">
        <f>Piano_indicatori!F3</f>
        <v>2.97</v>
      </c>
      <c r="H2" s="82">
        <f>Piano_indicatori!G3</f>
        <v>2.97</v>
      </c>
      <c r="I2" s="82">
        <f>Piano_indicatori!H3</f>
        <v>3.46</v>
      </c>
    </row>
    <row r="3" spans="1:9" ht="29.25" customHeight="1" x14ac:dyDescent="0.3">
      <c r="A3" s="76" t="s">
        <v>312</v>
      </c>
      <c r="B3" s="76" t="s">
        <v>95</v>
      </c>
      <c r="C3" s="78" t="s">
        <v>96</v>
      </c>
      <c r="D3" s="90" t="s">
        <v>327</v>
      </c>
      <c r="E3" s="83">
        <f>Piano_indicatori!D12</f>
        <v>39.32</v>
      </c>
      <c r="F3" s="83">
        <f>Piano_indicatori!E12</f>
        <v>41.37</v>
      </c>
      <c r="G3" s="83">
        <f>Piano_indicatori!F12</f>
        <v>39.89</v>
      </c>
      <c r="H3" s="83">
        <f>Piano_indicatori!G12</f>
        <v>39.57</v>
      </c>
      <c r="I3" s="83">
        <f>Piano_indicatori!H12</f>
        <v>39.74</v>
      </c>
    </row>
    <row r="4" spans="1:9" ht="29.25" customHeight="1" x14ac:dyDescent="0.3">
      <c r="A4" s="75" t="s">
        <v>313</v>
      </c>
      <c r="B4" s="75" t="s">
        <v>100</v>
      </c>
      <c r="C4" s="79" t="s">
        <v>322</v>
      </c>
      <c r="D4" s="89" t="s">
        <v>328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314</v>
      </c>
      <c r="B5" s="76" t="s">
        <v>165</v>
      </c>
      <c r="C5" s="80" t="s">
        <v>323</v>
      </c>
      <c r="D5" s="91" t="s">
        <v>329</v>
      </c>
      <c r="E5" s="85">
        <f>Piano_indicatori!D51</f>
        <v>2.4</v>
      </c>
      <c r="F5" s="85">
        <f>Piano_indicatori!E51</f>
        <v>1.3</v>
      </c>
      <c r="G5" s="85">
        <f>Piano_indicatori!F51</f>
        <v>1.22</v>
      </c>
      <c r="H5" s="85">
        <f>Piano_indicatori!G51</f>
        <v>1.1599999999999999</v>
      </c>
      <c r="I5" s="85">
        <f>Piano_indicatori!H51</f>
        <v>0.84</v>
      </c>
    </row>
    <row r="6" spans="1:9" ht="29.25" customHeight="1" x14ac:dyDescent="0.3">
      <c r="A6" s="75" t="s">
        <v>315</v>
      </c>
      <c r="B6" s="75" t="s">
        <v>185</v>
      </c>
      <c r="C6" s="93" t="s">
        <v>186</v>
      </c>
      <c r="D6" s="92" t="s">
        <v>330</v>
      </c>
      <c r="E6" s="86">
        <f>Piano_indicatori!D62</f>
        <v>0</v>
      </c>
      <c r="F6" s="86">
        <f>Piano_indicatori!E62</f>
        <v>0.16</v>
      </c>
      <c r="G6" s="86">
        <f>Piano_indicatori!F62</f>
        <v>0.17</v>
      </c>
      <c r="H6" s="86">
        <f>Piano_indicatori!G62</f>
        <v>0.17</v>
      </c>
      <c r="I6" s="86">
        <f>Piano_indicatori!H62</f>
        <v>0.16</v>
      </c>
    </row>
    <row r="7" spans="1:9" ht="29.25" customHeight="1" x14ac:dyDescent="0.3">
      <c r="A7" s="76" t="s">
        <v>316</v>
      </c>
      <c r="B7" s="76" t="s">
        <v>188</v>
      </c>
      <c r="C7" s="80" t="s">
        <v>189</v>
      </c>
      <c r="D7" s="90" t="s">
        <v>331</v>
      </c>
      <c r="E7" s="87">
        <f>Piano_indicatori!D65</f>
        <v>0.17</v>
      </c>
      <c r="F7" s="87">
        <f>Piano_indicatori!E65</f>
        <v>0.04</v>
      </c>
      <c r="G7" s="87">
        <f>Piano_indicatori!F65</f>
        <v>0.08</v>
      </c>
      <c r="H7" s="87">
        <f>Piano_indicatori!G65</f>
        <v>0.06</v>
      </c>
      <c r="I7" s="87">
        <f>Piano_indicatori!H65</f>
        <v>0.05</v>
      </c>
    </row>
    <row r="8" spans="1:9" ht="29.25" customHeight="1" x14ac:dyDescent="0.3">
      <c r="A8" s="75" t="s">
        <v>317</v>
      </c>
      <c r="B8" s="75" t="s">
        <v>321</v>
      </c>
      <c r="C8" s="79" t="s">
        <v>324</v>
      </c>
      <c r="D8" s="89" t="s">
        <v>332</v>
      </c>
      <c r="E8" s="84">
        <f>Piano_indicatori!D66+Piano_indicatori!D67</f>
        <v>0.05</v>
      </c>
      <c r="F8" s="84">
        <f>Piano_indicatori!E66+Piano_indicatori!E67</f>
        <v>0.03</v>
      </c>
      <c r="G8" s="84">
        <f>Piano_indicatori!F66+Piano_indicatori!F67</f>
        <v>0</v>
      </c>
      <c r="H8" s="84">
        <f>Piano_indicatori!G66+Piano_indicatori!G67</f>
        <v>0.03</v>
      </c>
      <c r="I8" s="84">
        <f>Piano_indicatori!H66+Piano_indicatori!H67</f>
        <v>0.01</v>
      </c>
    </row>
    <row r="9" spans="1:9" ht="29.25" customHeight="1" x14ac:dyDescent="0.3">
      <c r="A9" s="76" t="s">
        <v>318</v>
      </c>
      <c r="B9" s="76"/>
      <c r="C9" s="81" t="s">
        <v>325</v>
      </c>
      <c r="D9" s="91" t="s">
        <v>333</v>
      </c>
      <c r="E9" s="88">
        <f>Piano_indicatori!D77</f>
        <v>62.695680439722523</v>
      </c>
      <c r="F9" s="88">
        <f>Piano_indicatori!E77</f>
        <v>57.101492083463043</v>
      </c>
      <c r="G9" s="88">
        <f>Piano_indicatori!F77</f>
        <v>54.57694102313593</v>
      </c>
      <c r="H9" s="88">
        <f>Piano_indicatori!G77</f>
        <v>56.882312101059782</v>
      </c>
      <c r="I9" s="88">
        <f>Piano_indicatori!H77</f>
        <v>55.592448925278312</v>
      </c>
    </row>
  </sheetData>
  <conditionalFormatting sqref="E2:G2 I2">
    <cfRule type="cellIs" dxfId="23" priority="16" operator="greaterThan">
      <formula>48</formula>
    </cfRule>
  </conditionalFormatting>
  <conditionalFormatting sqref="E3:G3 I3">
    <cfRule type="cellIs" dxfId="22" priority="15" operator="lessThan">
      <formula>22</formula>
    </cfRule>
  </conditionalFormatting>
  <conditionalFormatting sqref="E4:G4 I4">
    <cfRule type="cellIs" dxfId="21" priority="14" operator="greaterThan">
      <formula>0</formula>
    </cfRule>
  </conditionalFormatting>
  <conditionalFormatting sqref="E5:G5 I5">
    <cfRule type="cellIs" dxfId="20" priority="13" operator="greaterThan">
      <formula>16</formula>
    </cfRule>
  </conditionalFormatting>
  <conditionalFormatting sqref="E6:G6 I6">
    <cfRule type="cellIs" dxfId="19" priority="12" operator="greaterThan">
      <formula>1.2</formula>
    </cfRule>
  </conditionalFormatting>
  <conditionalFormatting sqref="E7:G7 I7">
    <cfRule type="cellIs" dxfId="18" priority="11" operator="greaterThan">
      <formula>1</formula>
    </cfRule>
  </conditionalFormatting>
  <conditionalFormatting sqref="E8:G8 I8">
    <cfRule type="cellIs" dxfId="17" priority="10" operator="greaterThan">
      <formula>0.6</formula>
    </cfRule>
  </conditionalFormatting>
  <conditionalFormatting sqref="E9:G9 I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1" ht="28.8" x14ac:dyDescent="0.3">
      <c r="A1" s="103" t="s">
        <v>363</v>
      </c>
      <c r="B1" s="103" t="s">
        <v>364</v>
      </c>
      <c r="C1" s="103" t="s">
        <v>233</v>
      </c>
      <c r="D1" s="103" t="s">
        <v>347</v>
      </c>
      <c r="E1" s="107" t="s">
        <v>348</v>
      </c>
      <c r="F1" s="107" t="s">
        <v>349</v>
      </c>
    </row>
    <row r="2" spans="1:21" x14ac:dyDescent="0.3">
      <c r="A2" s="31">
        <v>2021</v>
      </c>
      <c r="B2" s="95">
        <v>3933777</v>
      </c>
      <c r="C2" s="104">
        <f>B2/B3*100-100</f>
        <v>-0.49396644073755169</v>
      </c>
    </row>
    <row r="3" spans="1:21" x14ac:dyDescent="0.3">
      <c r="A3" s="31">
        <v>2020</v>
      </c>
      <c r="B3" s="95">
        <v>3953305</v>
      </c>
      <c r="C3" s="104">
        <f>B3/B4*100-100</f>
        <v>-0.55899493098779374</v>
      </c>
      <c r="D3" s="95">
        <v>-17547</v>
      </c>
      <c r="E3" s="1">
        <v>-1981</v>
      </c>
      <c r="F3" s="1">
        <f t="shared" ref="F3:F8" si="0">B2-B3-D3-E3</f>
        <v>0</v>
      </c>
    </row>
    <row r="4" spans="1:21" x14ac:dyDescent="0.3">
      <c r="A4" s="31">
        <v>2019</v>
      </c>
      <c r="B4" s="95">
        <v>3975528</v>
      </c>
      <c r="C4" s="104">
        <f>B4/B5*100-100</f>
        <v>-0.63579645515608263</v>
      </c>
      <c r="D4" s="95">
        <v>-11554</v>
      </c>
      <c r="E4" s="1">
        <v>-10669</v>
      </c>
      <c r="F4" s="1">
        <f t="shared" si="0"/>
        <v>0</v>
      </c>
      <c r="L4" s="109"/>
      <c r="M4" s="110"/>
      <c r="N4" s="110"/>
      <c r="O4" s="110"/>
      <c r="P4" s="110"/>
      <c r="Q4" s="110"/>
      <c r="R4" s="110"/>
      <c r="S4" s="110"/>
      <c r="T4" s="110"/>
      <c r="U4" s="110"/>
    </row>
    <row r="5" spans="1:21" x14ac:dyDescent="0.3">
      <c r="A5" s="31">
        <v>2018</v>
      </c>
      <c r="B5" s="95">
        <v>4000966</v>
      </c>
      <c r="C5" s="104">
        <f t="shared" ref="C5:C7" si="1">B5/B6*100-100</f>
        <v>-0.57407095856008539</v>
      </c>
      <c r="D5" s="95">
        <v>-9909</v>
      </c>
      <c r="E5" s="95">
        <v>-15529</v>
      </c>
      <c r="F5" s="1">
        <f t="shared" si="0"/>
        <v>0</v>
      </c>
      <c r="L5" s="109"/>
      <c r="M5" s="110"/>
      <c r="N5" s="110"/>
      <c r="O5" s="110"/>
      <c r="P5" s="110"/>
      <c r="Q5" s="110"/>
      <c r="R5" s="110"/>
      <c r="S5" s="110"/>
      <c r="T5" s="110"/>
      <c r="U5" s="110"/>
    </row>
    <row r="6" spans="1:21" x14ac:dyDescent="0.3">
      <c r="A6" s="31">
        <v>2017</v>
      </c>
      <c r="B6" s="95">
        <v>4024067</v>
      </c>
      <c r="C6" s="104">
        <f t="shared" si="1"/>
        <v>-0.48638202058245383</v>
      </c>
      <c r="D6" s="95">
        <v>-10318</v>
      </c>
      <c r="E6" s="95">
        <v>-12783</v>
      </c>
      <c r="F6" s="1">
        <f t="shared" si="0"/>
        <v>0</v>
      </c>
      <c r="L6" s="109"/>
      <c r="M6" s="110"/>
      <c r="N6" s="110"/>
      <c r="O6" s="110"/>
      <c r="P6" s="110"/>
      <c r="Q6" s="110"/>
      <c r="R6" s="110"/>
      <c r="S6" s="110"/>
      <c r="T6" s="110"/>
      <c r="U6" s="110"/>
    </row>
    <row r="7" spans="1:21" x14ac:dyDescent="0.3">
      <c r="A7" s="31">
        <v>2016</v>
      </c>
      <c r="B7" s="95">
        <v>4043735</v>
      </c>
      <c r="C7" s="104">
        <f t="shared" si="1"/>
        <v>-0.48074592157200868</v>
      </c>
      <c r="D7" s="95">
        <v>-6414</v>
      </c>
      <c r="E7" s="95">
        <v>-13254</v>
      </c>
      <c r="F7" s="1">
        <f t="shared" si="0"/>
        <v>0</v>
      </c>
      <c r="L7" s="109"/>
      <c r="M7" s="110"/>
      <c r="N7" s="110"/>
      <c r="O7" s="110"/>
      <c r="P7" s="110"/>
      <c r="Q7" s="110"/>
      <c r="R7" s="110"/>
      <c r="S7" s="110"/>
      <c r="T7" s="110"/>
      <c r="U7" s="110"/>
    </row>
    <row r="8" spans="1:21" x14ac:dyDescent="0.3">
      <c r="A8" s="105">
        <v>2015</v>
      </c>
      <c r="B8" s="106">
        <v>4063269</v>
      </c>
      <c r="C8" s="106"/>
      <c r="D8" s="106">
        <v>-7948</v>
      </c>
      <c r="E8" s="106">
        <v>-11586</v>
      </c>
      <c r="F8" s="1">
        <f t="shared" si="0"/>
        <v>0</v>
      </c>
    </row>
    <row r="9" spans="1:21" x14ac:dyDescent="0.3">
      <c r="A9" t="s">
        <v>365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6" width="15.33203125" bestFit="1" customWidth="1"/>
    <col min="7" max="7" width="8.44140625" customWidth="1"/>
    <col min="8" max="8" width="6.554687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367</v>
      </c>
      <c r="J1" s="42" t="s">
        <v>268</v>
      </c>
    </row>
    <row r="2" spans="1:10" x14ac:dyDescent="0.3">
      <c r="A2" s="55" t="s">
        <v>19</v>
      </c>
      <c r="B2" s="56">
        <f>Entrate_Uscite!B3</f>
        <v>6331753249.0699997</v>
      </c>
      <c r="C2" s="56">
        <f>Entrate_Uscite!E3</f>
        <v>6933451570.8500004</v>
      </c>
      <c r="D2" s="56">
        <f>Entrate_Uscite!H3</f>
        <v>6887517718.7299995</v>
      </c>
      <c r="E2" s="56">
        <f>Entrate_Uscite!K3</f>
        <v>7020372945.5799999</v>
      </c>
      <c r="F2" s="56">
        <f>Entrate_Uscite!N3</f>
        <v>7034867825.9300003</v>
      </c>
      <c r="G2" s="56">
        <f>F2/F$21*100</f>
        <v>51.174184278456991</v>
      </c>
      <c r="H2" s="57">
        <f t="shared" ref="H2:H21" si="0">IF(E2&gt;0,F2/E2*100-100,"-")</f>
        <v>0.20646880817245972</v>
      </c>
      <c r="I2" s="56">
        <f>Entrate_Uscite!O3</f>
        <v>6386352218.3299999</v>
      </c>
      <c r="J2" s="58">
        <f>IF(F2&gt;0,I2/F2*100,"-")</f>
        <v>90.78141020347789</v>
      </c>
    </row>
    <row r="3" spans="1:10" x14ac:dyDescent="0.3">
      <c r="A3" s="55" t="s">
        <v>20</v>
      </c>
      <c r="B3" s="56">
        <f>Entrate_Uscite!B4</f>
        <v>3009232949.25</v>
      </c>
      <c r="C3" s="56">
        <f>Entrate_Uscite!E4</f>
        <v>2554874878.29</v>
      </c>
      <c r="D3" s="56">
        <f>Entrate_Uscite!H4</f>
        <v>2766205382.9299998</v>
      </c>
      <c r="E3" s="56">
        <f>Entrate_Uscite!K4</f>
        <v>2786638104.7800002</v>
      </c>
      <c r="F3" s="56">
        <f>Entrate_Uscite!N4</f>
        <v>3506408647.5300002</v>
      </c>
      <c r="G3" s="56">
        <f t="shared" ref="G3:G21" si="1">F3/F$21*100</f>
        <v>25.506890353061319</v>
      </c>
      <c r="H3" s="57">
        <f t="shared" si="0"/>
        <v>25.829351199761348</v>
      </c>
      <c r="I3" s="56">
        <f>Entrate_Uscite!O4</f>
        <v>1930106428.46</v>
      </c>
      <c r="J3" s="58">
        <f t="shared" ref="J3:J21" si="2">IF(F3&gt;0,I3/F3*100,"-")</f>
        <v>55.045108042943426</v>
      </c>
    </row>
    <row r="4" spans="1:10" x14ac:dyDescent="0.3">
      <c r="A4" s="55" t="s">
        <v>21</v>
      </c>
      <c r="B4" s="56">
        <f>Entrate_Uscite!B5</f>
        <v>134596735.09999999</v>
      </c>
      <c r="C4" s="56">
        <f>Entrate_Uscite!E5</f>
        <v>155898633.59999999</v>
      </c>
      <c r="D4" s="56">
        <f>Entrate_Uscite!H5</f>
        <v>105048320.79000001</v>
      </c>
      <c r="E4" s="56">
        <f>Entrate_Uscite!K5</f>
        <v>70714029.260000005</v>
      </c>
      <c r="F4" s="56">
        <f>Entrate_Uscite!N5</f>
        <v>132645467.70999999</v>
      </c>
      <c r="G4" s="56">
        <f t="shared" si="1"/>
        <v>0.96491132118694622</v>
      </c>
      <c r="H4" s="57">
        <f t="shared" si="0"/>
        <v>87.580129569892904</v>
      </c>
      <c r="I4" s="56">
        <f>Entrate_Uscite!O5</f>
        <v>55474576.039999999</v>
      </c>
      <c r="J4" s="58">
        <f t="shared" si="2"/>
        <v>41.821689800425673</v>
      </c>
    </row>
    <row r="5" spans="1:10" x14ac:dyDescent="0.3">
      <c r="A5" s="4" t="s">
        <v>30</v>
      </c>
      <c r="B5" s="43">
        <f>SUM(B2:B4)</f>
        <v>9475582933.4200001</v>
      </c>
      <c r="C5" s="43">
        <f>SUM(C2:C4)</f>
        <v>9644225082.7399998</v>
      </c>
      <c r="D5" s="43">
        <f>SUM(D2:D4)</f>
        <v>9758771422.4500008</v>
      </c>
      <c r="E5" s="43">
        <f>SUM(E2:E4)</f>
        <v>9877725079.6200008</v>
      </c>
      <c r="F5" s="43">
        <f>SUM(F2:F4)</f>
        <v>10673921941.17</v>
      </c>
      <c r="G5" s="43">
        <f t="shared" si="1"/>
        <v>77.64598595270526</v>
      </c>
      <c r="H5" s="44">
        <f t="shared" si="0"/>
        <v>8.0605286655804491</v>
      </c>
      <c r="I5" s="43">
        <f>SUM(I2:I4)</f>
        <v>8371933222.8299999</v>
      </c>
      <c r="J5" s="45">
        <f>IF(F5&gt;0,I5/F5*100,"-")</f>
        <v>78.433524893403217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423551167.58999997</v>
      </c>
      <c r="C7" s="56">
        <f>Entrate_Uscite!E7</f>
        <v>2224700350.9000001</v>
      </c>
      <c r="D7" s="56">
        <f>Entrate_Uscite!H7</f>
        <v>1290365207.77</v>
      </c>
      <c r="E7" s="56">
        <f>Entrate_Uscite!K7</f>
        <v>1433882891.47</v>
      </c>
      <c r="F7" s="56">
        <f>Entrate_Uscite!N7</f>
        <v>1876897210.9100001</v>
      </c>
      <c r="G7" s="56">
        <f t="shared" si="1"/>
        <v>13.653232174285066</v>
      </c>
      <c r="H7" s="57">
        <f t="shared" si="0"/>
        <v>30.896129807771615</v>
      </c>
      <c r="I7" s="56">
        <f>Entrate_Uscite!O7</f>
        <v>377375617.39999998</v>
      </c>
      <c r="J7" s="58">
        <f t="shared" si="2"/>
        <v>20.106355063367168</v>
      </c>
    </row>
    <row r="8" spans="1:10" x14ac:dyDescent="0.3">
      <c r="A8" s="55" t="s">
        <v>24</v>
      </c>
      <c r="B8" s="56">
        <f>Entrate_Uscite!B8</f>
        <v>747657037.55999994</v>
      </c>
      <c r="C8" s="56">
        <f>Entrate_Uscite!E8</f>
        <v>22088441.800000001</v>
      </c>
      <c r="D8" s="56">
        <f>Entrate_Uscite!H8</f>
        <v>14997436.68</v>
      </c>
      <c r="E8" s="56">
        <f>Entrate_Uscite!K8</f>
        <v>19865423.190000001</v>
      </c>
      <c r="F8" s="56">
        <f>Entrate_Uscite!N8</f>
        <v>61248655.189999998</v>
      </c>
      <c r="G8" s="56">
        <f t="shared" si="1"/>
        <v>0.44554496901103813</v>
      </c>
      <c r="H8" s="57">
        <f t="shared" si="0"/>
        <v>208.31789790832033</v>
      </c>
      <c r="I8" s="56">
        <f>Entrate_Uscite!O8</f>
        <v>47932108.189999998</v>
      </c>
      <c r="J8" s="58">
        <f t="shared" si="2"/>
        <v>78.258221411244662</v>
      </c>
    </row>
    <row r="9" spans="1:10" x14ac:dyDescent="0.3">
      <c r="A9" s="55" t="s">
        <v>25</v>
      </c>
      <c r="B9" s="56">
        <f>Entrate_Uscite!B9</f>
        <v>3976280.89</v>
      </c>
      <c r="C9" s="56">
        <f>Entrate_Uscite!E9</f>
        <v>1303478.19</v>
      </c>
      <c r="D9" s="56">
        <f>Entrate_Uscite!H9</f>
        <v>3497418.17</v>
      </c>
      <c r="E9" s="56">
        <f>Entrate_Uscite!K9</f>
        <v>5913434.4000000004</v>
      </c>
      <c r="F9" s="56">
        <f>Entrate_Uscite!N9</f>
        <v>2959205.87</v>
      </c>
      <c r="G9" s="56">
        <f t="shared" si="1"/>
        <v>2.1526338554804639E-2</v>
      </c>
      <c r="H9" s="57">
        <f t="shared" si="0"/>
        <v>-49.957914980844301</v>
      </c>
      <c r="I9" s="56">
        <f>Entrate_Uscite!O9</f>
        <v>2414470.9300000002</v>
      </c>
      <c r="J9" s="58">
        <f t="shared" si="2"/>
        <v>81.591853898289273</v>
      </c>
    </row>
    <row r="10" spans="1:10" x14ac:dyDescent="0.3">
      <c r="A10" s="55" t="s">
        <v>26</v>
      </c>
      <c r="B10" s="56">
        <f>Entrate_Uscite!B10</f>
        <v>330000</v>
      </c>
      <c r="C10" s="56">
        <f>Entrate_Uscite!E10</f>
        <v>0</v>
      </c>
      <c r="D10" s="56">
        <f>Entrate_Uscite!H10</f>
        <v>542025.30000000005</v>
      </c>
      <c r="E10" s="56">
        <f>Entrate_Uscite!K10</f>
        <v>702416.4</v>
      </c>
      <c r="F10" s="56">
        <f>Entrate_Uscite!N10</f>
        <v>896782.63</v>
      </c>
      <c r="G10" s="56">
        <f t="shared" si="1"/>
        <v>6.523522644758778E-3</v>
      </c>
      <c r="H10" s="57">
        <f t="shared" si="0"/>
        <v>27.671083704765437</v>
      </c>
      <c r="I10" s="56">
        <f>Entrate_Uscite!O10</f>
        <v>0</v>
      </c>
      <c r="J10" s="58">
        <f t="shared" si="2"/>
        <v>0</v>
      </c>
    </row>
    <row r="11" spans="1:10" x14ac:dyDescent="0.3">
      <c r="A11" s="4" t="s">
        <v>31</v>
      </c>
      <c r="B11" s="46">
        <f>SUM(B6:B10)</f>
        <v>1175514486.04</v>
      </c>
      <c r="C11" s="46">
        <f>SUM(C6:C10)</f>
        <v>2248092270.8900003</v>
      </c>
      <c r="D11" s="46">
        <f>SUM(D6:D10)</f>
        <v>1309402087.9200001</v>
      </c>
      <c r="E11" s="46">
        <f>SUM(E6:E10)</f>
        <v>1460364165.4600003</v>
      </c>
      <c r="F11" s="46">
        <f>SUM(F6:F10)</f>
        <v>1942001854.6000001</v>
      </c>
      <c r="G11" s="46">
        <f t="shared" si="1"/>
        <v>14.126827004495668</v>
      </c>
      <c r="H11" s="44">
        <f t="shared" si="0"/>
        <v>32.980656505515441</v>
      </c>
      <c r="I11" s="46">
        <f>SUM(I6:I10)</f>
        <v>427722196.51999998</v>
      </c>
      <c r="J11" s="45">
        <f>IF(F11&gt;0,I11/F11*100,"-")</f>
        <v>22.024808859314874</v>
      </c>
    </row>
    <row r="12" spans="1:10" x14ac:dyDescent="0.3">
      <c r="A12" s="55" t="s">
        <v>27</v>
      </c>
      <c r="B12" s="56">
        <f>Entrate_Uscite!B11</f>
        <v>0</v>
      </c>
      <c r="C12" s="56">
        <f>Entrate_Uscite!E11</f>
        <v>175614.84</v>
      </c>
      <c r="D12" s="56">
        <f>Entrate_Uscite!H11</f>
        <v>407000</v>
      </c>
      <c r="E12" s="56">
        <f>Entrate_Uscite!K11</f>
        <v>0</v>
      </c>
      <c r="F12" s="56">
        <f>Entrate_Uscite!N11</f>
        <v>0</v>
      </c>
      <c r="G12" s="56">
        <f t="shared" si="1"/>
        <v>0</v>
      </c>
      <c r="H12" s="57" t="str">
        <f t="shared" si="0"/>
        <v>-</v>
      </c>
      <c r="I12" s="56">
        <f>Entrate_Uscite!O11</f>
        <v>0</v>
      </c>
      <c r="J12" s="58" t="str">
        <f t="shared" si="2"/>
        <v>-</v>
      </c>
    </row>
    <row r="13" spans="1:10" x14ac:dyDescent="0.3">
      <c r="A13" s="55" t="s">
        <v>28</v>
      </c>
      <c r="B13" s="56">
        <f>Entrate_Uscite!B12</f>
        <v>548901.74</v>
      </c>
      <c r="C13" s="56">
        <f>Entrate_Uscite!E12</f>
        <v>1882969.9200000002</v>
      </c>
      <c r="D13" s="56">
        <f>Entrate_Uscite!H12</f>
        <v>202242746.29999998</v>
      </c>
      <c r="E13" s="56">
        <f>Entrate_Uscite!K12</f>
        <v>24962241.210000001</v>
      </c>
      <c r="F13" s="56">
        <f>Entrate_Uscite!N12</f>
        <v>5506504.3100000005</v>
      </c>
      <c r="G13" s="56">
        <f t="shared" si="1"/>
        <v>4.0056312821030907E-2</v>
      </c>
      <c r="H13" s="57">
        <f t="shared" si="0"/>
        <v>-77.940665408705101</v>
      </c>
      <c r="I13" s="56">
        <f>Entrate_Uscite!O12</f>
        <v>1428667.27</v>
      </c>
      <c r="J13" s="58">
        <f t="shared" si="2"/>
        <v>25.94508583976755</v>
      </c>
    </row>
    <row r="14" spans="1:10" x14ac:dyDescent="0.3">
      <c r="A14" s="55" t="s">
        <v>29</v>
      </c>
      <c r="B14" s="56">
        <f>Entrate_Uscite!B13</f>
        <v>220535699.21000001</v>
      </c>
      <c r="C14" s="56">
        <f>Entrate_Uscite!E13</f>
        <v>135008188.68000001</v>
      </c>
      <c r="D14" s="56">
        <f>Entrate_Uscite!H13</f>
        <v>450885555.75</v>
      </c>
      <c r="E14" s="56">
        <f>Entrate_Uscite!K13</f>
        <v>565326334.14999998</v>
      </c>
      <c r="F14" s="56">
        <f>Entrate_Uscite!N13</f>
        <v>978982279.78999996</v>
      </c>
      <c r="G14" s="56">
        <f t="shared" si="1"/>
        <v>7.1214727598232344</v>
      </c>
      <c r="H14" s="57">
        <f t="shared" si="0"/>
        <v>73.17117930866516</v>
      </c>
      <c r="I14" s="56">
        <f>Entrate_Uscite!O13</f>
        <v>688473469.32000005</v>
      </c>
      <c r="J14" s="58">
        <f t="shared" si="2"/>
        <v>70.325427082059491</v>
      </c>
    </row>
    <row r="15" spans="1:10" x14ac:dyDescent="0.3">
      <c r="A15" s="4" t="s">
        <v>32</v>
      </c>
      <c r="B15" s="43">
        <f>SUM(B12:B14)</f>
        <v>221084600.95000002</v>
      </c>
      <c r="C15" s="43">
        <f>SUM(C12:C14)</f>
        <v>137066773.44</v>
      </c>
      <c r="D15" s="43">
        <f>SUM(D12:D14)</f>
        <v>653535302.04999995</v>
      </c>
      <c r="E15" s="43">
        <f>SUM(E12:E14)</f>
        <v>590288575.36000001</v>
      </c>
      <c r="F15" s="43">
        <f>SUM(F12:F14)</f>
        <v>984488784.0999999</v>
      </c>
      <c r="G15" s="43">
        <f t="shared" si="1"/>
        <v>7.1615290726442655</v>
      </c>
      <c r="H15" s="44">
        <f t="shared" si="0"/>
        <v>66.780931428257531</v>
      </c>
      <c r="I15" s="43">
        <f>SUM(I12:I14)</f>
        <v>689902136.59000003</v>
      </c>
      <c r="J15" s="45">
        <f t="shared" si="2"/>
        <v>70.077196178592814</v>
      </c>
    </row>
    <row r="16" spans="1:10" x14ac:dyDescent="0.3">
      <c r="A16" s="47" t="s">
        <v>344</v>
      </c>
      <c r="B16" s="48">
        <f>B5+B11+B15</f>
        <v>10872182020.41</v>
      </c>
      <c r="C16" s="48">
        <f t="shared" ref="C16:F16" si="3">C5+C11+C15</f>
        <v>12029384127.070002</v>
      </c>
      <c r="D16" s="48">
        <f t="shared" si="3"/>
        <v>11721708812.42</v>
      </c>
      <c r="E16" s="48">
        <f t="shared" ref="E16" si="4">E5+E11+E15</f>
        <v>11928377820.440002</v>
      </c>
      <c r="F16" s="48">
        <f t="shared" si="3"/>
        <v>13600412579.870001</v>
      </c>
      <c r="G16" s="48">
        <f t="shared" si="1"/>
        <v>98.934342029845197</v>
      </c>
      <c r="H16" s="49">
        <f t="shared" si="0"/>
        <v>14.017285372742521</v>
      </c>
      <c r="I16" s="48">
        <f t="shared" ref="I16" si="5">I5+I11+I15</f>
        <v>9489557555.9400005</v>
      </c>
      <c r="J16" s="50">
        <f t="shared" si="2"/>
        <v>69.774041781537676</v>
      </c>
    </row>
    <row r="17" spans="1:10" x14ac:dyDescent="0.3">
      <c r="A17" s="4" t="s">
        <v>33</v>
      </c>
      <c r="B17" s="43">
        <f>Entrate_Uscite!B17</f>
        <v>37786875.009999998</v>
      </c>
      <c r="C17" s="43">
        <f>Entrate_Uscite!E17</f>
        <v>17236879.239999998</v>
      </c>
      <c r="D17" s="43">
        <f>Entrate_Uscite!H17</f>
        <v>9587749.3399999999</v>
      </c>
      <c r="E17" s="43">
        <f>Entrate_Uscite!K17</f>
        <v>10000050</v>
      </c>
      <c r="F17" s="43">
        <f>Entrate_Uscite!N17</f>
        <v>146495016.44999999</v>
      </c>
      <c r="G17" s="43">
        <f t="shared" si="1"/>
        <v>1.0656579701548019</v>
      </c>
      <c r="H17" s="44">
        <f t="shared" si="0"/>
        <v>1364.942839785801</v>
      </c>
      <c r="I17" s="43">
        <f>Entrate_Uscite!O17</f>
        <v>146495016.44999999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1828905293.4100001</v>
      </c>
      <c r="C19" s="43">
        <f>Entrate_Uscite!E19</f>
        <v>1222689350.01</v>
      </c>
      <c r="D19" s="43">
        <f>Entrate_Uscite!H19</f>
        <v>956872114.50999999</v>
      </c>
      <c r="E19" s="43">
        <f>Entrate_Uscite!K19</f>
        <v>1028792154.59</v>
      </c>
      <c r="F19" s="43">
        <f>Entrate_Uscite!N19</f>
        <v>1600245852.0599999</v>
      </c>
      <c r="G19" s="43"/>
      <c r="H19" s="44">
        <f t="shared" si="0"/>
        <v>55.546078468856393</v>
      </c>
      <c r="I19" s="43">
        <f>Entrate_Uscite!O19</f>
        <v>1596876155.5799999</v>
      </c>
      <c r="J19" s="45">
        <f t="shared" si="2"/>
        <v>99.78942632623216</v>
      </c>
    </row>
    <row r="20" spans="1:10" x14ac:dyDescent="0.3">
      <c r="A20" s="47" t="s">
        <v>36</v>
      </c>
      <c r="B20" s="48">
        <f>B5+B11+B15+B17+B18+B19</f>
        <v>12738874188.83</v>
      </c>
      <c r="C20" s="48">
        <f>C5+C11+C15+C17+C18+C19</f>
        <v>13269310356.320002</v>
      </c>
      <c r="D20" s="48">
        <f>D5+D11+D15+D17+D18+D19</f>
        <v>12688168676.27</v>
      </c>
      <c r="E20" s="48">
        <f>E5+E11+E15+E17+E18+E19</f>
        <v>12967170025.030003</v>
      </c>
      <c r="F20" s="48">
        <f>F5+F11+F15+F17+F18+F19</f>
        <v>15347153448.380001</v>
      </c>
      <c r="G20" s="48"/>
      <c r="H20" s="49">
        <f t="shared" si="0"/>
        <v>18.353915455384737</v>
      </c>
      <c r="I20" s="48">
        <f>I5+I11+I15+I17+I18+I19</f>
        <v>11232928727.970001</v>
      </c>
      <c r="J20" s="50">
        <f t="shared" si="2"/>
        <v>73.192261781651212</v>
      </c>
    </row>
    <row r="21" spans="1:10" x14ac:dyDescent="0.3">
      <c r="A21" s="38" t="s">
        <v>37</v>
      </c>
      <c r="B21" s="51">
        <f>B20-B19</f>
        <v>10909968895.42</v>
      </c>
      <c r="C21" s="51">
        <f>C20-C19</f>
        <v>12046621006.310001</v>
      </c>
      <c r="D21" s="51">
        <f>D20-D19</f>
        <v>11731296561.76</v>
      </c>
      <c r="E21" s="51">
        <f>E20-E19</f>
        <v>11938377870.440002</v>
      </c>
      <c r="F21" s="51">
        <f>F20-F19</f>
        <v>13746907596.320002</v>
      </c>
      <c r="G21" s="51">
        <f t="shared" si="1"/>
        <v>100</v>
      </c>
      <c r="H21" s="52">
        <f t="shared" si="0"/>
        <v>15.148873201257999</v>
      </c>
      <c r="I21" s="51">
        <f>I20-I19</f>
        <v>9636052572.3900013</v>
      </c>
      <c r="J21" s="53">
        <f t="shared" si="2"/>
        <v>70.096147114348383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6" width="15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296</v>
      </c>
      <c r="H1" s="42" t="s">
        <v>233</v>
      </c>
      <c r="I1" s="54" t="s">
        <v>368</v>
      </c>
      <c r="J1" s="42" t="s">
        <v>335</v>
      </c>
    </row>
    <row r="2" spans="1:10" x14ac:dyDescent="0.3">
      <c r="A2" s="59" t="s">
        <v>269</v>
      </c>
      <c r="B2" s="56">
        <f>Entrate_Uscite!B23</f>
        <v>153747627.88999999</v>
      </c>
      <c r="C2" s="56">
        <f>Entrate_Uscite!E23</f>
        <v>160130371.74000001</v>
      </c>
      <c r="D2" s="56">
        <f>Entrate_Uscite!H23</f>
        <v>158570713.53999999</v>
      </c>
      <c r="E2" s="56">
        <f>Entrate_Uscite!K23</f>
        <v>165399085.69</v>
      </c>
      <c r="F2" s="56">
        <f>Entrate_Uscite!N23</f>
        <v>155015243.66999999</v>
      </c>
      <c r="G2" s="56">
        <f>F2/F$31*100</f>
        <v>1.1618280098812468</v>
      </c>
      <c r="H2" s="57">
        <f>IF(E2&gt;0,F2/E2*100-100,"-")</f>
        <v>-6.2780528542110403</v>
      </c>
      <c r="I2" s="56">
        <f>Entrate_Uscite!O23</f>
        <v>122558831.65000001</v>
      </c>
      <c r="J2" s="58">
        <f>IF(F2&gt;0,I2/F2*100,"-")</f>
        <v>79.062438472764697</v>
      </c>
    </row>
    <row r="3" spans="1:10" x14ac:dyDescent="0.3">
      <c r="A3" s="59" t="s">
        <v>270</v>
      </c>
      <c r="B3" s="56">
        <f>Entrate_Uscite!B24</f>
        <v>12897722.74</v>
      </c>
      <c r="C3" s="56">
        <f>Entrate_Uscite!E24</f>
        <v>13139890.9</v>
      </c>
      <c r="D3" s="56">
        <f>Entrate_Uscite!H24</f>
        <v>13216266.310000001</v>
      </c>
      <c r="E3" s="56">
        <f>Entrate_Uscite!K24</f>
        <v>12506756.369999999</v>
      </c>
      <c r="F3" s="56">
        <f>Entrate_Uscite!N24</f>
        <v>12487950.9</v>
      </c>
      <c r="G3" s="56">
        <f t="shared" ref="G3:G31" si="0">F3/F$31*100</f>
        <v>9.3596286391862848E-2</v>
      </c>
      <c r="H3" s="57">
        <f t="shared" ref="H3:H31" si="1">IF(E3&gt;0,F3/E3*100-100,"-")</f>
        <v>-0.15036248763195204</v>
      </c>
      <c r="I3" s="56">
        <f>Entrate_Uscite!O24</f>
        <v>8358197.7800000003</v>
      </c>
      <c r="J3" s="58">
        <f>IF(F3&gt;0,I3/F3*100,"-")</f>
        <v>66.930098035539203</v>
      </c>
    </row>
    <row r="4" spans="1:10" x14ac:dyDescent="0.3">
      <c r="A4" s="59" t="s">
        <v>271</v>
      </c>
      <c r="B4" s="56">
        <f>Entrate_Uscite!B25</f>
        <v>485751921.76999998</v>
      </c>
      <c r="C4" s="56">
        <f>Entrate_Uscite!E25</f>
        <v>513476110.25</v>
      </c>
      <c r="D4" s="56">
        <f>Entrate_Uscite!H25</f>
        <v>492096048.13999999</v>
      </c>
      <c r="E4" s="56">
        <f>Entrate_Uscite!K25</f>
        <v>499165870.36000001</v>
      </c>
      <c r="F4" s="56">
        <f>Entrate_Uscite!N25</f>
        <v>979275893.77999997</v>
      </c>
      <c r="G4" s="56">
        <f t="shared" si="0"/>
        <v>7.3396018085625512</v>
      </c>
      <c r="H4" s="57">
        <f t="shared" si="1"/>
        <v>96.182461968752591</v>
      </c>
      <c r="I4" s="56">
        <f>Entrate_Uscite!O25</f>
        <v>767672473.08000004</v>
      </c>
      <c r="J4" s="58">
        <f t="shared" ref="J4:J9" si="2">IF(F4&gt;0,I4/F4*100,"-")</f>
        <v>78.391848298929148</v>
      </c>
    </row>
    <row r="5" spans="1:10" x14ac:dyDescent="0.3">
      <c r="A5" s="59" t="s">
        <v>272</v>
      </c>
      <c r="B5" s="56">
        <f>Entrate_Uscite!B26</f>
        <v>8053429603.75</v>
      </c>
      <c r="C5" s="56">
        <f>Entrate_Uscite!E26</f>
        <v>8257481855.4399996</v>
      </c>
      <c r="D5" s="56">
        <f>Entrate_Uscite!H26</f>
        <v>8418565301.4200001</v>
      </c>
      <c r="E5" s="56">
        <f>Entrate_Uscite!K26</f>
        <v>8697555197.8999996</v>
      </c>
      <c r="F5" s="56">
        <f>Entrate_Uscite!N26</f>
        <v>8706707781.7999992</v>
      </c>
      <c r="G5" s="56">
        <f t="shared" si="0"/>
        <v>65.256143429873163</v>
      </c>
      <c r="H5" s="57">
        <f t="shared" si="1"/>
        <v>0.1052316851315851</v>
      </c>
      <c r="I5" s="56">
        <f>Entrate_Uscite!O26</f>
        <v>7657720866.0100002</v>
      </c>
      <c r="J5" s="58">
        <f t="shared" si="2"/>
        <v>87.951968274590072</v>
      </c>
    </row>
    <row r="6" spans="1:10" x14ac:dyDescent="0.3">
      <c r="A6" s="59" t="s">
        <v>273</v>
      </c>
      <c r="B6" s="56">
        <f>Entrate_Uscite!B29</f>
        <v>53492929.729999997</v>
      </c>
      <c r="C6" s="56">
        <f>Entrate_Uscite!E29</f>
        <v>48855171.68</v>
      </c>
      <c r="D6" s="56">
        <f>Entrate_Uscite!H29</f>
        <v>46184388.060000002</v>
      </c>
      <c r="E6" s="56">
        <f>Entrate_Uscite!K29</f>
        <v>43679537.25</v>
      </c>
      <c r="F6" s="56">
        <f>Entrate_Uscite!N29</f>
        <v>41056181.890000001</v>
      </c>
      <c r="G6" s="56">
        <f t="shared" si="0"/>
        <v>0.30771310594541595</v>
      </c>
      <c r="H6" s="57">
        <f t="shared" si="1"/>
        <v>-6.0059138103620882</v>
      </c>
      <c r="I6" s="56">
        <f>Entrate_Uscite!O29</f>
        <v>41056181.890000001</v>
      </c>
      <c r="J6" s="58">
        <f t="shared" si="2"/>
        <v>100</v>
      </c>
    </row>
    <row r="7" spans="1:10" x14ac:dyDescent="0.3">
      <c r="A7" s="59" t="s">
        <v>274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1187.2</v>
      </c>
      <c r="G7" s="56">
        <f t="shared" si="0"/>
        <v>8.8979779064009281E-6</v>
      </c>
      <c r="H7" s="57" t="str">
        <f t="shared" si="1"/>
        <v>-</v>
      </c>
      <c r="I7" s="56">
        <f>Entrate_Uscite!O30</f>
        <v>1187.2</v>
      </c>
      <c r="J7" s="58">
        <f t="shared" si="2"/>
        <v>100</v>
      </c>
    </row>
    <row r="8" spans="1:10" x14ac:dyDescent="0.3">
      <c r="A8" s="59" t="s">
        <v>275</v>
      </c>
      <c r="B8" s="56">
        <f>Entrate_Uscite!B31</f>
        <v>17116544.949999999</v>
      </c>
      <c r="C8" s="56">
        <f>Entrate_Uscite!E31</f>
        <v>12062286.68</v>
      </c>
      <c r="D8" s="56">
        <f>Entrate_Uscite!H31</f>
        <v>21229323.739999998</v>
      </c>
      <c r="E8" s="56">
        <f>Entrate_Uscite!K31</f>
        <v>20034031.52</v>
      </c>
      <c r="F8" s="56">
        <f>Entrate_Uscite!N31</f>
        <v>7828315.8899999997</v>
      </c>
      <c r="G8" s="56">
        <f t="shared" si="0"/>
        <v>5.8672659900225153E-2</v>
      </c>
      <c r="H8" s="57">
        <f t="shared" si="1"/>
        <v>-60.924909785706475</v>
      </c>
      <c r="I8" s="56">
        <f>Entrate_Uscite!O31</f>
        <v>7081590.9299999997</v>
      </c>
      <c r="J8" s="58">
        <f t="shared" si="2"/>
        <v>90.461231119277173</v>
      </c>
    </row>
    <row r="9" spans="1:10" x14ac:dyDescent="0.3">
      <c r="A9" s="59" t="s">
        <v>276</v>
      </c>
      <c r="B9" s="56">
        <f>Entrate_Uscite!B32</f>
        <v>4786466.41</v>
      </c>
      <c r="C9" s="56">
        <f>Entrate_Uscite!E32</f>
        <v>9607765.3000000007</v>
      </c>
      <c r="D9" s="56">
        <f>Entrate_Uscite!H32</f>
        <v>11550265.060000001</v>
      </c>
      <c r="E9" s="56">
        <f>Entrate_Uscite!K32</f>
        <v>6046853.5199999996</v>
      </c>
      <c r="F9" s="56">
        <f>Entrate_Uscite!N32</f>
        <v>10435086.359999999</v>
      </c>
      <c r="G9" s="56">
        <f t="shared" si="0"/>
        <v>7.8210215534590344E-2</v>
      </c>
      <c r="H9" s="57">
        <f t="shared" si="1"/>
        <v>72.570516641190267</v>
      </c>
      <c r="I9" s="56">
        <f>Entrate_Uscite!O32</f>
        <v>9532518.2200000007</v>
      </c>
      <c r="J9" s="58">
        <f t="shared" si="2"/>
        <v>91.350640436865547</v>
      </c>
    </row>
    <row r="10" spans="1:10" x14ac:dyDescent="0.3">
      <c r="A10" s="4" t="s">
        <v>281</v>
      </c>
      <c r="B10" s="43">
        <f>SUM(B2:B9)</f>
        <v>8781222817.2399998</v>
      </c>
      <c r="C10" s="43">
        <f>SUM(C2:C9)</f>
        <v>9014753451.9899998</v>
      </c>
      <c r="D10" s="43">
        <f>SUM(D2:D9)</f>
        <v>9161412306.2699986</v>
      </c>
      <c r="E10" s="43">
        <f>SUM(E2:E9)</f>
        <v>9444387332.6100006</v>
      </c>
      <c r="F10" s="43">
        <f>SUM(F2:F9)</f>
        <v>9912807641.4899998</v>
      </c>
      <c r="G10" s="43">
        <f t="shared" si="0"/>
        <v>74.295774414066955</v>
      </c>
      <c r="H10" s="44">
        <f t="shared" si="1"/>
        <v>4.9597744393923477</v>
      </c>
      <c r="I10" s="43">
        <f>SUM(I2:I9)</f>
        <v>8613981846.7600002</v>
      </c>
      <c r="J10" s="45">
        <f t="shared" ref="J10:J17" si="3">IF(F10&gt;0,I10/F10*100,"-")</f>
        <v>86.897498249701016</v>
      </c>
    </row>
    <row r="11" spans="1:10" x14ac:dyDescent="0.3">
      <c r="A11" s="59" t="s">
        <v>277</v>
      </c>
      <c r="B11" s="56">
        <f>Entrate_Uscite!B34</f>
        <v>34353231.189999998</v>
      </c>
      <c r="C11" s="56">
        <f>Entrate_Uscite!E34</f>
        <v>123104343.3</v>
      </c>
      <c r="D11" s="56">
        <f>Entrate_Uscite!H34</f>
        <v>49319910.25</v>
      </c>
      <c r="E11" s="56">
        <f>Entrate_Uscite!K34</f>
        <v>46128774.590000004</v>
      </c>
      <c r="F11" s="56">
        <f>Entrate_Uscite!N34</f>
        <v>103736897.51000001</v>
      </c>
      <c r="G11" s="56">
        <f t="shared" si="0"/>
        <v>0.7775005240250652</v>
      </c>
      <c r="H11" s="57">
        <f t="shared" si="1"/>
        <v>124.88543958089133</v>
      </c>
      <c r="I11" s="56">
        <f>Entrate_Uscite!O34</f>
        <v>60413219.829999998</v>
      </c>
      <c r="J11" s="58">
        <f t="shared" si="3"/>
        <v>58.236964166174623</v>
      </c>
    </row>
    <row r="12" spans="1:10" x14ac:dyDescent="0.3">
      <c r="A12" s="59" t="s">
        <v>278</v>
      </c>
      <c r="B12" s="56">
        <f>Entrate_Uscite!B35</f>
        <v>1289201732.6099999</v>
      </c>
      <c r="C12" s="56">
        <f>Entrate_Uscite!E35</f>
        <v>2102936145.6700001</v>
      </c>
      <c r="D12" s="56">
        <f>Entrate_Uscite!H35</f>
        <v>1454398272.9400001</v>
      </c>
      <c r="E12" s="56">
        <f>Entrate_Uscite!K35</f>
        <v>2010384592.79</v>
      </c>
      <c r="F12" s="56">
        <f>Entrate_Uscite!N35</f>
        <v>2133597456.01</v>
      </c>
      <c r="G12" s="56">
        <f t="shared" si="0"/>
        <v>15.991158208162235</v>
      </c>
      <c r="H12" s="57">
        <f t="shared" si="1"/>
        <v>6.1288205083688041</v>
      </c>
      <c r="I12" s="56">
        <f>Entrate_Uscite!O35</f>
        <v>977981726.26999998</v>
      </c>
      <c r="J12" s="58">
        <f t="shared" si="3"/>
        <v>45.837218427270955</v>
      </c>
    </row>
    <row r="13" spans="1:10" x14ac:dyDescent="0.3">
      <c r="A13" s="59" t="s">
        <v>279</v>
      </c>
      <c r="B13" s="56">
        <f>Entrate_Uscite!B36</f>
        <v>174864784.66</v>
      </c>
      <c r="C13" s="56">
        <f>Entrate_Uscite!E36</f>
        <v>250742106.06999999</v>
      </c>
      <c r="D13" s="56">
        <f>Entrate_Uscite!H36</f>
        <v>218997476.44999999</v>
      </c>
      <c r="E13" s="56">
        <f>Entrate_Uscite!K36</f>
        <v>52897052.530000001</v>
      </c>
      <c r="F13" s="56">
        <f>Entrate_Uscite!N36</f>
        <v>44814267.270000003</v>
      </c>
      <c r="G13" s="56">
        <f t="shared" si="0"/>
        <v>0.33587968333895402</v>
      </c>
      <c r="H13" s="57">
        <f t="shared" si="1"/>
        <v>-15.280218600868039</v>
      </c>
      <c r="I13" s="56">
        <f>Entrate_Uscite!O36</f>
        <v>7947997.5800000001</v>
      </c>
      <c r="J13" s="58">
        <f t="shared" si="3"/>
        <v>17.735417901880158</v>
      </c>
    </row>
    <row r="14" spans="1:10" x14ac:dyDescent="0.3">
      <c r="A14" s="59" t="s">
        <v>280</v>
      </c>
      <c r="B14" s="56">
        <f>Entrate_Uscite!B37</f>
        <v>0</v>
      </c>
      <c r="C14" s="56">
        <f>Entrate_Uscite!E37</f>
        <v>0</v>
      </c>
      <c r="D14" s="56">
        <f>Entrate_Uscite!H37</f>
        <v>127794.41</v>
      </c>
      <c r="E14" s="56">
        <f>Entrate_Uscite!K37</f>
        <v>0</v>
      </c>
      <c r="F14" s="56">
        <f>Entrate_Uscite!N37</f>
        <v>2760000</v>
      </c>
      <c r="G14" s="56">
        <f t="shared" si="0"/>
        <v>2.0685999849786522E-2</v>
      </c>
      <c r="H14" s="108" t="str">
        <f t="shared" si="1"/>
        <v>-</v>
      </c>
      <c r="I14" s="56">
        <f>Entrate_Uscite!O37</f>
        <v>0</v>
      </c>
      <c r="J14" s="58">
        <f t="shared" si="3"/>
        <v>0</v>
      </c>
    </row>
    <row r="15" spans="1:10" x14ac:dyDescent="0.3">
      <c r="A15" s="4" t="s">
        <v>282</v>
      </c>
      <c r="B15" s="46">
        <f>SUM(B11:B14)</f>
        <v>1498419748.46</v>
      </c>
      <c r="C15" s="46">
        <f>SUM(C11:C14)</f>
        <v>2476782595.0400004</v>
      </c>
      <c r="D15" s="46">
        <f>SUM(D11:D14)</f>
        <v>1722843454.0500002</v>
      </c>
      <c r="E15" s="46">
        <f>SUM(E11:E14)</f>
        <v>2109410419.9099998</v>
      </c>
      <c r="F15" s="46">
        <f>SUM(F11:F14)</f>
        <v>2284908620.79</v>
      </c>
      <c r="G15" s="46">
        <f t="shared" si="0"/>
        <v>17.125224415376039</v>
      </c>
      <c r="H15" s="44">
        <f t="shared" si="1"/>
        <v>8.3197750055433914</v>
      </c>
      <c r="I15" s="46">
        <f>SUM(I11:I14)</f>
        <v>1046342943.6800001</v>
      </c>
      <c r="J15" s="45">
        <f t="shared" si="3"/>
        <v>45.793645056940193</v>
      </c>
    </row>
    <row r="16" spans="1:10" x14ac:dyDescent="0.3">
      <c r="A16" s="59" t="s">
        <v>283</v>
      </c>
      <c r="B16" s="56">
        <f>Entrate_Uscite!B38</f>
        <v>800000</v>
      </c>
      <c r="C16" s="56">
        <f>Entrate_Uscite!E38</f>
        <v>0</v>
      </c>
      <c r="D16" s="56">
        <f>Entrate_Uscite!H38</f>
        <v>0</v>
      </c>
      <c r="E16" s="56">
        <f>Entrate_Uscite!K38</f>
        <v>6055046.1200000001</v>
      </c>
      <c r="F16" s="56">
        <f>Entrate_Uscite!N38</f>
        <v>0</v>
      </c>
      <c r="G16" s="56">
        <f t="shared" si="0"/>
        <v>0</v>
      </c>
      <c r="H16" s="57">
        <f t="shared" si="1"/>
        <v>-100</v>
      </c>
      <c r="I16" s="56">
        <f>Entrate_Uscite!O38</f>
        <v>0</v>
      </c>
      <c r="J16" s="58" t="str">
        <f t="shared" si="3"/>
        <v>-</v>
      </c>
    </row>
    <row r="17" spans="1:10" x14ac:dyDescent="0.3">
      <c r="A17" s="59" t="s">
        <v>284</v>
      </c>
      <c r="B17" s="56">
        <f>Entrate_Uscite!B39</f>
        <v>0</v>
      </c>
      <c r="C17" s="56">
        <f>Entrate_Uscite!E39</f>
        <v>0</v>
      </c>
      <c r="D17" s="56">
        <f>Entrate_Uscite!H39</f>
        <v>3734310.39</v>
      </c>
      <c r="E17" s="56">
        <f>Entrate_Uscite!K39</f>
        <v>1684326.53</v>
      </c>
      <c r="F17" s="56">
        <f>Entrate_Uscite!N39</f>
        <v>789702.51</v>
      </c>
      <c r="G17" s="56">
        <f t="shared" si="0"/>
        <v>5.9187630446507393E-3</v>
      </c>
      <c r="H17" s="57">
        <f t="shared" si="1"/>
        <v>-53.114642800288848</v>
      </c>
      <c r="I17" s="56">
        <f>Entrate_Uscite!O39</f>
        <v>0</v>
      </c>
      <c r="J17" s="58">
        <f t="shared" si="3"/>
        <v>0</v>
      </c>
    </row>
    <row r="18" spans="1:10" x14ac:dyDescent="0.3">
      <c r="A18" s="59" t="s">
        <v>285</v>
      </c>
      <c r="B18" s="56">
        <f>Entrate_Uscite!B40</f>
        <v>2000000</v>
      </c>
      <c r="C18" s="56">
        <f>Entrate_Uscite!E40</f>
        <v>500000</v>
      </c>
      <c r="D18" s="56">
        <f>Entrate_Uscite!H40</f>
        <v>0</v>
      </c>
      <c r="E18" s="56">
        <f>Entrate_Uscite!K40</f>
        <v>100000</v>
      </c>
      <c r="F18" s="56">
        <f>Entrate_Uscite!N40</f>
        <v>100000</v>
      </c>
      <c r="G18" s="56">
        <f t="shared" si="0"/>
        <v>7.494927481806711E-4</v>
      </c>
      <c r="H18" s="57">
        <f t="shared" si="1"/>
        <v>0</v>
      </c>
      <c r="I18" s="56">
        <f>Entrate_Uscite!O40</f>
        <v>0</v>
      </c>
      <c r="J18" s="58">
        <f t="shared" ref="J18:J26" si="4">IF(F18&gt;0,I18/F18*100,"-")</f>
        <v>0</v>
      </c>
    </row>
    <row r="19" spans="1:10" x14ac:dyDescent="0.3">
      <c r="A19" s="59" t="s">
        <v>286</v>
      </c>
      <c r="B19" s="56">
        <f>Entrate_Uscite!B41</f>
        <v>190084701.03</v>
      </c>
      <c r="C19" s="56">
        <f>Entrate_Uscite!E41</f>
        <v>135008188.68000001</v>
      </c>
      <c r="D19" s="56">
        <f>Entrate_Uscite!H41</f>
        <v>450885555.75</v>
      </c>
      <c r="E19" s="56">
        <f>Entrate_Uscite!K41</f>
        <v>565326334.14999998</v>
      </c>
      <c r="F19" s="56">
        <f>Entrate_Uscite!N41</f>
        <v>978870448.40999997</v>
      </c>
      <c r="G19" s="56">
        <f t="shared" si="0"/>
        <v>7.3365630249165665</v>
      </c>
      <c r="H19" s="57">
        <f t="shared" si="1"/>
        <v>73.151397569650953</v>
      </c>
      <c r="I19" s="56">
        <f>Entrate_Uscite!O41</f>
        <v>978870448.40999997</v>
      </c>
      <c r="J19" s="58">
        <f t="shared" si="4"/>
        <v>100</v>
      </c>
    </row>
    <row r="20" spans="1:10" x14ac:dyDescent="0.3">
      <c r="A20" s="4" t="s">
        <v>287</v>
      </c>
      <c r="B20" s="43">
        <f>SUM(B16:B19)</f>
        <v>192884701.03</v>
      </c>
      <c r="C20" s="43">
        <f>SUM(C16:C19)</f>
        <v>135508188.68000001</v>
      </c>
      <c r="D20" s="43">
        <f>SUM(D16:D19)</f>
        <v>454619866.13999999</v>
      </c>
      <c r="E20" s="43">
        <f>SUM(E16:E19)</f>
        <v>573165706.79999995</v>
      </c>
      <c r="F20" s="43">
        <f>SUM(F16:F19)</f>
        <v>979760150.91999996</v>
      </c>
      <c r="G20" s="43">
        <f t="shared" si="0"/>
        <v>7.3432312807093973</v>
      </c>
      <c r="H20" s="44">
        <f t="shared" si="1"/>
        <v>70.938375987291352</v>
      </c>
      <c r="I20" s="43">
        <f>SUM(I16:I19)</f>
        <v>978870448.40999997</v>
      </c>
      <c r="J20" s="40">
        <f t="shared" si="4"/>
        <v>99.909191804834634</v>
      </c>
    </row>
    <row r="21" spans="1:10" x14ac:dyDescent="0.3">
      <c r="A21" s="47" t="s">
        <v>345</v>
      </c>
      <c r="B21" s="48">
        <f>B10+B15+B20</f>
        <v>10472527266.730001</v>
      </c>
      <c r="C21" s="48">
        <f>C10+C15+C20</f>
        <v>11627044235.710001</v>
      </c>
      <c r="D21" s="48">
        <f>D10+D15+D20</f>
        <v>11338875626.459999</v>
      </c>
      <c r="E21" s="48">
        <f>E10+E15+E20</f>
        <v>12126963459.32</v>
      </c>
      <c r="F21" s="48">
        <f>F10+F15+F20</f>
        <v>13177476413.199999</v>
      </c>
      <c r="G21" s="48">
        <f>F21/F$31*100</f>
        <v>98.764230110152397</v>
      </c>
      <c r="H21" s="49">
        <f t="shared" si="1"/>
        <v>8.6626215820964063</v>
      </c>
      <c r="I21" s="48">
        <f>I10+I15+I20</f>
        <v>10639195238.85</v>
      </c>
      <c r="J21" s="50">
        <f>IF(F21&gt;0,I21/F21*100,"-")</f>
        <v>80.737729328755407</v>
      </c>
    </row>
    <row r="22" spans="1:10" x14ac:dyDescent="0.3">
      <c r="A22" s="59" t="s">
        <v>288</v>
      </c>
      <c r="B22" s="60">
        <f>Entrate_Uscite!B42</f>
        <v>60000000</v>
      </c>
      <c r="C22" s="60">
        <f>Entrate_Uscite!E42</f>
        <v>0</v>
      </c>
      <c r="D22" s="60">
        <f>Entrate_Uscite!H42</f>
        <v>0</v>
      </c>
      <c r="E22" s="60">
        <f>Entrate_Uscite!K42</f>
        <v>0</v>
      </c>
      <c r="F22" s="60">
        <f>Entrate_Uscite!N42</f>
        <v>0</v>
      </c>
      <c r="G22" s="60">
        <f t="shared" si="0"/>
        <v>0</v>
      </c>
      <c r="H22" s="61" t="str">
        <f t="shared" si="1"/>
        <v>-</v>
      </c>
      <c r="I22" s="60">
        <f>Entrate_Uscite!O42</f>
        <v>0</v>
      </c>
      <c r="J22" s="58" t="str">
        <f t="shared" si="4"/>
        <v>-</v>
      </c>
    </row>
    <row r="23" spans="1:10" x14ac:dyDescent="0.3">
      <c r="A23" s="59" t="s">
        <v>289</v>
      </c>
      <c r="B23" s="60">
        <f>Entrate_Uscite!B43</f>
        <v>0</v>
      </c>
      <c r="C23" s="60">
        <f>Entrate_Uscite!E43</f>
        <v>0</v>
      </c>
      <c r="D23" s="60">
        <f>Entrate_Uscite!H43</f>
        <v>0</v>
      </c>
      <c r="E23" s="60">
        <f>Entrate_Uscite!K43</f>
        <v>0</v>
      </c>
      <c r="F23" s="60">
        <f>Entrate_Uscite!N43</f>
        <v>0</v>
      </c>
      <c r="G23" s="60">
        <f t="shared" si="0"/>
        <v>0</v>
      </c>
      <c r="H23" s="61" t="str">
        <f t="shared" si="1"/>
        <v>-</v>
      </c>
      <c r="I23" s="60">
        <f>Entrate_Uscite!O43</f>
        <v>0</v>
      </c>
      <c r="J23" s="58" t="str">
        <f t="shared" si="4"/>
        <v>-</v>
      </c>
    </row>
    <row r="24" spans="1:10" x14ac:dyDescent="0.3">
      <c r="A24" s="59" t="s">
        <v>290</v>
      </c>
      <c r="B24" s="60">
        <f>Entrate_Uscite!B44</f>
        <v>181686020.56</v>
      </c>
      <c r="C24" s="60">
        <f>Entrate_Uscite!E44</f>
        <v>76475387.920000002</v>
      </c>
      <c r="D24" s="60">
        <f>Entrate_Uscite!H44</f>
        <v>72946879.409999996</v>
      </c>
      <c r="E24" s="60">
        <f>Entrate_Uscite!K44</f>
        <v>70741827.829999998</v>
      </c>
      <c r="F24" s="60">
        <f>Entrate_Uscite!N44</f>
        <v>164880833.44999999</v>
      </c>
      <c r="G24" s="60">
        <f t="shared" si="0"/>
        <v>1.2357698898475999</v>
      </c>
      <c r="H24" s="61">
        <f t="shared" si="1"/>
        <v>133.07403626356086</v>
      </c>
      <c r="I24" s="60">
        <f>Entrate_Uscite!O44</f>
        <v>164880833.44999999</v>
      </c>
      <c r="J24" s="58">
        <f t="shared" si="4"/>
        <v>100</v>
      </c>
    </row>
    <row r="25" spans="1:10" x14ac:dyDescent="0.3">
      <c r="A25" s="59" t="s">
        <v>291</v>
      </c>
      <c r="B25" s="60">
        <f>Entrate_Uscite!B45</f>
        <v>0</v>
      </c>
      <c r="C25" s="60">
        <f>Entrate_Uscite!E45</f>
        <v>0</v>
      </c>
      <c r="D25" s="60">
        <f>Entrate_Uscite!H45</f>
        <v>0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292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293</v>
      </c>
      <c r="B27" s="43">
        <f>SUM(B22:B26)</f>
        <v>241686020.56</v>
      </c>
      <c r="C27" s="43">
        <f>SUM(C22:C26)</f>
        <v>76475387.920000002</v>
      </c>
      <c r="D27" s="43">
        <f>SUM(D22:D26)</f>
        <v>72946879.409999996</v>
      </c>
      <c r="E27" s="43">
        <f>SUM(E22:E26)</f>
        <v>70741827.829999998</v>
      </c>
      <c r="F27" s="43">
        <f>SUM(F22:F26)</f>
        <v>164880833.44999999</v>
      </c>
      <c r="G27" s="43">
        <f t="shared" si="0"/>
        <v>1.2357698898475999</v>
      </c>
      <c r="H27" s="44">
        <f t="shared" si="1"/>
        <v>133.07403626356086</v>
      </c>
      <c r="I27" s="43">
        <f>SUM(I22:I26)</f>
        <v>164880833.44999999</v>
      </c>
      <c r="J27" s="45">
        <f>IF(F27&gt;0,I27/F27*100,"-")</f>
        <v>100</v>
      </c>
    </row>
    <row r="28" spans="1:10" x14ac:dyDescent="0.3">
      <c r="A28" s="4" t="s">
        <v>294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295</v>
      </c>
      <c r="B29" s="43">
        <f>Entrate_Uscite!B55</f>
        <v>1828904963.6800001</v>
      </c>
      <c r="C29" s="43">
        <f>Entrate_Uscite!E55</f>
        <v>1222689350.01</v>
      </c>
      <c r="D29" s="43">
        <f>Entrate_Uscite!H55</f>
        <v>956872114.50999999</v>
      </c>
      <c r="E29" s="43">
        <f>Entrate_Uscite!K55</f>
        <v>1028792154.5899999</v>
      </c>
      <c r="F29" s="43">
        <f>Entrate_Uscite!N55</f>
        <v>1600245852.0599999</v>
      </c>
      <c r="G29" s="43"/>
      <c r="H29" s="44">
        <f t="shared" si="1"/>
        <v>55.546078468856422</v>
      </c>
      <c r="I29" s="43">
        <f>Entrate_Uscite!O55</f>
        <v>126859608.73999999</v>
      </c>
      <c r="J29" s="45">
        <f>IF(F29&gt;0,I29/F29*100,"-")</f>
        <v>7.9275074249805648</v>
      </c>
    </row>
    <row r="30" spans="1:10" x14ac:dyDescent="0.3">
      <c r="A30" s="47" t="s">
        <v>68</v>
      </c>
      <c r="B30" s="48">
        <f>B10+B15+B20+B27+B28+B29</f>
        <v>12543118250.970001</v>
      </c>
      <c r="C30" s="48">
        <f>C10+C15+C20+C27+C28+C29</f>
        <v>12926208973.640001</v>
      </c>
      <c r="D30" s="48">
        <f>D10+D15+D20+D27+D28+D29</f>
        <v>12368694620.379999</v>
      </c>
      <c r="E30" s="48">
        <f>E10+E15+E20+E27+E28+E29</f>
        <v>13226497441.74</v>
      </c>
      <c r="F30" s="48">
        <f>F10+F15+F20+F27+F28+F29</f>
        <v>14942603098.709999</v>
      </c>
      <c r="G30" s="48"/>
      <c r="H30" s="49">
        <f t="shared" si="1"/>
        <v>12.97475514231256</v>
      </c>
      <c r="I30" s="48">
        <f>I10+I15+I20+I27+I28+I29</f>
        <v>10930935681.040001</v>
      </c>
      <c r="J30" s="50">
        <f>IF(F30&gt;0,I30/F30*100,"-")</f>
        <v>73.152820889578962</v>
      </c>
    </row>
    <row r="31" spans="1:10" x14ac:dyDescent="0.3">
      <c r="A31" s="38" t="s">
        <v>69</v>
      </c>
      <c r="B31" s="51">
        <f>B30-B29</f>
        <v>10714213287.290001</v>
      </c>
      <c r="C31" s="51">
        <f>C30-C29</f>
        <v>11703519623.630001</v>
      </c>
      <c r="D31" s="51">
        <f>D30-D29</f>
        <v>11411822505.869999</v>
      </c>
      <c r="E31" s="51">
        <f>E30-E29</f>
        <v>12197705287.15</v>
      </c>
      <c r="F31" s="51">
        <f>F30-F29</f>
        <v>13342357246.65</v>
      </c>
      <c r="G31" s="51">
        <f t="shared" si="0"/>
        <v>100</v>
      </c>
      <c r="H31" s="52">
        <f t="shared" si="1"/>
        <v>9.3841581883919076</v>
      </c>
      <c r="I31" s="51">
        <f>I30-I29</f>
        <v>10804076072.300001</v>
      </c>
      <c r="J31" s="53">
        <f>IF(F31&gt;0,I31/F31*100,"-")</f>
        <v>80.975766669811591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H5" sqref="H5"/>
    </sheetView>
  </sheetViews>
  <sheetFormatPr defaultRowHeight="14.4" x14ac:dyDescent="0.3"/>
  <cols>
    <col min="1" max="1" width="50.6640625" bestFit="1" customWidth="1"/>
    <col min="2" max="7" width="12.5546875" bestFit="1" customWidth="1"/>
    <col min="8" max="8" width="13.88671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  <c r="H1" s="42" t="s">
        <v>336</v>
      </c>
    </row>
    <row r="2" spans="1:8" x14ac:dyDescent="0.3">
      <c r="A2" s="62" t="s">
        <v>297</v>
      </c>
      <c r="B2" s="64">
        <f>Entrate_Uscite!B59</f>
        <v>694360116.18000031</v>
      </c>
      <c r="C2" s="64">
        <f>Entrate_Uscite!E59</f>
        <v>629471630.75</v>
      </c>
      <c r="D2" s="64">
        <f>Entrate_Uscite!H59</f>
        <v>597359116.18000221</v>
      </c>
      <c r="E2" s="64">
        <f>Entrate_Uscite!K59</f>
        <v>433337747.01000023</v>
      </c>
      <c r="F2" s="64">
        <f>Entrate_Uscite!N59</f>
        <v>761114299.68000031</v>
      </c>
      <c r="G2" s="64">
        <f>F2-E2</f>
        <v>327776552.67000008</v>
      </c>
      <c r="H2" s="64">
        <f>Entrate_Uscite!O59</f>
        <v>-242048623.93000031</v>
      </c>
    </row>
    <row r="3" spans="1:8" x14ac:dyDescent="0.3">
      <c r="A3" s="62" t="s">
        <v>72</v>
      </c>
      <c r="B3" s="65">
        <f>Entrate_Uscite!B60</f>
        <v>-322905262.42000008</v>
      </c>
      <c r="C3" s="65">
        <f>Entrate_Uscite!E60</f>
        <v>-228690324.1500001</v>
      </c>
      <c r="D3" s="65">
        <f>Entrate_Uscite!H60</f>
        <v>-413441366.13000011</v>
      </c>
      <c r="E3" s="65">
        <f>Entrate_Uscite!K60</f>
        <v>-649046254.44999957</v>
      </c>
      <c r="F3" s="65">
        <f>Entrate_Uscite!N60</f>
        <v>-342906766.18999982</v>
      </c>
      <c r="G3" s="64">
        <f t="shared" ref="G3:G6" si="0">F3-E3</f>
        <v>306139488.25999975</v>
      </c>
      <c r="H3" s="65">
        <f>Entrate_Uscite!O60</f>
        <v>-618620747.16000009</v>
      </c>
    </row>
    <row r="4" spans="1:8" x14ac:dyDescent="0.3">
      <c r="A4" s="62" t="s">
        <v>300</v>
      </c>
      <c r="B4" s="65">
        <f>Entrate_Uscite!B16-Entrate_Uscite!B52</f>
        <v>28199899.920000017</v>
      </c>
      <c r="C4" s="65">
        <f>Entrate_Uscite!E16-Entrate_Uscite!E52</f>
        <v>1558584.7599999905</v>
      </c>
      <c r="D4" s="65">
        <f>Entrate_Uscite!H16-Entrate_Uscite!H52</f>
        <v>198915435.90999997</v>
      </c>
      <c r="E4" s="65">
        <f>Entrate_Uscite!K16-Entrate_Uscite!K52</f>
        <v>17122868.560000062</v>
      </c>
      <c r="F4" s="65">
        <f>Entrate_Uscite!N16-Entrate_Uscite!N52</f>
        <v>4728633.1799999475</v>
      </c>
      <c r="G4" s="64">
        <f t="shared" si="0"/>
        <v>-12394235.380000114</v>
      </c>
      <c r="H4" s="65">
        <f>Entrate_Uscite!O16-Entrate_Uscite!O52</f>
        <v>-288968311.81999993</v>
      </c>
    </row>
    <row r="5" spans="1:8" x14ac:dyDescent="0.3">
      <c r="A5" s="47" t="s">
        <v>298</v>
      </c>
      <c r="B5" s="66">
        <f>SUM(Entrate_Uscite!B14:B16)-SUM(Entrate_Uscite!B50:B52)</f>
        <v>399654753.6799984</v>
      </c>
      <c r="C5" s="66">
        <f>SUM(Entrate_Uscite!E14:E16)-SUM(Entrate_Uscite!E50:E52)</f>
        <v>402339891.36000061</v>
      </c>
      <c r="D5" s="66">
        <f>SUM(Entrate_Uscite!H14:H16)-SUM(Entrate_Uscite!H50:H52)</f>
        <v>382833185.96000099</v>
      </c>
      <c r="E5" s="66">
        <f>SUM(Entrate_Uscite!K14:K16)-SUM(Entrate_Uscite!K50:K52)</f>
        <v>-198585638.87999725</v>
      </c>
      <c r="F5" s="66">
        <f>SUM(Entrate_Uscite!N14:N16)-SUM(Entrate_Uscite!N50:N52)</f>
        <v>422936166.67000198</v>
      </c>
      <c r="G5" s="66">
        <f t="shared" si="0"/>
        <v>621521805.54999924</v>
      </c>
      <c r="H5" s="66">
        <f>SUM(Entrate_Uscite!O14:O16)-SUM(Entrate_Uscite!O50:O52)</f>
        <v>-1149637682.9099998</v>
      </c>
    </row>
    <row r="6" spans="1:8" x14ac:dyDescent="0.3">
      <c r="A6" s="38" t="s">
        <v>299</v>
      </c>
      <c r="B6" s="67">
        <f>Entrate_Uscite!B58</f>
        <v>195755608.12999916</v>
      </c>
      <c r="C6" s="67">
        <f>Entrate_Uscite!E58</f>
        <v>343101382.68000031</v>
      </c>
      <c r="D6" s="67">
        <f>Entrate_Uscite!H58</f>
        <v>319474055.8900013</v>
      </c>
      <c r="E6" s="67">
        <f>Entrate_Uscite!K58</f>
        <v>-259327416.70999718</v>
      </c>
      <c r="F6" s="67">
        <f>Entrate_Uscite!N58</f>
        <v>404550349.67000198</v>
      </c>
      <c r="G6" s="67">
        <f t="shared" si="0"/>
        <v>663877766.37999916</v>
      </c>
      <c r="H6" s="67">
        <f>Entrate_Uscite!O58</f>
        <v>-1168023499.9099998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G20" sqref="G20"/>
    </sheetView>
  </sheetViews>
  <sheetFormatPr defaultRowHeight="14.4" x14ac:dyDescent="0.3"/>
  <cols>
    <col min="1" max="1" width="36.44140625" bestFit="1" customWidth="1"/>
    <col min="2" max="7" width="13.5546875" bestFit="1" customWidth="1"/>
    <col min="8" max="8" width="12.6640625" bestFit="1" customWidth="1"/>
    <col min="9" max="9" width="13.5546875" bestFit="1" customWidth="1"/>
    <col min="10" max="10" width="10" bestFit="1" customWidth="1"/>
  </cols>
  <sheetData>
    <row r="1" spans="1:9" x14ac:dyDescent="0.3">
      <c r="A1" s="41"/>
      <c r="B1" s="96">
        <v>2015</v>
      </c>
      <c r="C1" s="96">
        <v>2016</v>
      </c>
      <c r="D1" s="96">
        <v>2017</v>
      </c>
      <c r="E1" s="69">
        <v>2018</v>
      </c>
      <c r="F1" s="96">
        <v>2019</v>
      </c>
      <c r="G1" s="69">
        <v>2020</v>
      </c>
    </row>
    <row r="2" spans="1:9" x14ac:dyDescent="0.3">
      <c r="A2" t="s">
        <v>5</v>
      </c>
      <c r="B2" s="1">
        <v>1322780386.5999999</v>
      </c>
      <c r="C2" s="1">
        <v>1736769600.9200001</v>
      </c>
      <c r="D2" s="1">
        <v>1614537993.8199999</v>
      </c>
      <c r="E2" s="1">
        <v>1498345183.9200001</v>
      </c>
      <c r="F2" s="1">
        <v>2245970078.4200001</v>
      </c>
      <c r="G2" s="1">
        <v>2045739043.1700001</v>
      </c>
    </row>
    <row r="3" spans="1:9" x14ac:dyDescent="0.3">
      <c r="A3" t="s">
        <v>6</v>
      </c>
      <c r="B3" s="1">
        <v>4620189081.5799999</v>
      </c>
      <c r="C3" s="1">
        <v>6452817557.4099998</v>
      </c>
      <c r="D3" s="1">
        <v>8418542872.4300003</v>
      </c>
      <c r="E3" s="1">
        <v>9490667974.8899994</v>
      </c>
      <c r="F3" s="1">
        <v>9646010213.2700005</v>
      </c>
      <c r="G3" s="1">
        <v>11064563215.190001</v>
      </c>
    </row>
    <row r="4" spans="1:9" x14ac:dyDescent="0.3">
      <c r="A4" t="s">
        <v>7</v>
      </c>
      <c r="B4" s="1">
        <v>3681194070.3000002</v>
      </c>
      <c r="C4" s="1">
        <v>5643188113.1300001</v>
      </c>
      <c r="D4" s="1">
        <v>7176042236.9799995</v>
      </c>
      <c r="E4" s="1">
        <v>7761015312.0299997</v>
      </c>
      <c r="F4" s="1">
        <v>8844610250.2399998</v>
      </c>
      <c r="G4" s="1">
        <v>9570122927.8199997</v>
      </c>
    </row>
    <row r="5" spans="1:9" x14ac:dyDescent="0.3">
      <c r="A5" t="s">
        <v>8</v>
      </c>
      <c r="B5" s="1">
        <v>182732887.87</v>
      </c>
      <c r="C5" s="1">
        <v>130990184.72</v>
      </c>
      <c r="D5" s="1">
        <v>62206212.850000001</v>
      </c>
      <c r="E5" s="1">
        <v>62624436.130000003</v>
      </c>
      <c r="F5" s="1">
        <v>8563905.75</v>
      </c>
      <c r="G5" s="1">
        <v>5557463.1100000003</v>
      </c>
    </row>
    <row r="6" spans="1:9" x14ac:dyDescent="0.3">
      <c r="A6" t="s">
        <v>356</v>
      </c>
      <c r="B6" s="1">
        <v>222787791.88</v>
      </c>
      <c r="C6" s="1">
        <v>361263087.06</v>
      </c>
      <c r="D6" s="1">
        <v>484415855.02999997</v>
      </c>
      <c r="E6" s="1">
        <v>412825399.79000002</v>
      </c>
      <c r="F6" s="1">
        <v>153820832.43000001</v>
      </c>
      <c r="G6" s="1">
        <v>160472001.36000001</v>
      </c>
    </row>
    <row r="7" spans="1:9" x14ac:dyDescent="0.3">
      <c r="A7" s="4" t="s">
        <v>0</v>
      </c>
      <c r="B7" s="3">
        <f t="shared" ref="B7:D7" si="0">B2+B3-B4-B5-B6</f>
        <v>1856254718.1300001</v>
      </c>
      <c r="C7" s="3">
        <f t="shared" si="0"/>
        <v>2054145773.4200001</v>
      </c>
      <c r="D7" s="3">
        <f t="shared" si="0"/>
        <v>2310416561.3900003</v>
      </c>
      <c r="E7" s="3">
        <f>E2+E3-E4-E5-E6</f>
        <v>2752548010.8599997</v>
      </c>
      <c r="F7" s="3">
        <f>F2+F3-F4-F5-F6</f>
        <v>2884985303.2700009</v>
      </c>
      <c r="G7" s="3">
        <f>G2+G3-G4-G5-G6</f>
        <v>3374149866.0700006</v>
      </c>
    </row>
    <row r="8" spans="1:9" x14ac:dyDescent="0.3">
      <c r="A8" t="s">
        <v>9</v>
      </c>
      <c r="B8" s="1">
        <v>106496325.34999999</v>
      </c>
      <c r="C8" s="1">
        <v>352041531.49000001</v>
      </c>
      <c r="D8" s="1">
        <v>578111115.49000001</v>
      </c>
      <c r="E8" s="1">
        <v>638080292.21000004</v>
      </c>
      <c r="F8" s="1">
        <v>770775744.13999999</v>
      </c>
      <c r="G8" s="1">
        <v>874205675.80999994</v>
      </c>
    </row>
    <row r="9" spans="1:9" x14ac:dyDescent="0.3">
      <c r="A9" t="s">
        <v>350</v>
      </c>
      <c r="B9" s="1">
        <v>113754890.73</v>
      </c>
      <c r="C9" s="1">
        <v>37717333.100000001</v>
      </c>
      <c r="D9" s="1">
        <v>145405334.19999999</v>
      </c>
      <c r="E9" s="1">
        <v>105362999.41</v>
      </c>
      <c r="F9" s="1">
        <v>96278416.780000001</v>
      </c>
      <c r="G9" s="1">
        <v>77767057.310000002</v>
      </c>
    </row>
    <row r="10" spans="1:9" x14ac:dyDescent="0.3">
      <c r="A10" t="s">
        <v>10</v>
      </c>
      <c r="B10" s="1">
        <v>506337113.00999999</v>
      </c>
      <c r="C10" s="1">
        <v>490867978.81</v>
      </c>
      <c r="D10" s="1">
        <v>475057528.06</v>
      </c>
      <c r="E10" s="1">
        <v>458897099.92000002</v>
      </c>
      <c r="F10" s="1">
        <v>566484356.82000005</v>
      </c>
      <c r="G10" s="1">
        <v>549597010.78999996</v>
      </c>
    </row>
    <row r="11" spans="1:9" x14ac:dyDescent="0.3">
      <c r="A11" t="s">
        <v>11</v>
      </c>
      <c r="B11" s="1">
        <v>72900000</v>
      </c>
      <c r="C11" s="1">
        <v>72900000</v>
      </c>
      <c r="D11" s="1">
        <v>43502749.200000003</v>
      </c>
      <c r="E11" s="1">
        <v>43502749.200000003</v>
      </c>
      <c r="F11" s="1">
        <v>64016585.189999998</v>
      </c>
      <c r="G11" s="1">
        <v>0</v>
      </c>
    </row>
    <row r="12" spans="1:9" x14ac:dyDescent="0.3">
      <c r="A12" t="s">
        <v>12</v>
      </c>
      <c r="B12" s="1">
        <v>0</v>
      </c>
      <c r="C12" s="1">
        <v>2000000</v>
      </c>
      <c r="D12" s="1">
        <v>18419634.77</v>
      </c>
      <c r="E12" s="1">
        <v>27959401.379999999</v>
      </c>
      <c r="F12" s="1">
        <v>43458240.149999999</v>
      </c>
      <c r="G12" s="1">
        <v>43497754.229999997</v>
      </c>
    </row>
    <row r="13" spans="1:9" x14ac:dyDescent="0.3">
      <c r="A13" t="s">
        <v>13</v>
      </c>
      <c r="B13" s="1">
        <v>18500000</v>
      </c>
      <c r="C13" s="1">
        <v>10595000</v>
      </c>
      <c r="D13" s="1">
        <v>3422000</v>
      </c>
      <c r="E13" s="1">
        <v>3016495.21</v>
      </c>
      <c r="F13" s="1">
        <v>4782990.42</v>
      </c>
      <c r="G13" s="1">
        <v>127424730.95000005</v>
      </c>
    </row>
    <row r="14" spans="1:9" x14ac:dyDescent="0.3">
      <c r="A14" s="4" t="s">
        <v>1</v>
      </c>
      <c r="B14" s="3">
        <f t="shared" ref="B14:D14" si="1">SUM(B8:B13)</f>
        <v>817988329.08999991</v>
      </c>
      <c r="C14" s="3">
        <f t="shared" si="1"/>
        <v>966121843.4000001</v>
      </c>
      <c r="D14" s="3">
        <f t="shared" si="1"/>
        <v>1263918361.72</v>
      </c>
      <c r="E14" s="3">
        <f>SUM(E8:E13)</f>
        <v>1276819037.3300002</v>
      </c>
      <c r="F14" s="3">
        <f>SUM(F8:F13)</f>
        <v>1545796333.5000002</v>
      </c>
      <c r="G14" s="3">
        <f>SUM(G8:G13)</f>
        <v>1672492229.0899999</v>
      </c>
      <c r="H14" s="98"/>
      <c r="I14" s="98"/>
    </row>
    <row r="15" spans="1:9" x14ac:dyDescent="0.3">
      <c r="A15" t="s">
        <v>15</v>
      </c>
      <c r="B15" s="1">
        <v>1262650457.49</v>
      </c>
      <c r="C15" s="1">
        <v>180092481.66999999</v>
      </c>
      <c r="D15" s="1">
        <v>160021111.05000001</v>
      </c>
      <c r="E15" s="1">
        <v>511906704.94</v>
      </c>
      <c r="F15" s="1">
        <v>152418718.43000001</v>
      </c>
      <c r="G15" s="1">
        <v>298563401.44</v>
      </c>
    </row>
    <row r="16" spans="1:9" x14ac:dyDescent="0.3">
      <c r="A16" t="s">
        <v>14</v>
      </c>
      <c r="B16" s="1">
        <v>219809249.94</v>
      </c>
      <c r="C16" s="1">
        <v>1289042457.1199999</v>
      </c>
      <c r="D16" s="1">
        <v>1335390147.5</v>
      </c>
      <c r="E16" s="1">
        <v>1230579139.26</v>
      </c>
      <c r="F16" s="1">
        <v>1162022529.79</v>
      </c>
      <c r="G16" s="1">
        <v>1261134292.72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3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311214781.24000001</v>
      </c>
      <c r="G18" s="1">
        <v>396613853.08999997</v>
      </c>
    </row>
    <row r="19" spans="1:7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4" t="s">
        <v>2</v>
      </c>
      <c r="B20" s="3">
        <f t="shared" ref="B20:D20" si="2">SUM(B15:B19)</f>
        <v>1482459707.4300001</v>
      </c>
      <c r="C20" s="3">
        <f t="shared" si="2"/>
        <v>1469134938.79</v>
      </c>
      <c r="D20" s="3">
        <f t="shared" si="2"/>
        <v>1495411258.55</v>
      </c>
      <c r="E20" s="3">
        <f>SUM(E15:E19)</f>
        <v>1742485844.2</v>
      </c>
      <c r="F20" s="3">
        <f>SUM(F15:F19)</f>
        <v>1625656029.46</v>
      </c>
      <c r="G20" s="3">
        <f>SUM(G15:G19)</f>
        <v>1956311547.25</v>
      </c>
    </row>
    <row r="21" spans="1:7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:C22" si="3">B7-B14-B20-B21</f>
        <v>-444193318.38999987</v>
      </c>
      <c r="C22" s="37">
        <f t="shared" si="3"/>
        <v>-381111008.76999998</v>
      </c>
      <c r="D22" s="37">
        <f>D7-D14-D20-D21</f>
        <v>-448913058.87999964</v>
      </c>
      <c r="E22" s="37">
        <f>E7-E14-E20-E21</f>
        <v>-266756870.67000055</v>
      </c>
      <c r="F22" s="37">
        <f>F7-F14-F20-F21</f>
        <v>-286467059.68999934</v>
      </c>
      <c r="G22" s="37">
        <f>G7-G14-G20-G21</f>
        <v>-254653910.26999927</v>
      </c>
    </row>
    <row r="23" spans="1:7" x14ac:dyDescent="0.3">
      <c r="B23" s="1"/>
      <c r="C23" s="1">
        <v>-65203273.119999997</v>
      </c>
      <c r="D23" s="1">
        <v>-94172029.739999995</v>
      </c>
      <c r="E23" s="1">
        <v>-212768717.31999999</v>
      </c>
      <c r="F23" s="1">
        <v>-212768717.31999999</v>
      </c>
      <c r="G23" s="1">
        <v>-77213676.989999995</v>
      </c>
    </row>
    <row r="24" spans="1:7" x14ac:dyDescent="0.3">
      <c r="A24" t="s">
        <v>366</v>
      </c>
      <c r="B24" s="6">
        <f t="shared" ref="B24:E24" si="4">B8/B3*100</f>
        <v>2.3050209303031526</v>
      </c>
      <c r="C24" s="6">
        <f t="shared" si="4"/>
        <v>5.4556250561545507</v>
      </c>
      <c r="D24" s="6">
        <f t="shared" si="4"/>
        <v>6.8671161298383829</v>
      </c>
      <c r="E24" s="6">
        <f t="shared" si="4"/>
        <v>6.7232390164549569</v>
      </c>
      <c r="F24" s="6">
        <f t="shared" ref="F24:G24" si="5">F8/F3*100</f>
        <v>7.9906171266504051</v>
      </c>
      <c r="G24" s="6">
        <f t="shared" si="5"/>
        <v>7.90095061872705</v>
      </c>
    </row>
    <row r="25" spans="1:7" x14ac:dyDescent="0.3">
      <c r="A25" t="s">
        <v>357</v>
      </c>
    </row>
    <row r="52" spans="1:7" x14ac:dyDescent="0.3">
      <c r="A52" t="s">
        <v>13</v>
      </c>
      <c r="B52" s="1">
        <f t="shared" ref="B52:E52" si="6">SUM(B11:B13)</f>
        <v>91400000</v>
      </c>
      <c r="C52" s="1">
        <f t="shared" si="6"/>
        <v>85495000</v>
      </c>
      <c r="D52" s="1">
        <f t="shared" si="6"/>
        <v>65344383.969999999</v>
      </c>
      <c r="E52" s="1">
        <f t="shared" si="6"/>
        <v>74478645.789999992</v>
      </c>
      <c r="F52" s="1">
        <f t="shared" ref="F52:G52" si="7">SUM(F11:F13)</f>
        <v>112257815.76000001</v>
      </c>
      <c r="G52" s="1">
        <f t="shared" si="7"/>
        <v>170922485.18000004</v>
      </c>
    </row>
  </sheetData>
  <conditionalFormatting sqref="C22:E22 G22">
    <cfRule type="cellIs" dxfId="64" priority="18" operator="greaterThan">
      <formula>0</formula>
    </cfRule>
  </conditionalFormatting>
  <conditionalFormatting sqref="C22:E22 G22">
    <cfRule type="cellIs" dxfId="63" priority="15" operator="greaterThan">
      <formula>0</formula>
    </cfRule>
    <cfRule type="cellIs" dxfId="62" priority="16" operator="lessThan">
      <formula>0</formula>
    </cfRule>
  </conditionalFormatting>
  <conditionalFormatting sqref="B22">
    <cfRule type="cellIs" dxfId="61" priority="9" operator="greaterThan">
      <formula>0</formula>
    </cfRule>
  </conditionalFormatting>
  <conditionalFormatting sqref="B22">
    <cfRule type="cellIs" dxfId="60" priority="7" operator="greaterThan">
      <formula>0</formula>
    </cfRule>
    <cfRule type="cellIs" dxfId="59" priority="8" operator="lessThan">
      <formula>0</formula>
    </cfRule>
  </conditionalFormatting>
  <conditionalFormatting sqref="F22">
    <cfRule type="cellIs" dxfId="58" priority="3" operator="greaterThan">
      <formula>0</formula>
    </cfRule>
  </conditionalFormatting>
  <conditionalFormatting sqref="F22">
    <cfRule type="cellIs" dxfId="57" priority="1" operator="greaterThan">
      <formula>0</formula>
    </cfRule>
    <cfRule type="cellIs" dxfId="56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G27" sqref="G27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3.5546875" bestFit="1" customWidth="1"/>
  </cols>
  <sheetData>
    <row r="1" spans="1:8" x14ac:dyDescent="0.3">
      <c r="C1" s="100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265</v>
      </c>
    </row>
    <row r="2" spans="1:8" x14ac:dyDescent="0.3">
      <c r="A2" t="s">
        <v>235</v>
      </c>
      <c r="B2" s="26" t="s">
        <v>259</v>
      </c>
      <c r="C2" s="1">
        <v>5948025773.0500002</v>
      </c>
      <c r="D2" s="1">
        <v>6549724094.8299999</v>
      </c>
      <c r="E2" s="1">
        <v>6503790242.71</v>
      </c>
      <c r="F2" s="1">
        <v>6636645469.5600004</v>
      </c>
      <c r="G2" s="1">
        <v>6651140349.9099998</v>
      </c>
      <c r="H2" s="1">
        <f>G2-F2</f>
        <v>14494880.349999428</v>
      </c>
    </row>
    <row r="3" spans="1:8" x14ac:dyDescent="0.3">
      <c r="A3" t="s">
        <v>236</v>
      </c>
      <c r="B3" s="26" t="s">
        <v>259</v>
      </c>
      <c r="C3" s="1">
        <v>383727476.01999998</v>
      </c>
      <c r="D3" s="1">
        <v>383727476.01999998</v>
      </c>
      <c r="E3" s="1">
        <v>383727476.01999998</v>
      </c>
      <c r="F3" s="1">
        <v>383727476.01999998</v>
      </c>
      <c r="G3" s="1">
        <v>383727476.01999998</v>
      </c>
      <c r="H3" s="1">
        <f t="shared" ref="H3:H28" si="0">G3-F3</f>
        <v>0</v>
      </c>
    </row>
    <row r="4" spans="1:8" x14ac:dyDescent="0.3">
      <c r="A4" t="s">
        <v>237</v>
      </c>
      <c r="B4" s="26" t="s">
        <v>259</v>
      </c>
      <c r="C4" s="1">
        <v>3346625052.4299998</v>
      </c>
      <c r="D4" s="1">
        <v>4724212249.8400002</v>
      </c>
      <c r="E4" s="1">
        <v>3880261936.3000002</v>
      </c>
      <c r="F4" s="1">
        <v>4650319578.2299995</v>
      </c>
      <c r="G4" s="1">
        <v>5003362534.5100002</v>
      </c>
      <c r="H4" s="1">
        <f t="shared" si="0"/>
        <v>353042956.28000069</v>
      </c>
    </row>
    <row r="5" spans="1:8" x14ac:dyDescent="0.3">
      <c r="A5" t="s">
        <v>238</v>
      </c>
      <c r="B5" s="26" t="s">
        <v>259</v>
      </c>
      <c r="C5" s="1">
        <v>6890775.25</v>
      </c>
      <c r="D5" s="1">
        <v>4926412.26</v>
      </c>
      <c r="E5" s="1">
        <v>5348346.4800000004</v>
      </c>
      <c r="F5" s="1">
        <v>6060338.6799999997</v>
      </c>
      <c r="G5" s="1">
        <v>6791470.6799999997</v>
      </c>
      <c r="H5" s="1">
        <f t="shared" si="0"/>
        <v>731132</v>
      </c>
    </row>
    <row r="6" spans="1:8" x14ac:dyDescent="0.3">
      <c r="A6" t="s">
        <v>239</v>
      </c>
      <c r="B6" s="26" t="s">
        <v>259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240</v>
      </c>
      <c r="B7" s="26" t="s">
        <v>259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241</v>
      </c>
      <c r="B8" s="26" t="s">
        <v>259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242</v>
      </c>
      <c r="B9" s="33" t="s">
        <v>259</v>
      </c>
      <c r="C9" s="34">
        <v>134297198.49000001</v>
      </c>
      <c r="D9" s="34">
        <v>430446786.32999998</v>
      </c>
      <c r="E9" s="34">
        <v>128840808.19</v>
      </c>
      <c r="F9" s="34">
        <v>73382243.189999998</v>
      </c>
      <c r="G9" s="34">
        <v>138726603.90000001</v>
      </c>
      <c r="H9" s="1">
        <f t="shared" si="0"/>
        <v>65344360.710000008</v>
      </c>
    </row>
    <row r="10" spans="1:8" x14ac:dyDescent="0.3">
      <c r="A10" s="35" t="s">
        <v>263</v>
      </c>
      <c r="B10" s="36" t="s">
        <v>259</v>
      </c>
      <c r="C10" s="94">
        <f t="shared" ref="C10" si="1">SUM(C2:C9)</f>
        <v>9819566275.2399998</v>
      </c>
      <c r="D10" s="94">
        <f t="shared" ref="D10:E10" si="2">SUM(D2:D9)</f>
        <v>12093037019.280001</v>
      </c>
      <c r="E10" s="94">
        <f t="shared" si="2"/>
        <v>10901968809.699999</v>
      </c>
      <c r="F10" s="94">
        <f t="shared" ref="F10:G10" si="3">SUM(F2:F9)</f>
        <v>11750135105.68</v>
      </c>
      <c r="G10" s="94">
        <f t="shared" si="3"/>
        <v>12183748435.02</v>
      </c>
      <c r="H10" s="11">
        <f t="shared" si="0"/>
        <v>433613329.34000015</v>
      </c>
    </row>
    <row r="11" spans="1:8" x14ac:dyDescent="0.3">
      <c r="A11" t="s">
        <v>243</v>
      </c>
      <c r="B11" s="26" t="s">
        <v>260</v>
      </c>
      <c r="C11" s="1">
        <v>1724732</v>
      </c>
      <c r="D11" s="1">
        <v>2344963.35</v>
      </c>
      <c r="E11" s="1">
        <v>1394035.72</v>
      </c>
      <c r="F11" s="1">
        <v>2040908.43</v>
      </c>
      <c r="G11" s="1">
        <v>115970198.14</v>
      </c>
      <c r="H11" s="1">
        <f t="shared" si="0"/>
        <v>113929289.70999999</v>
      </c>
    </row>
    <row r="12" spans="1:8" x14ac:dyDescent="0.3">
      <c r="A12" t="s">
        <v>244</v>
      </c>
      <c r="B12" s="26" t="s">
        <v>260</v>
      </c>
      <c r="C12" s="1">
        <v>468245787.00999999</v>
      </c>
      <c r="D12" s="1">
        <v>536765950.95999998</v>
      </c>
      <c r="E12" s="1">
        <v>494272390.37</v>
      </c>
      <c r="F12" s="1">
        <v>510316624.19</v>
      </c>
      <c r="G12" s="1">
        <v>919993504.27999997</v>
      </c>
      <c r="H12" s="1">
        <f t="shared" si="0"/>
        <v>409676880.08999997</v>
      </c>
    </row>
    <row r="13" spans="1:8" x14ac:dyDescent="0.3">
      <c r="A13" t="s">
        <v>245</v>
      </c>
      <c r="B13" s="26" t="s">
        <v>260</v>
      </c>
      <c r="C13" s="1">
        <v>1867212.78</v>
      </c>
      <c r="D13" s="1">
        <v>1909394.91</v>
      </c>
      <c r="E13" s="1">
        <v>1678796.26</v>
      </c>
      <c r="F13" s="1">
        <v>1564845.85</v>
      </c>
      <c r="G13" s="1">
        <v>3411639.07</v>
      </c>
      <c r="H13" s="1">
        <f t="shared" si="0"/>
        <v>1846793.2199999997</v>
      </c>
    </row>
    <row r="14" spans="1:8" x14ac:dyDescent="0.3">
      <c r="A14" t="s">
        <v>246</v>
      </c>
      <c r="B14" s="26" t="s">
        <v>260</v>
      </c>
      <c r="C14" s="1">
        <v>9325791285.6399994</v>
      </c>
      <c r="D14" s="1">
        <v>10414117974</v>
      </c>
      <c r="E14" s="1">
        <v>9858192263.2099991</v>
      </c>
      <c r="F14" s="1">
        <v>10700741443.08</v>
      </c>
      <c r="G14" s="1">
        <v>10824125823.98</v>
      </c>
      <c r="H14" s="1">
        <f t="shared" si="0"/>
        <v>123384380.89999962</v>
      </c>
    </row>
    <row r="15" spans="1:8" x14ac:dyDescent="0.3">
      <c r="A15" t="s">
        <v>247</v>
      </c>
      <c r="B15" s="26" t="s">
        <v>260</v>
      </c>
      <c r="C15" s="1">
        <v>151155606.72999999</v>
      </c>
      <c r="D15" s="1">
        <v>158305596.44999999</v>
      </c>
      <c r="E15" s="1">
        <v>156176736.43000001</v>
      </c>
      <c r="F15" s="1">
        <v>165064272.22999999</v>
      </c>
      <c r="G15" s="1">
        <v>154798155.05000001</v>
      </c>
      <c r="H15" s="1">
        <f t="shared" si="0"/>
        <v>-10266117.179999977</v>
      </c>
    </row>
    <row r="16" spans="1:8" x14ac:dyDescent="0.3">
      <c r="A16" t="s">
        <v>248</v>
      </c>
      <c r="B16" s="26" t="s">
        <v>260</v>
      </c>
      <c r="C16" s="1">
        <v>16931376.239999998</v>
      </c>
      <c r="D16" s="1">
        <v>249186084.69</v>
      </c>
      <c r="E16" s="1">
        <v>80893937.409999996</v>
      </c>
      <c r="F16" s="1">
        <v>156663859.97</v>
      </c>
      <c r="G16" s="1">
        <v>128779866.25</v>
      </c>
      <c r="H16" s="1">
        <f t="shared" si="0"/>
        <v>-27883993.719999999</v>
      </c>
    </row>
    <row r="17" spans="1:8" x14ac:dyDescent="0.3">
      <c r="A17" t="s">
        <v>249</v>
      </c>
      <c r="B17" s="26" t="s">
        <v>260</v>
      </c>
      <c r="C17" s="1">
        <v>0</v>
      </c>
      <c r="D17" s="1">
        <v>0</v>
      </c>
      <c r="E17" s="1">
        <v>0</v>
      </c>
      <c r="F17" s="1">
        <v>-218562.82</v>
      </c>
      <c r="G17" s="1">
        <v>5189.74</v>
      </c>
      <c r="H17" s="1">
        <f t="shared" si="0"/>
        <v>223752.56</v>
      </c>
    </row>
    <row r="18" spans="1:8" x14ac:dyDescent="0.3">
      <c r="A18" t="s">
        <v>250</v>
      </c>
      <c r="B18" s="26" t="s">
        <v>260</v>
      </c>
      <c r="C18" s="1">
        <v>613725422.13</v>
      </c>
      <c r="D18" s="1">
        <v>72081824.099999994</v>
      </c>
      <c r="E18" s="1">
        <v>0</v>
      </c>
      <c r="F18" s="1">
        <v>145366426.87</v>
      </c>
      <c r="G18" s="1">
        <v>41777323.390000001</v>
      </c>
      <c r="H18" s="1">
        <f t="shared" si="0"/>
        <v>-103589103.48</v>
      </c>
    </row>
    <row r="19" spans="1:8" x14ac:dyDescent="0.3">
      <c r="A19" t="s">
        <v>13</v>
      </c>
      <c r="B19" s="26" t="s">
        <v>260</v>
      </c>
      <c r="C19" s="1">
        <v>352041531.49000001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0</v>
      </c>
    </row>
    <row r="20" spans="1:8" x14ac:dyDescent="0.3">
      <c r="A20" s="32" t="s">
        <v>251</v>
      </c>
      <c r="B20" s="33" t="s">
        <v>260</v>
      </c>
      <c r="C20" s="34">
        <v>24076021.600000001</v>
      </c>
      <c r="D20" s="34">
        <v>24768514.600000001</v>
      </c>
      <c r="E20" s="34">
        <v>35344088.380000003</v>
      </c>
      <c r="F20" s="34">
        <v>31615301.059999999</v>
      </c>
      <c r="G20" s="34">
        <v>19000182.800000001</v>
      </c>
      <c r="H20" s="1">
        <f t="shared" si="0"/>
        <v>-12615118.259999998</v>
      </c>
    </row>
    <row r="21" spans="1:8" x14ac:dyDescent="0.3">
      <c r="A21" s="35" t="s">
        <v>264</v>
      </c>
      <c r="B21" s="36" t="s">
        <v>260</v>
      </c>
      <c r="C21" s="94">
        <f>SUM(C11:C20)</f>
        <v>10955558975.619999</v>
      </c>
      <c r="D21" s="94">
        <f t="shared" ref="D21:E21" si="4">SUM(D11:D20)</f>
        <v>11459480303.060001</v>
      </c>
      <c r="E21" s="94">
        <f t="shared" si="4"/>
        <v>10627952247.779999</v>
      </c>
      <c r="F21" s="94">
        <f t="shared" ref="F21:G21" si="5">SUM(F11:F20)</f>
        <v>11713155118.859999</v>
      </c>
      <c r="G21" s="94">
        <f t="shared" si="5"/>
        <v>12207861882.699997</v>
      </c>
      <c r="H21" s="11">
        <f t="shared" si="0"/>
        <v>494706763.83999825</v>
      </c>
    </row>
    <row r="22" spans="1:8" x14ac:dyDescent="0.3">
      <c r="A22" t="s">
        <v>252</v>
      </c>
      <c r="B22" s="26" t="s">
        <v>259</v>
      </c>
      <c r="C22" s="1">
        <v>8431689.4299999997</v>
      </c>
      <c r="D22" s="1">
        <v>3780615.23</v>
      </c>
      <c r="E22" s="1">
        <v>3816051.72</v>
      </c>
      <c r="F22" s="1">
        <v>14430186.59</v>
      </c>
      <c r="G22" s="1">
        <v>2697733.49</v>
      </c>
      <c r="H22" s="1">
        <f t="shared" si="0"/>
        <v>-11732453.1</v>
      </c>
    </row>
    <row r="23" spans="1:8" x14ac:dyDescent="0.3">
      <c r="A23" t="s">
        <v>253</v>
      </c>
      <c r="B23" s="26" t="s">
        <v>260</v>
      </c>
      <c r="C23" s="1">
        <v>56541931.549999997</v>
      </c>
      <c r="D23" s="1">
        <v>48855171.68</v>
      </c>
      <c r="E23" s="1">
        <v>46184388.060000002</v>
      </c>
      <c r="F23" s="1">
        <v>43679537.25</v>
      </c>
      <c r="G23" s="1">
        <v>41056181.890000001</v>
      </c>
      <c r="H23" s="1">
        <f t="shared" si="0"/>
        <v>-2623355.3599999994</v>
      </c>
    </row>
    <row r="24" spans="1:8" x14ac:dyDescent="0.3">
      <c r="A24" t="s">
        <v>254</v>
      </c>
      <c r="B24" s="26" t="s">
        <v>259</v>
      </c>
      <c r="C24" s="1">
        <v>-943880.3</v>
      </c>
      <c r="D24" s="1">
        <v>0</v>
      </c>
      <c r="E24" s="1">
        <v>-252684737.88</v>
      </c>
      <c r="F24" s="1">
        <v>-1841267.76</v>
      </c>
      <c r="G24" s="1">
        <v>-21339172.039999999</v>
      </c>
      <c r="H24" s="1">
        <f t="shared" si="0"/>
        <v>-19497904.279999997</v>
      </c>
    </row>
    <row r="25" spans="1:8" x14ac:dyDescent="0.3">
      <c r="A25" t="s">
        <v>255</v>
      </c>
      <c r="B25" s="26" t="s">
        <v>259</v>
      </c>
      <c r="C25" s="1">
        <v>879444125.72000003</v>
      </c>
      <c r="D25" s="1">
        <v>118162808.40000001</v>
      </c>
      <c r="E25" s="1">
        <v>435137017.81</v>
      </c>
      <c r="F25" s="1">
        <v>248012225.44</v>
      </c>
      <c r="G25" s="1">
        <v>263436255.09</v>
      </c>
      <c r="H25" s="1">
        <f t="shared" si="0"/>
        <v>15424029.650000006</v>
      </c>
    </row>
    <row r="26" spans="1:8" x14ac:dyDescent="0.3">
      <c r="A26" t="s">
        <v>256</v>
      </c>
      <c r="B26" s="26" t="s">
        <v>260</v>
      </c>
      <c r="C26" s="1">
        <v>264769528.25</v>
      </c>
      <c r="D26" s="1">
        <v>349927713.69999999</v>
      </c>
      <c r="E26" s="1">
        <v>456562667.69</v>
      </c>
      <c r="F26" s="1">
        <v>193830483.86000001</v>
      </c>
      <c r="G26" s="1">
        <v>133194591</v>
      </c>
      <c r="H26" s="1">
        <f t="shared" si="0"/>
        <v>-60635892.860000014</v>
      </c>
    </row>
    <row r="27" spans="1:8" x14ac:dyDescent="0.3">
      <c r="A27" t="s">
        <v>257</v>
      </c>
      <c r="B27" s="26" t="s">
        <v>260</v>
      </c>
      <c r="C27" s="1">
        <v>8762067.5199999996</v>
      </c>
      <c r="D27" s="1">
        <v>10098137.17</v>
      </c>
      <c r="E27" s="1">
        <v>10458739.210000001</v>
      </c>
      <c r="F27" s="1">
        <v>10341899.73</v>
      </c>
      <c r="G27" s="1">
        <v>10816421.07</v>
      </c>
      <c r="H27" s="1">
        <f t="shared" si="0"/>
        <v>474521.33999999985</v>
      </c>
    </row>
    <row r="28" spans="1:8" x14ac:dyDescent="0.3">
      <c r="A28" s="10" t="s">
        <v>258</v>
      </c>
      <c r="B28" s="36" t="s">
        <v>261</v>
      </c>
      <c r="C28" s="37">
        <f>C10-C21+C22-C23+C24+C25-C26-C27</f>
        <v>-579134292.84999895</v>
      </c>
      <c r="D28" s="37">
        <f t="shared" ref="D28:E28" si="6">D10-D21+D22-D23+D24+D25-D26-D27</f>
        <v>346619117.29999936</v>
      </c>
      <c r="E28" s="37">
        <f t="shared" si="6"/>
        <v>-52920901.389999889</v>
      </c>
      <c r="F28" s="37">
        <f t="shared" ref="F28:G28" si="7">F10-F21+F22-F23+F24+F25-F26-F27</f>
        <v>49729210.250001594</v>
      </c>
      <c r="G28" s="37">
        <f t="shared" si="7"/>
        <v>35614174.900003515</v>
      </c>
      <c r="H28" s="37">
        <f t="shared" si="0"/>
        <v>-14115035.349998079</v>
      </c>
    </row>
  </sheetData>
  <conditionalFormatting sqref="C28:E28 G28:H28">
    <cfRule type="cellIs" dxfId="55" priority="17" operator="greaterThan">
      <formula>0</formula>
    </cfRule>
  </conditionalFormatting>
  <conditionalFormatting sqref="C28:E28 G28">
    <cfRule type="cellIs" dxfId="54" priority="14" operator="greaterThan">
      <formula>0</formula>
    </cfRule>
  </conditionalFormatting>
  <conditionalFormatting sqref="F28">
    <cfRule type="cellIs" dxfId="53" priority="3" operator="greaterThan">
      <formula>0</formula>
    </cfRule>
  </conditionalFormatting>
  <conditionalFormatting sqref="F28">
    <cfRule type="cellIs" dxfId="52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D20" sqref="D20"/>
    </sheetView>
  </sheetViews>
  <sheetFormatPr defaultRowHeight="14.4" x14ac:dyDescent="0.3"/>
  <cols>
    <col min="1" max="1" width="50.6640625" bestFit="1" customWidth="1"/>
    <col min="2" max="6" width="14.33203125" bestFit="1" customWidth="1"/>
    <col min="7" max="7" width="14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265</v>
      </c>
    </row>
    <row r="2" spans="1:7" x14ac:dyDescent="0.3">
      <c r="A2" s="71" t="s">
        <v>342</v>
      </c>
      <c r="B2" s="64">
        <f>Conto_economico!C10</f>
        <v>9819566275.2399998</v>
      </c>
      <c r="C2" s="64">
        <f>Conto_economico!D10</f>
        <v>12093037019.280001</v>
      </c>
      <c r="D2" s="64">
        <f>Conto_economico!E10</f>
        <v>10901968809.699999</v>
      </c>
      <c r="E2" s="64">
        <f>Conto_economico!F10</f>
        <v>11750135105.68</v>
      </c>
      <c r="F2" s="64">
        <f>Conto_economico!G10</f>
        <v>12183748435.02</v>
      </c>
      <c r="G2" s="64">
        <f>F2-E2</f>
        <v>433613329.34000015</v>
      </c>
    </row>
    <row r="3" spans="1:7" x14ac:dyDescent="0.3">
      <c r="A3" s="71" t="s">
        <v>337</v>
      </c>
      <c r="B3" s="64">
        <f>Conto_economico!C2</f>
        <v>5948025773.0500002</v>
      </c>
      <c r="C3" s="64">
        <f>Conto_economico!D2</f>
        <v>6549724094.8299999</v>
      </c>
      <c r="D3" s="64">
        <f>Conto_economico!E2</f>
        <v>6503790242.71</v>
      </c>
      <c r="E3" s="64">
        <f>Conto_economico!F2</f>
        <v>6636645469.5600004</v>
      </c>
      <c r="F3" s="64">
        <f>Conto_economico!G2</f>
        <v>6651140349.9099998</v>
      </c>
      <c r="G3" s="64">
        <f t="shared" ref="G3:G15" si="0">F3-E3</f>
        <v>14494880.349999428</v>
      </c>
    </row>
    <row r="4" spans="1:7" x14ac:dyDescent="0.3">
      <c r="A4" s="71" t="s">
        <v>338</v>
      </c>
      <c r="B4" s="64">
        <f>Conto_economico!C4</f>
        <v>3346625052.4299998</v>
      </c>
      <c r="C4" s="64">
        <f>Conto_economico!D4</f>
        <v>4724212249.8400002</v>
      </c>
      <c r="D4" s="64">
        <f>Conto_economico!E4</f>
        <v>3880261936.3000002</v>
      </c>
      <c r="E4" s="64">
        <f>Conto_economico!F4</f>
        <v>4650319578.2299995</v>
      </c>
      <c r="F4" s="64">
        <f>Conto_economico!G4</f>
        <v>5003362534.5100002</v>
      </c>
      <c r="G4" s="64">
        <f t="shared" si="0"/>
        <v>353042956.28000069</v>
      </c>
    </row>
    <row r="5" spans="1:7" x14ac:dyDescent="0.3">
      <c r="A5" s="71" t="s">
        <v>343</v>
      </c>
      <c r="B5" s="65">
        <f>Conto_economico!C21</f>
        <v>10955558975.619999</v>
      </c>
      <c r="C5" s="65">
        <f>Conto_economico!D21</f>
        <v>11459480303.060001</v>
      </c>
      <c r="D5" s="65">
        <f>Conto_economico!E21</f>
        <v>10627952247.779999</v>
      </c>
      <c r="E5" s="65">
        <f>Conto_economico!F21</f>
        <v>11713155118.859999</v>
      </c>
      <c r="F5" s="65">
        <f>Conto_economico!G21</f>
        <v>12207861882.699997</v>
      </c>
      <c r="G5" s="64">
        <f t="shared" si="0"/>
        <v>494706763.83999825</v>
      </c>
    </row>
    <row r="6" spans="1:7" x14ac:dyDescent="0.3">
      <c r="A6" s="71" t="s">
        <v>339</v>
      </c>
      <c r="B6" s="64">
        <f>Conto_economico!C12</f>
        <v>468245787.00999999</v>
      </c>
      <c r="C6" s="64">
        <f>Conto_economico!D12</f>
        <v>536765950.95999998</v>
      </c>
      <c r="D6" s="64">
        <f>Conto_economico!E12</f>
        <v>494272390.37</v>
      </c>
      <c r="E6" s="64">
        <f>Conto_economico!F12</f>
        <v>510316624.19</v>
      </c>
      <c r="F6" s="64">
        <f>Conto_economico!G12</f>
        <v>919993504.27999997</v>
      </c>
      <c r="G6" s="64">
        <f t="shared" si="0"/>
        <v>409676880.08999997</v>
      </c>
    </row>
    <row r="7" spans="1:7" x14ac:dyDescent="0.3">
      <c r="A7" s="71" t="s">
        <v>340</v>
      </c>
      <c r="B7" s="64">
        <f>Conto_economico!C15</f>
        <v>151155606.72999999</v>
      </c>
      <c r="C7" s="64">
        <f>Conto_economico!D15</f>
        <v>158305596.44999999</v>
      </c>
      <c r="D7" s="64">
        <f>Conto_economico!E15</f>
        <v>156176736.43000001</v>
      </c>
      <c r="E7" s="64">
        <f>Conto_economico!F15</f>
        <v>165064272.22999999</v>
      </c>
      <c r="F7" s="64">
        <f>Conto_economico!G15</f>
        <v>154798155.05000001</v>
      </c>
      <c r="G7" s="64">
        <f t="shared" si="0"/>
        <v>-10266117.179999977</v>
      </c>
    </row>
    <row r="8" spans="1:7" x14ac:dyDescent="0.3">
      <c r="A8" s="71" t="s">
        <v>341</v>
      </c>
      <c r="B8" s="64">
        <f>Conto_economico!C16</f>
        <v>16931376.239999998</v>
      </c>
      <c r="C8" s="64">
        <f>Conto_economico!D16</f>
        <v>249186084.69</v>
      </c>
      <c r="D8" s="64">
        <f>Conto_economico!E16</f>
        <v>80893937.409999996</v>
      </c>
      <c r="E8" s="64">
        <f>Conto_economico!F16</f>
        <v>156663859.97</v>
      </c>
      <c r="F8" s="64">
        <f>Conto_economico!G16</f>
        <v>128779866.25</v>
      </c>
      <c r="G8" s="64">
        <f t="shared" si="0"/>
        <v>-27883993.719999999</v>
      </c>
    </row>
    <row r="9" spans="1:7" x14ac:dyDescent="0.3">
      <c r="A9" s="47" t="s">
        <v>305</v>
      </c>
      <c r="B9" s="66">
        <f t="shared" ref="B9:D9" si="1">B2-B5</f>
        <v>-1135992700.3799992</v>
      </c>
      <c r="C9" s="66">
        <f t="shared" si="1"/>
        <v>633556716.21999931</v>
      </c>
      <c r="D9" s="66">
        <f t="shared" si="1"/>
        <v>274016561.92000008</v>
      </c>
      <c r="E9" s="66">
        <f t="shared" ref="E9:F9" si="2">E2-E5</f>
        <v>36979986.820001602</v>
      </c>
      <c r="F9" s="66">
        <f t="shared" si="2"/>
        <v>-24113447.67999649</v>
      </c>
      <c r="G9" s="66">
        <f t="shared" si="0"/>
        <v>-61093434.499998093</v>
      </c>
    </row>
    <row r="10" spans="1:7" x14ac:dyDescent="0.3">
      <c r="A10" s="71" t="s">
        <v>306</v>
      </c>
      <c r="B10" s="64">
        <f>Conto_economico!C22-Conto_economico!C23</f>
        <v>-48110242.119999997</v>
      </c>
      <c r="C10" s="64">
        <f>Conto_economico!D22-Conto_economico!D23</f>
        <v>-45074556.450000003</v>
      </c>
      <c r="D10" s="64">
        <f>Conto_economico!E22-Conto_economico!E23</f>
        <v>-42368336.340000004</v>
      </c>
      <c r="E10" s="64">
        <f>Conto_economico!F22-Conto_economico!F23</f>
        <v>-29249350.66</v>
      </c>
      <c r="F10" s="64">
        <f>Conto_economico!G22-Conto_economico!G23</f>
        <v>-38358448.399999999</v>
      </c>
      <c r="G10" s="64">
        <f t="shared" si="0"/>
        <v>-9109097.7399999984</v>
      </c>
    </row>
    <row r="11" spans="1:7" x14ac:dyDescent="0.3">
      <c r="A11" s="71" t="s">
        <v>307</v>
      </c>
      <c r="B11" s="65">
        <f>Conto_economico!C25-Conto_economico!C26</f>
        <v>614674597.47000003</v>
      </c>
      <c r="C11" s="65">
        <f>Conto_economico!D25-Conto_economico!D26</f>
        <v>-231764905.29999998</v>
      </c>
      <c r="D11" s="65">
        <f>Conto_economico!E25-Conto_economico!E26</f>
        <v>-21425649.879999995</v>
      </c>
      <c r="E11" s="65">
        <f>Conto_economico!F25-Conto_economico!F26</f>
        <v>54181741.579999983</v>
      </c>
      <c r="F11" s="65">
        <f>Conto_economico!G25-Conto_economico!G26</f>
        <v>130241664.09</v>
      </c>
      <c r="G11" s="64">
        <f t="shared" si="0"/>
        <v>76059922.51000002</v>
      </c>
    </row>
    <row r="12" spans="1:7" x14ac:dyDescent="0.3">
      <c r="A12" s="71" t="s">
        <v>254</v>
      </c>
      <c r="B12" s="65">
        <f>Conto_economico!C24</f>
        <v>-943880.3</v>
      </c>
      <c r="C12" s="65">
        <f>Conto_economico!D24</f>
        <v>0</v>
      </c>
      <c r="D12" s="65">
        <f>Conto_economico!E24</f>
        <v>-252684737.88</v>
      </c>
      <c r="E12" s="65">
        <f>Conto_economico!F24</f>
        <v>-1841267.76</v>
      </c>
      <c r="F12" s="65">
        <f>Conto_economico!G24</f>
        <v>-21339172.039999999</v>
      </c>
      <c r="G12" s="64">
        <f t="shared" si="0"/>
        <v>-19497904.279999997</v>
      </c>
    </row>
    <row r="13" spans="1:7" x14ac:dyDescent="0.3">
      <c r="A13" s="47" t="s">
        <v>308</v>
      </c>
      <c r="B13" s="66">
        <f t="shared" ref="B13:D13" si="3">SUM(B9:B12)</f>
        <v>-570372225.32999897</v>
      </c>
      <c r="C13" s="66">
        <f t="shared" si="3"/>
        <v>356717254.46999931</v>
      </c>
      <c r="D13" s="66">
        <f t="shared" si="3"/>
        <v>-42462162.179999918</v>
      </c>
      <c r="E13" s="66">
        <f t="shared" ref="E13:F13" si="4">SUM(E9:E12)</f>
        <v>60071109.980001591</v>
      </c>
      <c r="F13" s="66">
        <f t="shared" si="4"/>
        <v>46430595.970003508</v>
      </c>
      <c r="G13" s="66">
        <f t="shared" si="0"/>
        <v>-13640514.009998083</v>
      </c>
    </row>
    <row r="14" spans="1:7" x14ac:dyDescent="0.3">
      <c r="A14" s="71" t="s">
        <v>257</v>
      </c>
      <c r="B14" s="64">
        <f>Conto_economico!C27</f>
        <v>8762067.5199999996</v>
      </c>
      <c r="C14" s="64">
        <f>Conto_economico!D27</f>
        <v>10098137.17</v>
      </c>
      <c r="D14" s="64">
        <f>Conto_economico!E27</f>
        <v>10458739.210000001</v>
      </c>
      <c r="E14" s="64">
        <f>Conto_economico!F27</f>
        <v>10341899.73</v>
      </c>
      <c r="F14" s="64">
        <f>Conto_economico!G27</f>
        <v>10816421.07</v>
      </c>
      <c r="G14" s="64">
        <f t="shared" si="0"/>
        <v>474521.33999999985</v>
      </c>
    </row>
    <row r="15" spans="1:7" x14ac:dyDescent="0.3">
      <c r="A15" s="70" t="s">
        <v>258</v>
      </c>
      <c r="B15" s="67">
        <f t="shared" ref="B15:D15" si="5">B13-B14</f>
        <v>-579134292.84999895</v>
      </c>
      <c r="C15" s="67">
        <f t="shared" si="5"/>
        <v>346619117.2999993</v>
      </c>
      <c r="D15" s="67">
        <f t="shared" si="5"/>
        <v>-52920901.389999919</v>
      </c>
      <c r="E15" s="67">
        <f t="shared" ref="E15:F15" si="6">E13-E14</f>
        <v>49729210.250001594</v>
      </c>
      <c r="F15" s="67">
        <f t="shared" si="6"/>
        <v>35614174.900003508</v>
      </c>
      <c r="G15" s="67">
        <f t="shared" si="0"/>
        <v>-14115035.349998087</v>
      </c>
    </row>
  </sheetData>
  <conditionalFormatting sqref="B15:D15 F15:G15">
    <cfRule type="cellIs" dxfId="51" priority="15" operator="greaterThan">
      <formula>0</formula>
    </cfRule>
  </conditionalFormatting>
  <conditionalFormatting sqref="B9:D9 B13:D13 F13:G13 F9:G9">
    <cfRule type="cellIs" dxfId="50" priority="14" operator="lessThan">
      <formula>0</formula>
    </cfRule>
  </conditionalFormatting>
  <conditionalFormatting sqref="E15">
    <cfRule type="cellIs" dxfId="49" priority="2" operator="greaterThan">
      <formula>0</formula>
    </cfRule>
  </conditionalFormatting>
  <conditionalFormatting sqref="E13 E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B10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213</v>
      </c>
      <c r="B3" s="1">
        <v>0</v>
      </c>
      <c r="C3" s="1">
        <v>2888806.26</v>
      </c>
      <c r="D3" s="1">
        <v>0</v>
      </c>
      <c r="E3" s="1">
        <v>0</v>
      </c>
      <c r="F3" s="1">
        <v>1198666.82</v>
      </c>
      <c r="G3" s="1">
        <v>31452630.239999998</v>
      </c>
    </row>
    <row r="4" spans="1:7" x14ac:dyDescent="0.3">
      <c r="A4" s="32" t="s">
        <v>214</v>
      </c>
      <c r="B4" s="1">
        <v>867627950.57000005</v>
      </c>
      <c r="C4" s="1">
        <v>864734175.01999998</v>
      </c>
      <c r="D4" s="1">
        <v>888450923.09000003</v>
      </c>
      <c r="E4" s="1">
        <v>909990617.02999997</v>
      </c>
      <c r="F4" s="1">
        <v>916226688.82000005</v>
      </c>
      <c r="G4" s="1">
        <v>925357780.66999996</v>
      </c>
    </row>
    <row r="5" spans="1:7" x14ac:dyDescent="0.3">
      <c r="A5" s="32" t="s">
        <v>228</v>
      </c>
      <c r="B5" s="1">
        <v>64181157.799999997</v>
      </c>
      <c r="C5" s="1">
        <v>64037277.5</v>
      </c>
      <c r="D5" s="1">
        <v>1330592775.77</v>
      </c>
      <c r="E5" s="1">
        <v>1091041814.23</v>
      </c>
      <c r="F5" s="1">
        <v>1114948899.5799999</v>
      </c>
      <c r="G5" s="1">
        <v>1136906176.8099999</v>
      </c>
    </row>
    <row r="6" spans="1:7" x14ac:dyDescent="0.3">
      <c r="A6" s="32" t="s">
        <v>229</v>
      </c>
      <c r="B6" s="1">
        <v>31191431</v>
      </c>
      <c r="C6" s="1">
        <v>1497214.7</v>
      </c>
      <c r="D6" s="1">
        <v>423140.29</v>
      </c>
      <c r="E6" s="1">
        <v>2079517.52</v>
      </c>
      <c r="F6" s="1">
        <v>527363.03</v>
      </c>
      <c r="G6" s="1">
        <v>527363.03</v>
      </c>
    </row>
    <row r="7" spans="1:7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218562.82</v>
      </c>
      <c r="G8" s="1">
        <v>213373.08</v>
      </c>
    </row>
    <row r="9" spans="1:7" x14ac:dyDescent="0.3">
      <c r="A9" s="32" t="s">
        <v>215</v>
      </c>
      <c r="B9" s="1">
        <v>4058597984.7199998</v>
      </c>
      <c r="C9" s="1">
        <v>5663233908.6899996</v>
      </c>
      <c r="D9" s="1">
        <v>8006098752.7399998</v>
      </c>
      <c r="E9" s="1">
        <v>8765357205.25</v>
      </c>
      <c r="F9" s="1">
        <v>8910531444.2999992</v>
      </c>
      <c r="G9" s="1">
        <v>9919156626.3199997</v>
      </c>
    </row>
    <row r="10" spans="1:7" x14ac:dyDescent="0.3">
      <c r="A10" s="99" t="s">
        <v>359</v>
      </c>
      <c r="B10" s="1">
        <v>0</v>
      </c>
      <c r="C10" s="1">
        <v>330148618.61000001</v>
      </c>
      <c r="D10" s="1">
        <v>276475606.27999997</v>
      </c>
      <c r="E10" s="1">
        <v>412605143.99000001</v>
      </c>
      <c r="F10" s="1">
        <v>472662400.73000002</v>
      </c>
      <c r="G10" s="1">
        <v>446033673.14999998</v>
      </c>
    </row>
    <row r="11" spans="1:7" x14ac:dyDescent="0.3">
      <c r="A11" s="99" t="s">
        <v>362</v>
      </c>
      <c r="B11" s="1">
        <v>3304858493.3299999</v>
      </c>
      <c r="C11" s="1">
        <v>4548337203.1400003</v>
      </c>
      <c r="D11" s="1">
        <v>6279333515.7200003</v>
      </c>
      <c r="E11" s="1">
        <v>6658116698.9799995</v>
      </c>
      <c r="F11" s="1">
        <v>6736145983.1499996</v>
      </c>
      <c r="G11" s="1">
        <v>7379454037.0699997</v>
      </c>
    </row>
    <row r="12" spans="1:7" x14ac:dyDescent="0.3">
      <c r="A12" s="32" t="s">
        <v>232</v>
      </c>
      <c r="B12" s="1">
        <v>0</v>
      </c>
      <c r="C12" s="1">
        <v>0</v>
      </c>
      <c r="D12" s="1">
        <v>4002094.87</v>
      </c>
      <c r="E12" s="1">
        <v>3967054.87</v>
      </c>
      <c r="F12" s="1">
        <v>3967045.37</v>
      </c>
      <c r="G12" s="1">
        <v>3967045.37</v>
      </c>
    </row>
    <row r="13" spans="1:7" x14ac:dyDescent="0.3">
      <c r="A13" s="32" t="s">
        <v>216</v>
      </c>
      <c r="B13" s="1">
        <v>1894930631.49</v>
      </c>
      <c r="C13" s="1">
        <v>2015514866.3099999</v>
      </c>
      <c r="D13" s="1">
        <v>1922393065.01</v>
      </c>
      <c r="E13" s="1">
        <v>1842507933.6400001</v>
      </c>
      <c r="F13" s="1">
        <v>2613624751.0100002</v>
      </c>
      <c r="G13" s="1">
        <v>2671982239.71</v>
      </c>
    </row>
    <row r="14" spans="1:7" x14ac:dyDescent="0.3">
      <c r="A14" s="32" t="s">
        <v>217</v>
      </c>
      <c r="B14" s="1">
        <v>0</v>
      </c>
      <c r="C14" s="1">
        <v>227495.84</v>
      </c>
      <c r="D14" s="1">
        <v>49081.95</v>
      </c>
      <c r="E14" s="1">
        <v>16932.689999999999</v>
      </c>
      <c r="F14" s="1">
        <v>82178.73</v>
      </c>
      <c r="G14" s="1">
        <v>55264.24</v>
      </c>
    </row>
    <row r="15" spans="1:7" x14ac:dyDescent="0.3">
      <c r="A15" s="10" t="s">
        <v>218</v>
      </c>
      <c r="B15" s="11">
        <f t="shared" ref="B15:D15" si="0">SUM(B2:B9)+SUM(B12:B14)</f>
        <v>6916529155.5799999</v>
      </c>
      <c r="C15" s="11">
        <f t="shared" si="0"/>
        <v>8612133744.3199997</v>
      </c>
      <c r="D15" s="11">
        <f t="shared" si="0"/>
        <v>12152009833.719999</v>
      </c>
      <c r="E15" s="11">
        <f>SUM(E2:E9)+SUM(E12:E14)</f>
        <v>12614961075.230001</v>
      </c>
      <c r="F15" s="11">
        <f>SUM(F2:F9)+SUM(F12:F14)</f>
        <v>13561325600.48</v>
      </c>
      <c r="G15" s="11">
        <f>SUM(G2:G9)+SUM(G12:G14)</f>
        <v>14689618499.469999</v>
      </c>
    </row>
    <row r="16" spans="1:7" x14ac:dyDescent="0.3">
      <c r="A16" s="32" t="s">
        <v>219</v>
      </c>
      <c r="B16" s="1">
        <v>2486741303.52</v>
      </c>
      <c r="C16" s="1">
        <v>2547835894.96</v>
      </c>
      <c r="D16" s="1">
        <v>2463629016.6700001</v>
      </c>
      <c r="E16" s="1">
        <v>-31440368.640000001</v>
      </c>
      <c r="F16" s="1">
        <v>-49056951.920000002</v>
      </c>
      <c r="G16" s="1">
        <v>-39449744.479999997</v>
      </c>
    </row>
    <row r="17" spans="1:9" x14ac:dyDescent="0.3">
      <c r="A17" s="32" t="s">
        <v>220</v>
      </c>
      <c r="B17" s="1">
        <v>0</v>
      </c>
      <c r="C17" s="1">
        <v>0</v>
      </c>
      <c r="D17" s="1">
        <v>748547520.15999997</v>
      </c>
      <c r="E17" s="1">
        <v>749911344.38999999</v>
      </c>
      <c r="F17" s="1">
        <v>807591299.53999996</v>
      </c>
      <c r="G17" s="1">
        <v>865549905.76999998</v>
      </c>
    </row>
    <row r="18" spans="1:9" x14ac:dyDescent="0.3">
      <c r="A18" s="32" t="s">
        <v>221</v>
      </c>
      <c r="B18" s="1">
        <v>0</v>
      </c>
      <c r="C18" s="1">
        <v>-613800449.19000006</v>
      </c>
      <c r="D18" s="1">
        <v>346619117.30000001</v>
      </c>
      <c r="E18" s="1">
        <v>-52920901.390000001</v>
      </c>
      <c r="F18" s="1">
        <v>49729210.25</v>
      </c>
      <c r="G18" s="1">
        <v>35614174.899999999</v>
      </c>
    </row>
    <row r="19" spans="1:9" x14ac:dyDescent="0.3">
      <c r="A19" s="32" t="s">
        <v>222</v>
      </c>
      <c r="B19" s="1">
        <v>0</v>
      </c>
      <c r="C19" s="1">
        <v>614000422.13</v>
      </c>
      <c r="D19" s="1">
        <v>685807246.23000002</v>
      </c>
      <c r="E19" s="1">
        <v>533375745.70999998</v>
      </c>
      <c r="F19" s="1">
        <v>678742172.58000004</v>
      </c>
      <c r="G19" s="1">
        <v>720519495.97000003</v>
      </c>
    </row>
    <row r="20" spans="1:9" x14ac:dyDescent="0.3">
      <c r="A20" s="32" t="s">
        <v>209</v>
      </c>
      <c r="B20" s="1">
        <v>1707531390.9100001</v>
      </c>
      <c r="C20" s="1">
        <v>2439337080.3299999</v>
      </c>
      <c r="D20" s="1">
        <v>2768862551.8099999</v>
      </c>
      <c r="E20" s="1">
        <v>4147444609.1100001</v>
      </c>
      <c r="F20" s="1">
        <v>3798325462.3499999</v>
      </c>
      <c r="G20" s="1">
        <v>4060939558.0700002</v>
      </c>
    </row>
    <row r="21" spans="1:9" x14ac:dyDescent="0.3">
      <c r="A21" s="32" t="s">
        <v>223</v>
      </c>
      <c r="B21" s="1">
        <v>49827971.219999999</v>
      </c>
      <c r="C21" s="1">
        <v>75045630.150000006</v>
      </c>
      <c r="D21" s="1">
        <v>255304893.91999999</v>
      </c>
      <c r="E21" s="1">
        <v>188194640.94999999</v>
      </c>
      <c r="F21" s="1">
        <v>226941450.69</v>
      </c>
      <c r="G21" s="1">
        <v>314903559.74000001</v>
      </c>
    </row>
    <row r="22" spans="1:9" x14ac:dyDescent="0.3">
      <c r="A22" s="32" t="s">
        <v>224</v>
      </c>
      <c r="B22" s="1">
        <v>2107930468.1500001</v>
      </c>
      <c r="C22" s="1">
        <v>2914250017.1500001</v>
      </c>
      <c r="D22" s="1">
        <v>4184663208.9699998</v>
      </c>
      <c r="E22" s="1">
        <v>4692393444.9200001</v>
      </c>
      <c r="F22" s="1">
        <v>5958659515.6700001</v>
      </c>
      <c r="G22" s="1">
        <v>6313972156.3100004</v>
      </c>
    </row>
    <row r="23" spans="1:9" x14ac:dyDescent="0.3">
      <c r="A23" s="99" t="s">
        <v>360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99" t="s">
        <v>361</v>
      </c>
      <c r="B24" s="1">
        <v>1903924908.1400001</v>
      </c>
      <c r="C24" s="1">
        <v>2644122134.1999998</v>
      </c>
      <c r="D24" s="1">
        <v>3591515837.6799998</v>
      </c>
      <c r="E24" s="1">
        <v>3831956133.7399998</v>
      </c>
      <c r="F24" s="1">
        <v>4549694247.0200005</v>
      </c>
      <c r="G24" s="1">
        <v>4860602862.8500004</v>
      </c>
    </row>
    <row r="25" spans="1:9" x14ac:dyDescent="0.3">
      <c r="A25" s="32" t="s">
        <v>225</v>
      </c>
      <c r="B25" s="1">
        <v>158977342.03</v>
      </c>
      <c r="C25" s="1">
        <v>143515057.68000001</v>
      </c>
      <c r="D25" s="1">
        <v>148812125.71000001</v>
      </c>
      <c r="E25" s="1">
        <v>170003147.91</v>
      </c>
      <c r="F25" s="1">
        <v>301993739.23000002</v>
      </c>
      <c r="G25" s="1">
        <v>294720394.94</v>
      </c>
      <c r="H25" s="1"/>
      <c r="I25" s="1"/>
    </row>
    <row r="26" spans="1:9" x14ac:dyDescent="0.3">
      <c r="A26" s="32" t="s">
        <v>226</v>
      </c>
      <c r="B26" s="1">
        <v>405520679.75</v>
      </c>
      <c r="C26" s="1">
        <v>491950091.11000001</v>
      </c>
      <c r="D26" s="1">
        <v>549764152.95000005</v>
      </c>
      <c r="E26" s="1">
        <v>2217999412.27</v>
      </c>
      <c r="F26" s="1">
        <v>1788399702.0899999</v>
      </c>
      <c r="G26" s="1">
        <v>2122848998.25</v>
      </c>
    </row>
    <row r="27" spans="1:9" x14ac:dyDescent="0.3">
      <c r="A27" s="72" t="s">
        <v>227</v>
      </c>
      <c r="B27" s="3">
        <f t="shared" ref="B27:D27" si="1">SUM(B16:B26)-B23-B24</f>
        <v>6916529155.5800009</v>
      </c>
      <c r="C27" s="3">
        <f t="shared" si="1"/>
        <v>8612133744.3199997</v>
      </c>
      <c r="D27" s="3">
        <f t="shared" si="1"/>
        <v>12152009833.719999</v>
      </c>
      <c r="E27" s="3">
        <f>SUM(E16:E26)-E23-E24</f>
        <v>12614961075.23</v>
      </c>
      <c r="F27" s="3">
        <f>SUM(F16:F26)-F23-F24</f>
        <v>13561325600.48</v>
      </c>
      <c r="G27" s="3">
        <f>SUM(G16:G26)-G23-G24</f>
        <v>14689618499.469999</v>
      </c>
    </row>
    <row r="28" spans="1:9" x14ac:dyDescent="0.3">
      <c r="A28" s="10" t="s">
        <v>266</v>
      </c>
      <c r="B28" s="11">
        <f>B16+B17+B18</f>
        <v>2486741303.52</v>
      </c>
      <c r="C28" s="11">
        <f>C16+C17+C18</f>
        <v>1934035445.77</v>
      </c>
      <c r="D28" s="11">
        <f>D16+D17+D18</f>
        <v>3558795654.1300001</v>
      </c>
      <c r="E28" s="11">
        <f>E16+E17+E18</f>
        <v>665550074.36000001</v>
      </c>
      <c r="F28" s="11">
        <f>F16+F17+F18</f>
        <v>808263557.87</v>
      </c>
      <c r="G28" s="11">
        <f>G16+G17+G18</f>
        <v>861714336.18999994</v>
      </c>
    </row>
    <row r="29" spans="1:9" x14ac:dyDescent="0.3">
      <c r="E29" s="6">
        <f>E28/E27*100</f>
        <v>5.2758789376436148</v>
      </c>
      <c r="F29" s="6">
        <f>F28/F27*100</f>
        <v>5.9600630622819919</v>
      </c>
      <c r="G29" s="6">
        <f>G28/G27*100</f>
        <v>5.866145102550421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1" workbookViewId="0">
      <selection activeCell="J147" sqref="J147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5" t="s">
        <v>210</v>
      </c>
      <c r="B1" s="115"/>
      <c r="C1" s="2" t="s">
        <v>211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77</v>
      </c>
    </row>
    <row r="3" spans="1:8" x14ac:dyDescent="0.3">
      <c r="A3" s="8" t="s">
        <v>78</v>
      </c>
      <c r="B3" s="8" t="s">
        <v>79</v>
      </c>
      <c r="C3" s="9">
        <v>48</v>
      </c>
      <c r="D3" s="7">
        <v>4.2699999999999996</v>
      </c>
      <c r="E3" s="7">
        <v>3.06</v>
      </c>
      <c r="F3" s="7">
        <v>2.97</v>
      </c>
      <c r="G3" s="7">
        <v>2.97</v>
      </c>
      <c r="H3" s="7">
        <v>3.46</v>
      </c>
    </row>
    <row r="4" spans="1:8" x14ac:dyDescent="0.3">
      <c r="A4" t="s">
        <v>80</v>
      </c>
      <c r="D4" s="7"/>
      <c r="E4" s="7"/>
      <c r="F4" s="7"/>
      <c r="G4" s="7"/>
      <c r="H4" s="7"/>
    </row>
    <row r="5" spans="1:8" x14ac:dyDescent="0.3">
      <c r="A5" t="s">
        <v>81</v>
      </c>
      <c r="B5" t="s">
        <v>82</v>
      </c>
      <c r="D5" s="7">
        <v>103.1</v>
      </c>
      <c r="E5" s="7">
        <v>98.38</v>
      </c>
      <c r="F5" s="7">
        <v>100.93</v>
      </c>
      <c r="G5" s="7">
        <v>98.54</v>
      </c>
      <c r="H5" s="7">
        <v>106.69</v>
      </c>
    </row>
    <row r="6" spans="1:8" x14ac:dyDescent="0.3">
      <c r="A6" t="s">
        <v>83</v>
      </c>
      <c r="B6" t="s">
        <v>84</v>
      </c>
      <c r="D6" s="7">
        <v>98.25</v>
      </c>
      <c r="E6" s="7">
        <v>94.3</v>
      </c>
      <c r="F6" s="7">
        <v>97.79</v>
      </c>
      <c r="G6" s="7">
        <v>96.52</v>
      </c>
      <c r="H6" s="7">
        <v>97.79</v>
      </c>
    </row>
    <row r="7" spans="1:8" x14ac:dyDescent="0.3">
      <c r="A7" t="s">
        <v>85</v>
      </c>
      <c r="B7" t="s">
        <v>86</v>
      </c>
      <c r="D7" s="7">
        <v>61.59</v>
      </c>
      <c r="E7" s="7">
        <v>64.22</v>
      </c>
      <c r="F7" s="7">
        <v>63.97</v>
      </c>
      <c r="G7" s="7">
        <v>62.77</v>
      </c>
      <c r="H7" s="7">
        <v>63.64</v>
      </c>
    </row>
    <row r="8" spans="1:8" x14ac:dyDescent="0.3">
      <c r="A8" t="s">
        <v>87</v>
      </c>
      <c r="B8" t="s">
        <v>88</v>
      </c>
      <c r="D8" s="7">
        <v>58.69</v>
      </c>
      <c r="E8" s="7">
        <v>61.58</v>
      </c>
      <c r="F8" s="7">
        <v>61.98</v>
      </c>
      <c r="G8" s="7">
        <v>61.48</v>
      </c>
      <c r="H8" s="7">
        <v>59.33</v>
      </c>
    </row>
    <row r="9" spans="1:8" x14ac:dyDescent="0.3">
      <c r="A9" t="s">
        <v>89</v>
      </c>
      <c r="B9" t="s">
        <v>90</v>
      </c>
      <c r="D9" s="7">
        <v>62.66</v>
      </c>
      <c r="E9" s="7">
        <v>67.61</v>
      </c>
      <c r="F9" s="7">
        <v>70.75</v>
      </c>
      <c r="G9" s="7">
        <v>65.64</v>
      </c>
      <c r="H9" s="7">
        <v>65.89</v>
      </c>
    </row>
    <row r="10" spans="1:8" x14ac:dyDescent="0.3">
      <c r="A10" t="s">
        <v>91</v>
      </c>
      <c r="B10" t="s">
        <v>92</v>
      </c>
      <c r="D10" s="7">
        <v>64.459999999999994</v>
      </c>
      <c r="E10" s="7">
        <v>62.77</v>
      </c>
      <c r="F10" s="7">
        <v>63.82</v>
      </c>
      <c r="G10" s="7">
        <v>66.23</v>
      </c>
      <c r="H10" s="7">
        <v>66.209999999999994</v>
      </c>
    </row>
    <row r="11" spans="1:8" x14ac:dyDescent="0.3">
      <c r="A11" t="s">
        <v>93</v>
      </c>
      <c r="B11" t="s">
        <v>94</v>
      </c>
      <c r="D11" s="7">
        <v>38.229999999999997</v>
      </c>
      <c r="E11" s="7">
        <v>44.56</v>
      </c>
      <c r="F11" s="7">
        <v>44.23</v>
      </c>
      <c r="G11" s="7">
        <v>39.22</v>
      </c>
      <c r="H11" s="7">
        <v>39.549999999999997</v>
      </c>
    </row>
    <row r="12" spans="1:8" x14ac:dyDescent="0.3">
      <c r="A12" s="8" t="s">
        <v>95</v>
      </c>
      <c r="B12" s="8" t="s">
        <v>96</v>
      </c>
      <c r="C12" s="9">
        <v>22</v>
      </c>
      <c r="D12" s="7">
        <v>39.32</v>
      </c>
      <c r="E12" s="7">
        <v>41.37</v>
      </c>
      <c r="F12" s="7">
        <v>39.89</v>
      </c>
      <c r="G12" s="7">
        <v>39.57</v>
      </c>
      <c r="H12" s="7">
        <v>39.74</v>
      </c>
    </row>
    <row r="13" spans="1:8" x14ac:dyDescent="0.3">
      <c r="A13" t="s">
        <v>97</v>
      </c>
      <c r="D13" s="7"/>
      <c r="E13" s="7"/>
      <c r="F13" s="7"/>
      <c r="G13" s="7"/>
      <c r="H13" s="7"/>
    </row>
    <row r="14" spans="1:8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102</v>
      </c>
      <c r="D16" s="7"/>
      <c r="E16" s="7"/>
      <c r="F16" s="7"/>
      <c r="G16" s="7"/>
      <c r="H16" s="7"/>
    </row>
    <row r="17" spans="1:8" x14ac:dyDescent="0.3">
      <c r="A17" t="s">
        <v>103</v>
      </c>
      <c r="B17" t="s">
        <v>104</v>
      </c>
      <c r="D17" s="7">
        <v>1.56</v>
      </c>
      <c r="E17" s="7">
        <v>2</v>
      </c>
      <c r="F17" s="7">
        <v>1.98</v>
      </c>
      <c r="G17" s="7">
        <v>1.89</v>
      </c>
      <c r="H17" s="7">
        <v>1.7</v>
      </c>
    </row>
    <row r="18" spans="1:8" x14ac:dyDescent="0.3">
      <c r="A18" t="s">
        <v>105</v>
      </c>
      <c r="B18" t="s">
        <v>106</v>
      </c>
      <c r="D18" s="7">
        <v>-13.16</v>
      </c>
      <c r="E18" s="7">
        <v>20.97</v>
      </c>
      <c r="F18" s="7">
        <v>20.02</v>
      </c>
      <c r="G18" s="7">
        <v>23.89</v>
      </c>
      <c r="H18" s="7">
        <v>25.22</v>
      </c>
    </row>
    <row r="19" spans="1:8" x14ac:dyDescent="0.3">
      <c r="A19" t="s">
        <v>107</v>
      </c>
      <c r="B19" t="s">
        <v>108</v>
      </c>
      <c r="D19" s="7">
        <v>5.98</v>
      </c>
      <c r="E19" s="7">
        <v>7.85</v>
      </c>
      <c r="F19" s="7">
        <v>14.21</v>
      </c>
      <c r="G19" s="7">
        <v>12.42</v>
      </c>
      <c r="H19" s="7">
        <v>18.88</v>
      </c>
    </row>
    <row r="20" spans="1:8" x14ac:dyDescent="0.3">
      <c r="A20" t="s">
        <v>109</v>
      </c>
      <c r="B20" t="s">
        <v>110</v>
      </c>
      <c r="D20" s="7">
        <v>37.6</v>
      </c>
      <c r="E20" s="7">
        <v>39.4</v>
      </c>
      <c r="F20" s="7">
        <v>39.17</v>
      </c>
      <c r="G20" s="7">
        <v>43.62</v>
      </c>
      <c r="H20" s="7">
        <v>41.95</v>
      </c>
    </row>
    <row r="21" spans="1:8" x14ac:dyDescent="0.3">
      <c r="A21" t="s">
        <v>111</v>
      </c>
      <c r="D21" s="7"/>
      <c r="E21" s="7"/>
      <c r="F21" s="7"/>
      <c r="G21" s="7"/>
      <c r="H21" s="7"/>
    </row>
    <row r="22" spans="1:8" x14ac:dyDescent="0.3">
      <c r="A22" t="s">
        <v>112</v>
      </c>
      <c r="B22" t="s">
        <v>113</v>
      </c>
      <c r="D22" s="7">
        <v>4.42</v>
      </c>
      <c r="E22" s="7">
        <v>4.75</v>
      </c>
      <c r="F22" s="7">
        <v>4.46</v>
      </c>
      <c r="G22" s="7">
        <v>4.24</v>
      </c>
      <c r="H22" s="7">
        <v>3.89</v>
      </c>
    </row>
    <row r="23" spans="1:8" x14ac:dyDescent="0.3">
      <c r="A23" t="s">
        <v>114</v>
      </c>
      <c r="D23" s="7"/>
      <c r="E23" s="7"/>
      <c r="F23" s="7"/>
      <c r="G23" s="7"/>
      <c r="H23" s="7"/>
    </row>
    <row r="24" spans="1:8" x14ac:dyDescent="0.3">
      <c r="A24" t="s">
        <v>115</v>
      </c>
      <c r="B24" t="s">
        <v>116</v>
      </c>
      <c r="D24" s="7">
        <v>0.56000000000000005</v>
      </c>
      <c r="E24" s="7">
        <v>0.51</v>
      </c>
      <c r="F24" s="7">
        <v>0.47</v>
      </c>
      <c r="G24" s="7">
        <v>0.44</v>
      </c>
      <c r="H24" s="7">
        <v>0.38</v>
      </c>
    </row>
    <row r="25" spans="1:8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3">
      <c r="A27" t="s">
        <v>121</v>
      </c>
      <c r="D27" s="7"/>
      <c r="E27" s="7"/>
      <c r="F27" s="7"/>
      <c r="G27" s="7"/>
      <c r="H27" s="7"/>
    </row>
    <row r="28" spans="1:8" x14ac:dyDescent="0.3">
      <c r="A28" t="s">
        <v>122</v>
      </c>
      <c r="B28" t="s">
        <v>123</v>
      </c>
      <c r="D28" s="7">
        <v>12.86</v>
      </c>
      <c r="E28" s="7">
        <v>19.37</v>
      </c>
      <c r="F28" s="7">
        <v>13.82</v>
      </c>
      <c r="G28" s="7">
        <v>17.8</v>
      </c>
      <c r="H28" s="7">
        <v>18.34</v>
      </c>
    </row>
    <row r="29" spans="1:8" x14ac:dyDescent="0.3">
      <c r="A29" t="s">
        <v>124</v>
      </c>
      <c r="B29" t="s">
        <v>125</v>
      </c>
      <c r="D29" s="7">
        <v>30.193605877219618</v>
      </c>
      <c r="E29" s="7">
        <v>30.29</v>
      </c>
      <c r="F29" s="7">
        <v>12.18</v>
      </c>
      <c r="G29" s="7">
        <v>11.45</v>
      </c>
      <c r="H29" s="7">
        <v>26.24</v>
      </c>
    </row>
    <row r="30" spans="1:8" x14ac:dyDescent="0.3">
      <c r="A30" t="s">
        <v>126</v>
      </c>
      <c r="B30" t="s">
        <v>127</v>
      </c>
      <c r="D30" s="7">
        <v>515.78379336774617</v>
      </c>
      <c r="E30" s="7">
        <v>517.47</v>
      </c>
      <c r="F30" s="7">
        <v>359.27</v>
      </c>
      <c r="G30" s="7">
        <v>498.97</v>
      </c>
      <c r="H30" s="7">
        <v>539.70000000000005</v>
      </c>
    </row>
    <row r="31" spans="1:8" x14ac:dyDescent="0.3">
      <c r="A31" t="s">
        <v>128</v>
      </c>
      <c r="B31" t="s">
        <v>129</v>
      </c>
      <c r="D31" s="7">
        <v>545.9773992449658</v>
      </c>
      <c r="E31" s="7">
        <v>547.76</v>
      </c>
      <c r="F31" s="7">
        <v>371.45</v>
      </c>
      <c r="G31" s="7">
        <v>510.42</v>
      </c>
      <c r="H31" s="7">
        <v>565.94000000000005</v>
      </c>
    </row>
    <row r="32" spans="1:8" x14ac:dyDescent="0.3">
      <c r="A32" t="s">
        <v>130</v>
      </c>
      <c r="B32" t="s">
        <v>131</v>
      </c>
      <c r="D32" s="7">
        <v>49.04</v>
      </c>
      <c r="E32" s="7">
        <v>26</v>
      </c>
      <c r="F32" s="7">
        <v>42.03</v>
      </c>
      <c r="G32" s="7">
        <v>22.87</v>
      </c>
      <c r="H32" s="7">
        <v>34.020000000000003</v>
      </c>
    </row>
    <row r="33" spans="1:8" x14ac:dyDescent="0.3">
      <c r="A33" t="s">
        <v>132</v>
      </c>
      <c r="B33" t="s">
        <v>133</v>
      </c>
      <c r="D33" s="7">
        <v>2.0099999999999998</v>
      </c>
      <c r="E33" s="7">
        <v>0.06</v>
      </c>
      <c r="F33" s="7">
        <v>0.14000000000000001</v>
      </c>
      <c r="G33" s="7">
        <v>0.9</v>
      </c>
      <c r="H33" s="7">
        <v>0.21</v>
      </c>
    </row>
    <row r="34" spans="1:8" x14ac:dyDescent="0.3">
      <c r="A34" t="s">
        <v>134</v>
      </c>
      <c r="B34" t="s">
        <v>135</v>
      </c>
      <c r="D34" s="7">
        <v>0.85</v>
      </c>
      <c r="E34" s="7">
        <v>0.71</v>
      </c>
      <c r="F34" s="7">
        <v>0.67</v>
      </c>
      <c r="G34" s="7">
        <v>0.53</v>
      </c>
      <c r="H34" s="7">
        <v>6.55</v>
      </c>
    </row>
    <row r="35" spans="1:8" x14ac:dyDescent="0.3">
      <c r="A35" t="s">
        <v>136</v>
      </c>
      <c r="D35" s="7"/>
      <c r="E35" s="7"/>
      <c r="F35" s="7"/>
      <c r="G35" s="7"/>
      <c r="H35" s="7"/>
    </row>
    <row r="36" spans="1:8" x14ac:dyDescent="0.3">
      <c r="A36" t="s">
        <v>137</v>
      </c>
      <c r="B36" t="s">
        <v>138</v>
      </c>
      <c r="D36" s="7">
        <v>70.239999999999995</v>
      </c>
      <c r="E36" s="7">
        <v>58.03</v>
      </c>
      <c r="F36" s="7">
        <v>57</v>
      </c>
      <c r="G36" s="7">
        <v>59.85</v>
      </c>
      <c r="H36" s="7">
        <v>65.150000000000006</v>
      </c>
    </row>
    <row r="37" spans="1:8" x14ac:dyDescent="0.3">
      <c r="A37" t="s">
        <v>139</v>
      </c>
      <c r="B37" t="s">
        <v>140</v>
      </c>
      <c r="D37" s="7">
        <v>56.72</v>
      </c>
      <c r="E37" s="7">
        <v>60.66</v>
      </c>
      <c r="F37" s="7">
        <v>31.39</v>
      </c>
      <c r="G37" s="7">
        <v>36.97</v>
      </c>
      <c r="H37" s="7">
        <v>26.38</v>
      </c>
    </row>
    <row r="38" spans="1:8" x14ac:dyDescent="0.3">
      <c r="A38" t="s">
        <v>141</v>
      </c>
      <c r="B38" t="s">
        <v>142</v>
      </c>
      <c r="D38" s="7">
        <v>2.4</v>
      </c>
      <c r="E38" s="7">
        <v>1.5</v>
      </c>
      <c r="F38" s="7">
        <v>80.040000000000006</v>
      </c>
      <c r="G38" s="7">
        <v>35.4</v>
      </c>
      <c r="H38" s="7">
        <v>17.45</v>
      </c>
    </row>
    <row r="39" spans="1:8" x14ac:dyDescent="0.3">
      <c r="A39" t="s">
        <v>143</v>
      </c>
      <c r="B39" t="s">
        <v>144</v>
      </c>
      <c r="D39" s="7">
        <v>53.22</v>
      </c>
      <c r="E39" s="7">
        <v>42.49</v>
      </c>
      <c r="F39" s="7">
        <v>30.92</v>
      </c>
      <c r="G39" s="7">
        <v>39.43</v>
      </c>
      <c r="H39" s="7">
        <v>45.56</v>
      </c>
    </row>
    <row r="40" spans="1:8" x14ac:dyDescent="0.3">
      <c r="A40" t="s">
        <v>145</v>
      </c>
      <c r="B40" t="s">
        <v>146</v>
      </c>
      <c r="D40" s="7">
        <v>69.33</v>
      </c>
      <c r="E40" s="7">
        <v>67.23</v>
      </c>
      <c r="F40" s="7">
        <v>26.87</v>
      </c>
      <c r="G40" s="7">
        <v>30.24</v>
      </c>
      <c r="H40" s="7">
        <v>28.22</v>
      </c>
    </row>
    <row r="41" spans="1:8" x14ac:dyDescent="0.3">
      <c r="A41" t="s">
        <v>147</v>
      </c>
      <c r="B41" t="s">
        <v>148</v>
      </c>
      <c r="D41" s="7">
        <v>15.54</v>
      </c>
      <c r="E41" s="7">
        <v>89.77</v>
      </c>
      <c r="F41" s="7">
        <v>99.48</v>
      </c>
      <c r="G41" s="7">
        <v>92.71</v>
      </c>
      <c r="H41" s="7">
        <v>97.8</v>
      </c>
    </row>
    <row r="42" spans="1:8" x14ac:dyDescent="0.3">
      <c r="A42" t="s">
        <v>149</v>
      </c>
      <c r="D42" s="7"/>
      <c r="E42" s="7"/>
      <c r="F42" s="7"/>
      <c r="G42" s="7"/>
      <c r="H42" s="7"/>
    </row>
    <row r="43" spans="1:8" x14ac:dyDescent="0.3">
      <c r="A43" t="s">
        <v>150</v>
      </c>
      <c r="B43" t="s">
        <v>151</v>
      </c>
      <c r="D43" s="7">
        <v>83.82</v>
      </c>
      <c r="E43" s="7">
        <v>59.24</v>
      </c>
      <c r="F43" s="7">
        <v>73.2</v>
      </c>
      <c r="G43" s="7">
        <v>70.11</v>
      </c>
      <c r="H43" s="7">
        <v>76.459999999999994</v>
      </c>
    </row>
    <row r="44" spans="1:8" x14ac:dyDescent="0.3">
      <c r="A44" t="s">
        <v>152</v>
      </c>
      <c r="B44" t="s">
        <v>153</v>
      </c>
      <c r="D44" s="7">
        <v>58.68</v>
      </c>
      <c r="E44" s="7">
        <v>63.99</v>
      </c>
      <c r="F44" s="7">
        <v>59.48</v>
      </c>
      <c r="G44" s="7">
        <v>49.7</v>
      </c>
      <c r="H44" s="7">
        <v>49.58</v>
      </c>
    </row>
    <row r="45" spans="1:8" x14ac:dyDescent="0.3">
      <c r="A45" t="s">
        <v>154</v>
      </c>
      <c r="B45" t="s">
        <v>155</v>
      </c>
      <c r="D45" s="7">
        <v>80.819999999999993</v>
      </c>
      <c r="E45" s="7">
        <v>80.599999999999994</v>
      </c>
      <c r="F45" s="7">
        <v>86.07</v>
      </c>
      <c r="G45" s="7">
        <v>81.53</v>
      </c>
      <c r="H45" s="7">
        <v>82.41</v>
      </c>
    </row>
    <row r="46" spans="1:8" x14ac:dyDescent="0.3">
      <c r="A46" t="s">
        <v>156</v>
      </c>
      <c r="B46" t="s">
        <v>157</v>
      </c>
      <c r="D46" s="7">
        <v>40.04</v>
      </c>
      <c r="E46" s="7">
        <v>43.56</v>
      </c>
      <c r="F46" s="7">
        <v>23.91</v>
      </c>
      <c r="G46" s="7">
        <v>23.28</v>
      </c>
      <c r="H46" s="7">
        <v>29.65</v>
      </c>
    </row>
    <row r="47" spans="1:8" x14ac:dyDescent="0.3">
      <c r="A47" t="s">
        <v>158</v>
      </c>
      <c r="B47" t="s">
        <v>159</v>
      </c>
      <c r="D47" s="7">
        <v>-9.4</v>
      </c>
      <c r="E47" s="7">
        <v>-6.1</v>
      </c>
      <c r="F47" s="7">
        <v>-0.35</v>
      </c>
      <c r="G47" s="7">
        <v>-4.24</v>
      </c>
      <c r="H47" s="7">
        <v>-11.32</v>
      </c>
    </row>
    <row r="48" spans="1:8" x14ac:dyDescent="0.3">
      <c r="A48" t="s">
        <v>160</v>
      </c>
      <c r="D48" s="7"/>
      <c r="E48" s="7"/>
      <c r="F48" s="7"/>
      <c r="G48" s="7"/>
      <c r="H48" s="7"/>
    </row>
    <row r="49" spans="1:8" x14ac:dyDescent="0.3">
      <c r="A49" t="s">
        <v>161</v>
      </c>
      <c r="B49" t="s">
        <v>162</v>
      </c>
      <c r="D49" s="7">
        <v>3.96</v>
      </c>
      <c r="E49" s="7">
        <v>0</v>
      </c>
      <c r="F49" s="7">
        <v>0.01</v>
      </c>
      <c r="G49" s="7">
        <v>0</v>
      </c>
      <c r="H49" s="7">
        <v>3.07</v>
      </c>
    </row>
    <row r="50" spans="1:8" x14ac:dyDescent="0.3">
      <c r="A50" t="s">
        <v>163</v>
      </c>
      <c r="B50" t="s">
        <v>164</v>
      </c>
      <c r="D50" s="7">
        <v>10.19</v>
      </c>
      <c r="E50" s="7">
        <v>3.14</v>
      </c>
      <c r="F50" s="7">
        <v>2.68</v>
      </c>
      <c r="G50" s="7">
        <v>1.86</v>
      </c>
      <c r="H50" s="7">
        <v>1.27</v>
      </c>
    </row>
    <row r="51" spans="1:8" x14ac:dyDescent="0.3">
      <c r="A51" s="8" t="s">
        <v>165</v>
      </c>
      <c r="B51" s="8" t="s">
        <v>166</v>
      </c>
      <c r="C51" s="9">
        <v>16</v>
      </c>
      <c r="D51" s="7">
        <v>2.4</v>
      </c>
      <c r="E51" s="7">
        <v>1.3</v>
      </c>
      <c r="F51" s="7">
        <v>1.22</v>
      </c>
      <c r="G51" s="7">
        <v>1.1599999999999999</v>
      </c>
      <c r="H51" s="7">
        <v>0.84</v>
      </c>
    </row>
    <row r="52" spans="1:8" x14ac:dyDescent="0.3">
      <c r="A52" t="s">
        <v>167</v>
      </c>
      <c r="B52" t="s">
        <v>168</v>
      </c>
      <c r="D52" s="7">
        <v>598.29</v>
      </c>
      <c r="E52" s="7">
        <v>681.33</v>
      </c>
      <c r="F52" s="7">
        <v>1024.51</v>
      </c>
      <c r="G52" s="7">
        <v>942.73</v>
      </c>
      <c r="H52" s="7">
        <v>1027.23</v>
      </c>
    </row>
    <row r="53" spans="1:8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170</v>
      </c>
      <c r="B54" t="s">
        <v>171</v>
      </c>
      <c r="D54" s="7">
        <v>0</v>
      </c>
      <c r="E54" s="7">
        <v>0</v>
      </c>
      <c r="F54" s="7">
        <v>0</v>
      </c>
      <c r="G54" s="7">
        <v>-9.9295847145322309</v>
      </c>
      <c r="H54" s="7">
        <v>-7.547202121362921</v>
      </c>
    </row>
    <row r="55" spans="1:8" x14ac:dyDescent="0.3">
      <c r="A55" t="s">
        <v>172</v>
      </c>
      <c r="B55" t="s">
        <v>173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174</v>
      </c>
      <c r="B56" t="s">
        <v>175</v>
      </c>
      <c r="D56" s="7">
        <v>0</v>
      </c>
      <c r="E56" s="7">
        <v>0</v>
      </c>
      <c r="F56" s="7">
        <v>0</v>
      </c>
      <c r="G56" s="7">
        <v>53.580735116671462</v>
      </c>
      <c r="H56" s="7">
        <v>49.567811018365191</v>
      </c>
    </row>
    <row r="57" spans="1:8" x14ac:dyDescent="0.3">
      <c r="A57" t="s">
        <v>176</v>
      </c>
      <c r="B57" t="s">
        <v>177</v>
      </c>
      <c r="D57" s="7">
        <v>0</v>
      </c>
      <c r="E57" s="7">
        <v>0</v>
      </c>
      <c r="F57" s="7">
        <v>0</v>
      </c>
      <c r="G57" s="7">
        <v>56.348849597860763</v>
      </c>
      <c r="H57" s="7">
        <v>57.979391102997738</v>
      </c>
    </row>
    <row r="58" spans="1:8" x14ac:dyDescent="0.3">
      <c r="A58" t="s">
        <v>178</v>
      </c>
      <c r="D58" s="7"/>
      <c r="E58" s="7"/>
      <c r="F58" s="7"/>
      <c r="G58" s="7"/>
      <c r="H58" s="7"/>
    </row>
    <row r="59" spans="1:8" x14ac:dyDescent="0.3">
      <c r="A59" t="s">
        <v>179</v>
      </c>
      <c r="B59" t="s">
        <v>180</v>
      </c>
      <c r="D59" s="7">
        <v>7.62</v>
      </c>
      <c r="E59" s="7">
        <v>0</v>
      </c>
      <c r="F59" s="7">
        <v>40.58</v>
      </c>
      <c r="G59" s="7">
        <v>-7.3888215027015587</v>
      </c>
      <c r="H59" s="7">
        <v>11.105342950923122</v>
      </c>
    </row>
    <row r="60" spans="1:8" x14ac:dyDescent="0.3">
      <c r="A60" t="s">
        <v>181</v>
      </c>
      <c r="B60" t="s">
        <v>182</v>
      </c>
      <c r="D60" s="7"/>
      <c r="E60" s="7"/>
      <c r="F60" s="7"/>
      <c r="G60" s="7">
        <v>7.3888215027015587</v>
      </c>
      <c r="H60" s="7">
        <v>-11.105342950923122</v>
      </c>
    </row>
    <row r="61" spans="1:8" x14ac:dyDescent="0.3">
      <c r="A61" t="s">
        <v>183</v>
      </c>
      <c r="B61" t="s">
        <v>184</v>
      </c>
      <c r="D61" s="7">
        <v>0</v>
      </c>
      <c r="E61" s="7">
        <v>0</v>
      </c>
      <c r="F61" s="7">
        <v>0</v>
      </c>
      <c r="G61" s="7">
        <v>35.442283262766416</v>
      </c>
      <c r="H61" s="7">
        <v>29.552010402418379</v>
      </c>
    </row>
    <row r="62" spans="1:8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0.16</v>
      </c>
      <c r="F62" s="7">
        <v>0.17</v>
      </c>
      <c r="G62" s="7">
        <v>0.17</v>
      </c>
      <c r="H62" s="7">
        <v>0.16</v>
      </c>
    </row>
    <row r="63" spans="1:8" x14ac:dyDescent="0.3">
      <c r="A63" t="s">
        <v>353</v>
      </c>
      <c r="B63" t="s">
        <v>354</v>
      </c>
      <c r="C63" s="7"/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3">
      <c r="A64" t="s">
        <v>187</v>
      </c>
      <c r="D64" s="7"/>
      <c r="E64" s="7"/>
      <c r="F64" s="7"/>
      <c r="G64" s="7"/>
      <c r="H64" s="7"/>
    </row>
    <row r="65" spans="1:8" x14ac:dyDescent="0.3">
      <c r="A65" s="8" t="s">
        <v>188</v>
      </c>
      <c r="B65" s="8" t="s">
        <v>189</v>
      </c>
      <c r="C65" s="9">
        <v>1</v>
      </c>
      <c r="D65" s="7">
        <v>0.17</v>
      </c>
      <c r="E65" s="7">
        <v>0.04</v>
      </c>
      <c r="F65" s="7">
        <v>0.08</v>
      </c>
      <c r="G65" s="7">
        <v>0.06</v>
      </c>
      <c r="H65" s="7">
        <v>0.05</v>
      </c>
    </row>
    <row r="66" spans="1:8" x14ac:dyDescent="0.3">
      <c r="A66" s="8" t="s">
        <v>190</v>
      </c>
      <c r="B66" s="8" t="s">
        <v>191</v>
      </c>
      <c r="C66" s="9"/>
      <c r="D66" s="7">
        <v>0.01</v>
      </c>
      <c r="E66" s="7">
        <v>0.01</v>
      </c>
      <c r="F66" s="7">
        <v>0</v>
      </c>
      <c r="G66" s="7">
        <v>0.02</v>
      </c>
      <c r="H66" s="7">
        <v>0</v>
      </c>
    </row>
    <row r="67" spans="1:8" x14ac:dyDescent="0.3">
      <c r="A67" s="8" t="s">
        <v>192</v>
      </c>
      <c r="B67" s="8" t="s">
        <v>193</v>
      </c>
      <c r="C67" s="9">
        <v>0.6</v>
      </c>
      <c r="D67" s="7">
        <v>0.04</v>
      </c>
      <c r="E67" s="7">
        <v>0.02</v>
      </c>
      <c r="F67" s="7">
        <v>0</v>
      </c>
      <c r="G67" s="7">
        <v>0.01</v>
      </c>
      <c r="H67" s="7">
        <v>0.01</v>
      </c>
    </row>
    <row r="68" spans="1:8" x14ac:dyDescent="0.3">
      <c r="A68" t="s">
        <v>194</v>
      </c>
      <c r="D68" s="7"/>
      <c r="E68" s="7"/>
      <c r="F68" s="7"/>
      <c r="G68" s="7"/>
      <c r="H68" s="7"/>
    </row>
    <row r="69" spans="1:8" x14ac:dyDescent="0.3">
      <c r="A69" t="s">
        <v>195</v>
      </c>
      <c r="B69" t="s">
        <v>196</v>
      </c>
      <c r="D69" s="7">
        <v>81</v>
      </c>
      <c r="E69" s="7">
        <v>62.74</v>
      </c>
      <c r="F69" s="30">
        <v>0</v>
      </c>
      <c r="G69" s="30">
        <v>75.290000000000006</v>
      </c>
      <c r="H69" s="30">
        <v>52.99</v>
      </c>
    </row>
    <row r="70" spans="1:8" x14ac:dyDescent="0.3">
      <c r="A70" t="s">
        <v>197</v>
      </c>
      <c r="D70" s="7"/>
      <c r="E70" s="7"/>
      <c r="F70" s="7"/>
      <c r="G70" s="7"/>
      <c r="H70" s="7"/>
    </row>
    <row r="71" spans="1:8" x14ac:dyDescent="0.3">
      <c r="A71" t="s">
        <v>198</v>
      </c>
      <c r="B71" t="s">
        <v>199</v>
      </c>
      <c r="D71" s="7">
        <v>1.1599999999999999</v>
      </c>
      <c r="E71" s="30">
        <v>1.06</v>
      </c>
      <c r="F71" s="7">
        <v>1.3</v>
      </c>
      <c r="G71" s="7">
        <v>1.26</v>
      </c>
      <c r="H71" s="7">
        <v>1.27</v>
      </c>
    </row>
    <row r="72" spans="1:8" x14ac:dyDescent="0.3">
      <c r="A72" t="s">
        <v>200</v>
      </c>
      <c r="B72" t="s">
        <v>201</v>
      </c>
      <c r="D72" s="7">
        <v>1.25</v>
      </c>
      <c r="E72" s="30">
        <v>1.1399999999999999</v>
      </c>
      <c r="F72" s="7">
        <v>1.39</v>
      </c>
      <c r="G72" s="7">
        <v>1.32</v>
      </c>
      <c r="H72" s="7">
        <v>1.37</v>
      </c>
    </row>
    <row r="73" spans="1:8" x14ac:dyDescent="0.3">
      <c r="A73" t="s">
        <v>304</v>
      </c>
      <c r="D73" s="7"/>
      <c r="E73" s="7"/>
      <c r="F73" s="7"/>
      <c r="G73" s="7"/>
      <c r="H73" s="7"/>
    </row>
    <row r="74" spans="1:8" x14ac:dyDescent="0.3">
      <c r="B74" t="s">
        <v>202</v>
      </c>
      <c r="D74" s="7">
        <v>87.49</v>
      </c>
      <c r="E74" s="7">
        <v>87.29</v>
      </c>
      <c r="F74" s="7">
        <v>84.61</v>
      </c>
      <c r="G74" s="7">
        <v>77.44</v>
      </c>
      <c r="H74" s="7">
        <v>82.399828408010094</v>
      </c>
    </row>
    <row r="75" spans="1:8" x14ac:dyDescent="0.3">
      <c r="B75" t="s">
        <v>203</v>
      </c>
      <c r="D75" s="7">
        <v>89.58</v>
      </c>
      <c r="E75" s="7">
        <v>91.14</v>
      </c>
      <c r="F75" s="7">
        <v>91.77</v>
      </c>
      <c r="G75" s="7">
        <v>91.78</v>
      </c>
      <c r="H75" s="7">
        <v>90.78141020347789</v>
      </c>
    </row>
    <row r="76" spans="1:8" x14ac:dyDescent="0.3">
      <c r="B76" t="s">
        <v>204</v>
      </c>
      <c r="D76" s="7">
        <v>45.29</v>
      </c>
      <c r="E76" s="7">
        <v>55.12</v>
      </c>
      <c r="F76" s="7">
        <v>34.5</v>
      </c>
      <c r="G76" s="7">
        <v>21.14</v>
      </c>
      <c r="H76" s="7">
        <v>40.644898186272762</v>
      </c>
    </row>
    <row r="77" spans="1:8" x14ac:dyDescent="0.3">
      <c r="A77" s="8" t="s">
        <v>36</v>
      </c>
      <c r="B77" s="8"/>
      <c r="C77" s="9">
        <v>47</v>
      </c>
      <c r="D77" s="7">
        <v>62.695680439722523</v>
      </c>
      <c r="E77" s="7">
        <v>57.101492083463043</v>
      </c>
      <c r="F77" s="30">
        <v>54.57694102313593</v>
      </c>
      <c r="G77" s="30">
        <v>56.882312101059782</v>
      </c>
      <c r="H77" s="30">
        <v>55.592448925278312</v>
      </c>
    </row>
    <row r="78" spans="1:8" x14ac:dyDescent="0.3">
      <c r="A78" s="31" t="s">
        <v>334</v>
      </c>
      <c r="B78" s="31"/>
      <c r="C78" s="63"/>
      <c r="D78" s="30">
        <v>60.193595665953602</v>
      </c>
      <c r="E78" s="30">
        <v>55.333812714199318</v>
      </c>
      <c r="F78" s="30">
        <v>53.347545389545893</v>
      </c>
      <c r="G78" s="30">
        <v>55.732458007905485</v>
      </c>
      <c r="H78" s="30">
        <v>53.328706028849091</v>
      </c>
    </row>
    <row r="79" spans="1:8" x14ac:dyDescent="0.3">
      <c r="A79" t="s">
        <v>267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205</v>
      </c>
      <c r="D80" s="7">
        <v>1.2437521794722772</v>
      </c>
      <c r="E80" s="7">
        <v>1.6937967443906732</v>
      </c>
      <c r="F80" s="30">
        <v>1.8476499189627227</v>
      </c>
      <c r="G80" s="30">
        <v>1.0831889081455806E-2</v>
      </c>
      <c r="H80" s="30">
        <v>0.62632815121351082</v>
      </c>
    </row>
    <row r="81" spans="1:8" x14ac:dyDescent="0.3">
      <c r="A81">
        <v>9</v>
      </c>
      <c r="B81" t="s">
        <v>346</v>
      </c>
      <c r="D81" s="7">
        <v>3.5801464605370219</v>
      </c>
      <c r="E81" s="7">
        <v>4.0915090189177299</v>
      </c>
      <c r="F81" s="30">
        <v>4.3111831442463533</v>
      </c>
      <c r="G81" s="30">
        <v>3.4337088388214907</v>
      </c>
      <c r="H81" s="30">
        <v>2.5276814673973824</v>
      </c>
    </row>
    <row r="82" spans="1:8" x14ac:dyDescent="0.3">
      <c r="A82">
        <v>10</v>
      </c>
      <c r="B82" t="s">
        <v>206</v>
      </c>
      <c r="D82" s="7">
        <v>6.6837149831454141</v>
      </c>
      <c r="E82" s="7">
        <v>8.8759348878134627</v>
      </c>
      <c r="F82" s="30">
        <v>8.0929227444624541</v>
      </c>
      <c r="G82" s="30">
        <v>7.9614384748700182</v>
      </c>
      <c r="H82" s="30">
        <v>6.1066994743317302</v>
      </c>
    </row>
    <row r="83" spans="1:8" x14ac:dyDescent="0.3">
      <c r="A83">
        <v>12</v>
      </c>
      <c r="B83" t="s">
        <v>207</v>
      </c>
      <c r="D83" s="7">
        <v>2.7432291061257699</v>
      </c>
      <c r="E83" s="7">
        <v>1.6168059832820061</v>
      </c>
      <c r="F83" s="30">
        <v>1.8908698001080499</v>
      </c>
      <c r="G83" s="30">
        <v>2.4480069324090121</v>
      </c>
      <c r="H83" s="30">
        <v>2.6171569175707416</v>
      </c>
    </row>
    <row r="84" spans="1:8" x14ac:dyDescent="0.3">
      <c r="A84">
        <v>13</v>
      </c>
      <c r="B84" t="s">
        <v>355</v>
      </c>
      <c r="D84" s="7">
        <v>69.626874346158317</v>
      </c>
      <c r="E84" s="7">
        <v>65.222173339199301</v>
      </c>
      <c r="F84" s="30">
        <v>67.152890329551596</v>
      </c>
      <c r="G84" s="30">
        <v>65.142980935875215</v>
      </c>
      <c r="H84" s="30">
        <v>61.581478581814117</v>
      </c>
    </row>
    <row r="85" spans="1:8" x14ac:dyDescent="0.3">
      <c r="A85" t="s">
        <v>208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205</v>
      </c>
      <c r="D86" s="7">
        <v>86.38</v>
      </c>
      <c r="E86" s="7">
        <v>79.349999999999994</v>
      </c>
      <c r="F86" s="7">
        <v>77.86</v>
      </c>
      <c r="G86" s="7">
        <v>21.88</v>
      </c>
      <c r="H86" s="7">
        <v>27.295268906070735</v>
      </c>
    </row>
    <row r="87" spans="1:8" x14ac:dyDescent="0.3">
      <c r="A87">
        <v>9</v>
      </c>
      <c r="B87" t="s">
        <v>346</v>
      </c>
      <c r="D87" s="7">
        <v>42.1</v>
      </c>
      <c r="E87" s="7">
        <v>19.989999999999998</v>
      </c>
      <c r="F87" s="7">
        <v>17.96</v>
      </c>
      <c r="G87" s="7">
        <v>11.6</v>
      </c>
      <c r="H87" s="7">
        <v>13.238225979429489</v>
      </c>
    </row>
    <row r="88" spans="1:8" x14ac:dyDescent="0.3">
      <c r="A88">
        <v>10</v>
      </c>
      <c r="B88" t="s">
        <v>206</v>
      </c>
      <c r="D88" s="7">
        <v>81.99</v>
      </c>
      <c r="E88" s="7">
        <v>51.87</v>
      </c>
      <c r="F88" s="7">
        <v>46.51</v>
      </c>
      <c r="G88" s="7">
        <v>30.84</v>
      </c>
      <c r="H88" s="7">
        <v>41.600914272412567</v>
      </c>
    </row>
    <row r="89" spans="1:8" x14ac:dyDescent="0.3">
      <c r="A89">
        <v>12</v>
      </c>
      <c r="B89" t="s">
        <v>207</v>
      </c>
      <c r="D89" s="7">
        <v>26.61</v>
      </c>
      <c r="E89" s="7">
        <v>24.41</v>
      </c>
      <c r="F89" s="7">
        <v>44.555919582141591</v>
      </c>
      <c r="G89" s="7">
        <v>81.94</v>
      </c>
      <c r="H89" s="7">
        <v>45.38247369361342</v>
      </c>
    </row>
    <row r="90" spans="1:8" x14ac:dyDescent="0.3">
      <c r="A90">
        <v>13</v>
      </c>
      <c r="B90" t="s">
        <v>355</v>
      </c>
      <c r="D90" s="7">
        <v>78.69</v>
      </c>
      <c r="E90" s="7">
        <v>83.13</v>
      </c>
      <c r="F90" s="7">
        <v>79.89</v>
      </c>
      <c r="G90" s="7">
        <v>72.38</v>
      </c>
      <c r="H90" s="7">
        <v>81.541347801635979</v>
      </c>
    </row>
    <row r="91" spans="1:8" x14ac:dyDescent="0.3">
      <c r="B91" s="68" t="s">
        <v>358</v>
      </c>
      <c r="D91" s="7"/>
      <c r="E91" s="7"/>
      <c r="F91" s="7"/>
      <c r="G91" s="7"/>
      <c r="H91" s="7"/>
    </row>
    <row r="92" spans="1:8" x14ac:dyDescent="0.3">
      <c r="B92" t="s">
        <v>110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129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159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168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302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303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159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168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301</v>
      </c>
    </row>
    <row r="182" spans="2:8" x14ac:dyDescent="0.3">
      <c r="E182" s="31"/>
    </row>
    <row r="202" spans="2:2" x14ac:dyDescent="0.3">
      <c r="B202" s="39" t="s">
        <v>267</v>
      </c>
    </row>
    <row r="221" spans="2:2" x14ac:dyDescent="0.3">
      <c r="B221" s="39" t="s">
        <v>208</v>
      </c>
    </row>
  </sheetData>
  <mergeCells count="1">
    <mergeCell ref="A1:B1"/>
  </mergeCells>
  <conditionalFormatting sqref="D3">
    <cfRule type="cellIs" dxfId="47" priority="37" operator="greaterThan">
      <formula>$C3</formula>
    </cfRule>
  </conditionalFormatting>
  <conditionalFormatting sqref="D12">
    <cfRule type="cellIs" dxfId="46" priority="35" operator="lessThan">
      <formula>$C12</formula>
    </cfRule>
  </conditionalFormatting>
  <conditionalFormatting sqref="D15:F15 H15">
    <cfRule type="cellIs" dxfId="45" priority="33" operator="greaterThan">
      <formula>$C$15</formula>
    </cfRule>
  </conditionalFormatting>
  <conditionalFormatting sqref="E3:F3 H3">
    <cfRule type="cellIs" dxfId="44" priority="29" operator="greaterThan">
      <formula>$C3</formula>
    </cfRule>
  </conditionalFormatting>
  <conditionalFormatting sqref="D51:F51 H51">
    <cfRule type="cellIs" dxfId="43" priority="28" operator="greaterThan">
      <formula>$C51</formula>
    </cfRule>
  </conditionalFormatting>
  <conditionalFormatting sqref="D62:F63 H62:H63">
    <cfRule type="cellIs" dxfId="42" priority="27" operator="greaterThan">
      <formula>$C62</formula>
    </cfRule>
  </conditionalFormatting>
  <conditionalFormatting sqref="D65:F65 H65">
    <cfRule type="cellIs" dxfId="41" priority="26" operator="greaterThan">
      <formula>$C65</formula>
    </cfRule>
  </conditionalFormatting>
  <conditionalFormatting sqref="E12:F12 H12">
    <cfRule type="cellIs" dxfId="40" priority="25" operator="lessThan">
      <formula>$C12</formula>
    </cfRule>
  </conditionalFormatting>
  <conditionalFormatting sqref="D77:F78">
    <cfRule type="cellIs" dxfId="39" priority="24" operator="lessThan">
      <formula>$C77</formula>
    </cfRule>
  </conditionalFormatting>
  <conditionalFormatting sqref="E77:F78 H77:H78">
    <cfRule type="cellIs" dxfId="38" priority="23" operator="lessThan">
      <formula>$C77</formula>
    </cfRule>
  </conditionalFormatting>
  <conditionalFormatting sqref="D66">
    <cfRule type="expression" dxfId="37" priority="14">
      <formula>D$66+D$67&gt;=$C$67</formula>
    </cfRule>
  </conditionalFormatting>
  <conditionalFormatting sqref="E66:F66 H66">
    <cfRule type="expression" dxfId="36" priority="13">
      <formula>E$66+E$67&gt;=$C$67</formula>
    </cfRule>
  </conditionalFormatting>
  <conditionalFormatting sqref="D67">
    <cfRule type="expression" dxfId="35" priority="12">
      <formula>D$66+D$67&gt;=$C$67</formula>
    </cfRule>
  </conditionalFormatting>
  <conditionalFormatting sqref="E67:F67 H67">
    <cfRule type="expression" dxfId="34" priority="11">
      <formula>E$66+E$67&gt;=$C$67</formula>
    </cfRule>
  </conditionalFormatting>
  <conditionalFormatting sqref="C63">
    <cfRule type="cellIs" dxfId="33" priority="10" operator="greaterThan">
      <formula>$C63</formula>
    </cfRule>
  </conditionalFormatting>
  <conditionalFormatting sqref="G15">
    <cfRule type="cellIs" dxfId="32" priority="9" operator="greaterThan">
      <formula>$C$15</formula>
    </cfRule>
  </conditionalFormatting>
  <conditionalFormatting sqref="G3">
    <cfRule type="cellIs" dxfId="31" priority="8" operator="greaterThan">
      <formula>$C3</formula>
    </cfRule>
  </conditionalFormatting>
  <conditionalFormatting sqref="G51">
    <cfRule type="cellIs" dxfId="30" priority="7" operator="greaterThan">
      <formula>$C51</formula>
    </cfRule>
  </conditionalFormatting>
  <conditionalFormatting sqref="G62:G63">
    <cfRule type="cellIs" dxfId="29" priority="6" operator="greaterThan">
      <formula>$C62</formula>
    </cfRule>
  </conditionalFormatting>
  <conditionalFormatting sqref="G65">
    <cfRule type="cellIs" dxfId="28" priority="5" operator="greaterThan">
      <formula>$C65</formula>
    </cfRule>
  </conditionalFormatting>
  <conditionalFormatting sqref="G12">
    <cfRule type="cellIs" dxfId="27" priority="4" operator="lessThan">
      <formula>$C12</formula>
    </cfRule>
  </conditionalFormatting>
  <conditionalFormatting sqref="G77:G78">
    <cfRule type="cellIs" dxfId="26" priority="3" operator="lessThan">
      <formula>$C77</formula>
    </cfRule>
  </conditionalFormatting>
  <conditionalFormatting sqref="G66">
    <cfRule type="expression" dxfId="25" priority="2">
      <formula>G$66+G$67&gt;=$C$67</formula>
    </cfRule>
  </conditionalFormatting>
  <conditionalFormatting sqref="G67">
    <cfRule type="expression" dxfId="24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2022-06-12T05:56:28Z</dcterms:modified>
</cp:coreProperties>
</file>