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5.xml" ContentType="application/vnd.openxmlformats-officedocument.drawing+xml"/>
  <Override PartName="/xl/charts/chart1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Bilanci\rendiconti\Regioni\"/>
    </mc:Choice>
  </mc:AlternateContent>
  <bookViews>
    <workbookView xWindow="240" yWindow="48" windowWidth="20112" windowHeight="7992" firstSheet="5" activeTab="9"/>
  </bookViews>
  <sheets>
    <sheet name="Entrate_Uscite" sheetId="2" r:id="rId1"/>
    <sheet name="Tav_Entrate" sheetId="7" r:id="rId2"/>
    <sheet name="Tav_Uscite" sheetId="8" r:id="rId3"/>
    <sheet name="Tav_Saldi" sheetId="9" r:id="rId4"/>
    <sheet name="Risultato_amministrazione" sheetId="1" r:id="rId5"/>
    <sheet name="Conto_economico" sheetId="6" r:id="rId6"/>
    <sheet name="Tav_contoeconomico" sheetId="10" r:id="rId7"/>
    <sheet name="Stato_patrimoniale" sheetId="5" r:id="rId8"/>
    <sheet name="Piano_indicatori" sheetId="4" r:id="rId9"/>
    <sheet name="Tav_indicatori" sheetId="12" r:id="rId10"/>
    <sheet name="Popolazione" sheetId="13" r:id="rId11"/>
  </sheets>
  <calcPr calcId="152511"/>
</workbook>
</file>

<file path=xl/calcChain.xml><?xml version="1.0" encoding="utf-8"?>
<calcChain xmlns="http://schemas.openxmlformats.org/spreadsheetml/2006/main">
  <c r="H9" i="12" l="1"/>
  <c r="H8" i="12"/>
  <c r="H7" i="12"/>
  <c r="H6" i="12"/>
  <c r="H5" i="12"/>
  <c r="H4" i="12"/>
  <c r="H3" i="12"/>
  <c r="H2" i="12"/>
  <c r="G6" i="9"/>
  <c r="G5" i="9"/>
  <c r="G4" i="9"/>
  <c r="G3" i="9"/>
  <c r="G2" i="9"/>
  <c r="E6" i="9"/>
  <c r="E5" i="9"/>
  <c r="E4" i="9"/>
  <c r="E3" i="9"/>
  <c r="E2" i="9"/>
  <c r="H31" i="8"/>
  <c r="H30" i="8"/>
  <c r="H29" i="8"/>
  <c r="H28" i="8"/>
  <c r="H27" i="8"/>
  <c r="H26" i="8"/>
  <c r="H25" i="8"/>
  <c r="H24" i="8"/>
  <c r="H23" i="8"/>
  <c r="H22" i="8"/>
  <c r="H21" i="8"/>
  <c r="H20" i="8"/>
  <c r="H19" i="8"/>
  <c r="H18" i="8"/>
  <c r="H17" i="8"/>
  <c r="H16" i="8"/>
  <c r="H15" i="8"/>
  <c r="H14" i="8"/>
  <c r="H13" i="8"/>
  <c r="H12" i="8"/>
  <c r="H11" i="8"/>
  <c r="H10" i="8"/>
  <c r="H9" i="8"/>
  <c r="H8" i="8"/>
  <c r="H7" i="8"/>
  <c r="H6" i="8"/>
  <c r="H5" i="8"/>
  <c r="H4" i="8"/>
  <c r="H3" i="8"/>
  <c r="H2" i="8"/>
  <c r="E29" i="8"/>
  <c r="E28" i="8"/>
  <c r="E26" i="8"/>
  <c r="E25" i="8"/>
  <c r="E24" i="8"/>
  <c r="E23" i="8"/>
  <c r="E22" i="8"/>
  <c r="E27" i="8" s="1"/>
  <c r="E20" i="8"/>
  <c r="E19" i="8"/>
  <c r="E18" i="8"/>
  <c r="E17" i="8"/>
  <c r="E16" i="8"/>
  <c r="E14" i="8"/>
  <c r="E13" i="8"/>
  <c r="E12" i="8"/>
  <c r="E11" i="8"/>
  <c r="E15" i="8" s="1"/>
  <c r="E9" i="8"/>
  <c r="E8" i="8"/>
  <c r="E7" i="8"/>
  <c r="E6" i="8"/>
  <c r="E5" i="8"/>
  <c r="E4" i="8"/>
  <c r="E3" i="8"/>
  <c r="E2" i="8"/>
  <c r="E10" i="8" s="1"/>
  <c r="H21" i="7"/>
  <c r="H20" i="7"/>
  <c r="H19" i="7"/>
  <c r="H18" i="7"/>
  <c r="H17" i="7"/>
  <c r="H16" i="7"/>
  <c r="H15" i="7"/>
  <c r="H14" i="7"/>
  <c r="H13" i="7"/>
  <c r="H12" i="7"/>
  <c r="H11" i="7"/>
  <c r="H10" i="7"/>
  <c r="H9" i="7"/>
  <c r="H8" i="7"/>
  <c r="H7" i="7"/>
  <c r="H6" i="7"/>
  <c r="H5" i="7"/>
  <c r="H4" i="7"/>
  <c r="H3" i="7"/>
  <c r="H2" i="7"/>
  <c r="E19" i="7"/>
  <c r="E18" i="7"/>
  <c r="E17" i="7"/>
  <c r="E14" i="7"/>
  <c r="E13" i="7"/>
  <c r="E12" i="7"/>
  <c r="E15" i="7" s="1"/>
  <c r="E10" i="7"/>
  <c r="E9" i="7"/>
  <c r="E8" i="7"/>
  <c r="E7" i="7"/>
  <c r="E6" i="7"/>
  <c r="E4" i="7"/>
  <c r="E3" i="7"/>
  <c r="E5" i="7" s="1"/>
  <c r="E2" i="7"/>
  <c r="N55" i="2"/>
  <c r="O54" i="2"/>
  <c r="N54" i="2"/>
  <c r="O53" i="2"/>
  <c r="N53" i="2"/>
  <c r="O52" i="2"/>
  <c r="N52" i="2"/>
  <c r="O51" i="2"/>
  <c r="N51" i="2"/>
  <c r="O50" i="2"/>
  <c r="R50" i="2" s="1"/>
  <c r="N50" i="2"/>
  <c r="O16" i="2"/>
  <c r="N16" i="2"/>
  <c r="O15" i="2"/>
  <c r="R15" i="2" s="1"/>
  <c r="N15" i="2"/>
  <c r="O14" i="2"/>
  <c r="O20" i="2" s="1"/>
  <c r="N14" i="2"/>
  <c r="N20" i="2" s="1"/>
  <c r="R59" i="2"/>
  <c r="Q59" i="2"/>
  <c r="R55" i="2"/>
  <c r="Q55" i="2"/>
  <c r="R54" i="2"/>
  <c r="Q54" i="2"/>
  <c r="R53" i="2"/>
  <c r="Q53" i="2"/>
  <c r="R52" i="2"/>
  <c r="Q52" i="2"/>
  <c r="R51" i="2"/>
  <c r="Q51" i="2"/>
  <c r="Q50" i="2"/>
  <c r="R49" i="2"/>
  <c r="Q49" i="2"/>
  <c r="R48" i="2"/>
  <c r="Q48" i="2"/>
  <c r="R47" i="2"/>
  <c r="Q47" i="2"/>
  <c r="R46" i="2"/>
  <c r="Q46" i="2"/>
  <c r="R45" i="2"/>
  <c r="Q45" i="2"/>
  <c r="R44" i="2"/>
  <c r="Q44" i="2"/>
  <c r="R43" i="2"/>
  <c r="Q43" i="2"/>
  <c r="R42" i="2"/>
  <c r="Q42" i="2"/>
  <c r="R41" i="2"/>
  <c r="Q41" i="2"/>
  <c r="R40" i="2"/>
  <c r="Q40" i="2"/>
  <c r="R39" i="2"/>
  <c r="Q39" i="2"/>
  <c r="R38" i="2"/>
  <c r="Q38" i="2"/>
  <c r="R37" i="2"/>
  <c r="Q37" i="2"/>
  <c r="R36" i="2"/>
  <c r="Q36" i="2"/>
  <c r="R35" i="2"/>
  <c r="Q35" i="2"/>
  <c r="R34" i="2"/>
  <c r="Q34" i="2"/>
  <c r="R33" i="2"/>
  <c r="Q33" i="2"/>
  <c r="R32" i="2"/>
  <c r="Q32" i="2"/>
  <c r="R31" i="2"/>
  <c r="Q31" i="2"/>
  <c r="R30" i="2"/>
  <c r="Q30" i="2"/>
  <c r="R29" i="2"/>
  <c r="Q29" i="2"/>
  <c r="R28" i="2"/>
  <c r="Q28" i="2"/>
  <c r="R27" i="2"/>
  <c r="Q27" i="2"/>
  <c r="R26" i="2"/>
  <c r="Q26" i="2"/>
  <c r="R25" i="2"/>
  <c r="Q25" i="2"/>
  <c r="R24" i="2"/>
  <c r="Q24" i="2"/>
  <c r="R23" i="2"/>
  <c r="Q23" i="2"/>
  <c r="R19" i="2"/>
  <c r="Q19" i="2"/>
  <c r="R18" i="2"/>
  <c r="Q18" i="2"/>
  <c r="R17" i="2"/>
  <c r="Q17" i="2"/>
  <c r="R16" i="2"/>
  <c r="Q16" i="2"/>
  <c r="Q15" i="2"/>
  <c r="Q14" i="2"/>
  <c r="R13" i="2"/>
  <c r="Q13" i="2"/>
  <c r="R12" i="2"/>
  <c r="Q12" i="2"/>
  <c r="R11" i="2"/>
  <c r="Q11" i="2"/>
  <c r="R10" i="2"/>
  <c r="Q10" i="2"/>
  <c r="R9" i="2"/>
  <c r="Q9" i="2"/>
  <c r="R8" i="2"/>
  <c r="Q8" i="2"/>
  <c r="R7" i="2"/>
  <c r="Q7" i="2"/>
  <c r="R6" i="2"/>
  <c r="Q6" i="2"/>
  <c r="R5" i="2"/>
  <c r="Q5" i="2"/>
  <c r="R4" i="2"/>
  <c r="Q4" i="2"/>
  <c r="R3" i="2"/>
  <c r="Q3" i="2"/>
  <c r="E30" i="8" l="1"/>
  <c r="E31" i="8" s="1"/>
  <c r="E21" i="8"/>
  <c r="E11" i="7"/>
  <c r="E20" i="7"/>
  <c r="E21" i="7" s="1"/>
  <c r="E16" i="7"/>
  <c r="O21" i="2"/>
  <c r="R21" i="2" s="1"/>
  <c r="R20" i="2"/>
  <c r="N21" i="2"/>
  <c r="Q21" i="2" s="1"/>
  <c r="Q20" i="2"/>
  <c r="R14" i="2"/>
  <c r="L59" i="2" l="1"/>
  <c r="K55" i="2"/>
  <c r="M55" i="2" s="1"/>
  <c r="L54" i="2"/>
  <c r="K54" i="2"/>
  <c r="M54" i="2" s="1"/>
  <c r="L53" i="2"/>
  <c r="L56" i="2" s="1"/>
  <c r="L57" i="2" s="1"/>
  <c r="K53" i="2"/>
  <c r="L52" i="2"/>
  <c r="K52" i="2"/>
  <c r="M52" i="2" s="1"/>
  <c r="L51" i="2"/>
  <c r="K51" i="2"/>
  <c r="M51" i="2" s="1"/>
  <c r="M50" i="2"/>
  <c r="L50" i="2"/>
  <c r="L63" i="2" s="1"/>
  <c r="K50" i="2"/>
  <c r="M49" i="2"/>
  <c r="M48" i="2"/>
  <c r="M47" i="2"/>
  <c r="M46" i="2"/>
  <c r="M45" i="2"/>
  <c r="M44" i="2"/>
  <c r="L44" i="2"/>
  <c r="K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6" i="2"/>
  <c r="M25" i="2"/>
  <c r="M24" i="2"/>
  <c r="M23" i="2"/>
  <c r="M19" i="2"/>
  <c r="M18" i="2"/>
  <c r="M17" i="2"/>
  <c r="L16" i="2"/>
  <c r="M16" i="2" s="1"/>
  <c r="K16" i="2"/>
  <c r="L15" i="2"/>
  <c r="K15" i="2"/>
  <c r="M15" i="2" s="1"/>
  <c r="L14" i="2"/>
  <c r="L58" i="2" s="1"/>
  <c r="K14" i="2"/>
  <c r="K58" i="2" s="1"/>
  <c r="M13" i="2"/>
  <c r="M12" i="2"/>
  <c r="M11" i="2"/>
  <c r="M10" i="2"/>
  <c r="M9" i="2"/>
  <c r="M8" i="2"/>
  <c r="M7" i="2"/>
  <c r="M6" i="2"/>
  <c r="M5" i="2"/>
  <c r="M4" i="2"/>
  <c r="M3" i="2"/>
  <c r="F28" i="5"/>
  <c r="F29" i="5" s="1"/>
  <c r="F27" i="5"/>
  <c r="F15" i="5"/>
  <c r="E14" i="10"/>
  <c r="E12" i="10"/>
  <c r="E11" i="10"/>
  <c r="E10" i="10"/>
  <c r="E8" i="10"/>
  <c r="E7" i="10"/>
  <c r="E6" i="10"/>
  <c r="E5" i="10"/>
  <c r="E4" i="10"/>
  <c r="E3" i="10"/>
  <c r="E2" i="10"/>
  <c r="H27" i="6"/>
  <c r="H26" i="6"/>
  <c r="H25" i="6"/>
  <c r="H24" i="6"/>
  <c r="H23" i="6"/>
  <c r="H22" i="6"/>
  <c r="H20" i="6"/>
  <c r="H19" i="6"/>
  <c r="H18" i="6"/>
  <c r="H17" i="6"/>
  <c r="H16" i="6"/>
  <c r="H15" i="6"/>
  <c r="H14" i="6"/>
  <c r="H13" i="6"/>
  <c r="H12" i="6"/>
  <c r="H11" i="6"/>
  <c r="H9" i="6"/>
  <c r="H8" i="6"/>
  <c r="H7" i="6"/>
  <c r="H6" i="6"/>
  <c r="H5" i="6"/>
  <c r="H4" i="6"/>
  <c r="H3" i="6"/>
  <c r="H2" i="6"/>
  <c r="F21" i="6"/>
  <c r="F10" i="6"/>
  <c r="F28" i="6" s="1"/>
  <c r="F52" i="1"/>
  <c r="F24" i="1"/>
  <c r="F20" i="1"/>
  <c r="F14" i="1"/>
  <c r="F7" i="1"/>
  <c r="F22" i="1" s="1"/>
  <c r="F3" i="13"/>
  <c r="C2" i="13"/>
  <c r="K56" i="2" l="1"/>
  <c r="K59" i="2"/>
  <c r="M53" i="2"/>
  <c r="K60" i="2"/>
  <c r="L60" i="2"/>
  <c r="M14" i="2"/>
  <c r="K20" i="2"/>
  <c r="L62" i="2"/>
  <c r="L20" i="2"/>
  <c r="L21" i="2" s="1"/>
  <c r="L61" i="2" s="1"/>
  <c r="E9" i="10"/>
  <c r="E13" i="10" s="1"/>
  <c r="E15" i="10" s="1"/>
  <c r="G9" i="12"/>
  <c r="G8" i="12"/>
  <c r="G7" i="12"/>
  <c r="G6" i="12"/>
  <c r="G5" i="12"/>
  <c r="G4" i="12"/>
  <c r="G3" i="12"/>
  <c r="G2" i="12"/>
  <c r="K21" i="2" l="1"/>
  <c r="M20" i="2"/>
  <c r="K57" i="2"/>
  <c r="M57" i="2" s="1"/>
  <c r="M56" i="2"/>
  <c r="D26" i="8"/>
  <c r="D25" i="8"/>
  <c r="D23" i="8"/>
  <c r="D22" i="8"/>
  <c r="D19" i="8"/>
  <c r="D18" i="8"/>
  <c r="D17" i="8"/>
  <c r="D16" i="8"/>
  <c r="D14" i="8"/>
  <c r="D13" i="8"/>
  <c r="D12" i="8"/>
  <c r="D11" i="8"/>
  <c r="D9" i="8"/>
  <c r="D8" i="8"/>
  <c r="D7" i="8"/>
  <c r="D6" i="8"/>
  <c r="D5" i="8"/>
  <c r="D4" i="8"/>
  <c r="D3" i="8"/>
  <c r="D2" i="8"/>
  <c r="D19" i="7"/>
  <c r="D18" i="7"/>
  <c r="D17" i="7"/>
  <c r="D14" i="7"/>
  <c r="D13" i="7"/>
  <c r="D12" i="7"/>
  <c r="D10" i="7"/>
  <c r="D9" i="7"/>
  <c r="D8" i="7"/>
  <c r="D7" i="7"/>
  <c r="D6" i="7"/>
  <c r="D4" i="7"/>
  <c r="D3" i="7"/>
  <c r="D2" i="7"/>
  <c r="K61" i="2" l="1"/>
  <c r="M21" i="2"/>
  <c r="D10" i="8"/>
  <c r="D15" i="8"/>
  <c r="D20" i="8"/>
  <c r="D5" i="7"/>
  <c r="D15" i="7"/>
  <c r="D11" i="7"/>
  <c r="D20" i="7" l="1"/>
  <c r="D16" i="7"/>
  <c r="D21" i="8"/>
  <c r="D21" i="7" l="1"/>
  <c r="I55" i="2"/>
  <c r="H55" i="2"/>
  <c r="I54" i="2"/>
  <c r="H54" i="2"/>
  <c r="I52" i="2"/>
  <c r="H52" i="2"/>
  <c r="I51" i="2"/>
  <c r="H51" i="2"/>
  <c r="I50" i="2"/>
  <c r="H50" i="2"/>
  <c r="J49" i="2"/>
  <c r="J48" i="2"/>
  <c r="J47" i="2"/>
  <c r="J46" i="2"/>
  <c r="J45" i="2"/>
  <c r="I44" i="2"/>
  <c r="H44" i="2"/>
  <c r="H53" i="2" s="1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6" i="2"/>
  <c r="J25" i="2"/>
  <c r="J24" i="2"/>
  <c r="J23" i="2"/>
  <c r="J19" i="2"/>
  <c r="J18" i="2"/>
  <c r="J17" i="2"/>
  <c r="I16" i="2"/>
  <c r="H16" i="2"/>
  <c r="I15" i="2"/>
  <c r="H15" i="2"/>
  <c r="J15" i="2" s="1"/>
  <c r="I14" i="2"/>
  <c r="H14" i="2"/>
  <c r="J13" i="2"/>
  <c r="J12" i="2"/>
  <c r="J11" i="2"/>
  <c r="J10" i="2"/>
  <c r="J9" i="2"/>
  <c r="J8" i="2"/>
  <c r="J7" i="2"/>
  <c r="J6" i="2"/>
  <c r="J5" i="2"/>
  <c r="J4" i="2"/>
  <c r="J3" i="2"/>
  <c r="F4" i="13"/>
  <c r="C3" i="13"/>
  <c r="J51" i="2" l="1"/>
  <c r="H60" i="2"/>
  <c r="H58" i="2"/>
  <c r="D29" i="8"/>
  <c r="I60" i="2"/>
  <c r="I58" i="2"/>
  <c r="I62" i="2"/>
  <c r="J55" i="2"/>
  <c r="J14" i="2"/>
  <c r="N58" i="2"/>
  <c r="N60" i="2"/>
  <c r="I59" i="2"/>
  <c r="J52" i="2"/>
  <c r="O58" i="2"/>
  <c r="O60" i="2"/>
  <c r="R60" i="2" s="1"/>
  <c r="O62" i="2"/>
  <c r="O63" i="2"/>
  <c r="H56" i="2"/>
  <c r="N59" i="2"/>
  <c r="F3" i="9" s="1"/>
  <c r="J16" i="2"/>
  <c r="D4" i="9"/>
  <c r="J44" i="2"/>
  <c r="D24" i="8"/>
  <c r="I63" i="2"/>
  <c r="J54" i="2"/>
  <c r="D28" i="8"/>
  <c r="O59" i="2"/>
  <c r="H3" i="9" s="1"/>
  <c r="H59" i="2"/>
  <c r="I53" i="2"/>
  <c r="H57" i="2"/>
  <c r="I20" i="2"/>
  <c r="H20" i="2"/>
  <c r="J50" i="2"/>
  <c r="G28" i="5"/>
  <c r="G27" i="5"/>
  <c r="G15" i="5"/>
  <c r="F14" i="10"/>
  <c r="F12" i="10"/>
  <c r="F11" i="10"/>
  <c r="F10" i="10"/>
  <c r="F8" i="10"/>
  <c r="F7" i="10"/>
  <c r="F6" i="10"/>
  <c r="F4" i="10"/>
  <c r="F3" i="10"/>
  <c r="G21" i="6"/>
  <c r="H21" i="6" s="1"/>
  <c r="G10" i="6"/>
  <c r="G52" i="1"/>
  <c r="G24" i="1"/>
  <c r="G20" i="1"/>
  <c r="G14" i="1"/>
  <c r="G7" i="1"/>
  <c r="E52" i="1"/>
  <c r="D52" i="1"/>
  <c r="C52" i="1"/>
  <c r="E24" i="1"/>
  <c r="D24" i="1"/>
  <c r="C24" i="1"/>
  <c r="B24" i="1"/>
  <c r="F8" i="13"/>
  <c r="F7" i="13"/>
  <c r="C7" i="13"/>
  <c r="F6" i="13"/>
  <c r="C6" i="13"/>
  <c r="F5" i="13"/>
  <c r="C5" i="13"/>
  <c r="C4" i="13"/>
  <c r="H2" i="9" l="1"/>
  <c r="R58" i="2"/>
  <c r="F5" i="9"/>
  <c r="Q60" i="2"/>
  <c r="F2" i="9"/>
  <c r="Q58" i="2"/>
  <c r="G14" i="10"/>
  <c r="G12" i="10"/>
  <c r="G3" i="10"/>
  <c r="G6" i="10"/>
  <c r="G4" i="10"/>
  <c r="G7" i="10"/>
  <c r="G8" i="10"/>
  <c r="G10" i="10"/>
  <c r="G11" i="10"/>
  <c r="F2" i="10"/>
  <c r="H10" i="6"/>
  <c r="J53" i="2"/>
  <c r="I56" i="2"/>
  <c r="I57" i="2" s="1"/>
  <c r="D27" i="8"/>
  <c r="I21" i="2"/>
  <c r="D3" i="9"/>
  <c r="F5" i="10"/>
  <c r="D2" i="9"/>
  <c r="D5" i="9"/>
  <c r="H21" i="2"/>
  <c r="J20" i="2"/>
  <c r="G29" i="5"/>
  <c r="G28" i="6"/>
  <c r="H28" i="6" s="1"/>
  <c r="G22" i="1"/>
  <c r="B13" i="1"/>
  <c r="B52" i="1" s="1"/>
  <c r="B10" i="1"/>
  <c r="B55" i="2"/>
  <c r="C54" i="2"/>
  <c r="B54" i="2"/>
  <c r="B53" i="2"/>
  <c r="C52" i="2"/>
  <c r="B52" i="2"/>
  <c r="C51" i="2"/>
  <c r="B51" i="2"/>
  <c r="C50" i="2"/>
  <c r="B50" i="2"/>
  <c r="C16" i="2"/>
  <c r="B16" i="2"/>
  <c r="C15" i="2"/>
  <c r="B15" i="2"/>
  <c r="C14" i="2"/>
  <c r="B14" i="2"/>
  <c r="J56" i="2" l="1"/>
  <c r="G5" i="10"/>
  <c r="G2" i="10"/>
  <c r="C63" i="2"/>
  <c r="B58" i="2"/>
  <c r="B2" i="9" s="1"/>
  <c r="B60" i="2"/>
  <c r="B5" i="9" s="1"/>
  <c r="H61" i="2"/>
  <c r="D6" i="9" s="1"/>
  <c r="C58" i="2"/>
  <c r="C62" i="2"/>
  <c r="C60" i="2"/>
  <c r="B59" i="2"/>
  <c r="B3" i="9" s="1"/>
  <c r="I61" i="2"/>
  <c r="D30" i="8"/>
  <c r="J57" i="2"/>
  <c r="F9" i="10"/>
  <c r="C59" i="2"/>
  <c r="J21" i="2"/>
  <c r="B20" i="2"/>
  <c r="B21" i="2" s="1"/>
  <c r="C20" i="2"/>
  <c r="C21" i="2" s="1"/>
  <c r="B6" i="5"/>
  <c r="C6" i="5"/>
  <c r="C5" i="6"/>
  <c r="G9" i="10" l="1"/>
  <c r="D31" i="8"/>
  <c r="F13" i="10"/>
  <c r="E55" i="2"/>
  <c r="F54" i="2"/>
  <c r="E54" i="2"/>
  <c r="E53" i="2"/>
  <c r="F52" i="2"/>
  <c r="E52" i="2"/>
  <c r="F51" i="2"/>
  <c r="E51" i="2"/>
  <c r="F50" i="2"/>
  <c r="E50" i="2"/>
  <c r="F16" i="2"/>
  <c r="E16" i="2"/>
  <c r="F15" i="2"/>
  <c r="E15" i="2"/>
  <c r="F14" i="2"/>
  <c r="E14" i="2"/>
  <c r="D27" i="5"/>
  <c r="E27" i="5"/>
  <c r="G13" i="10" l="1"/>
  <c r="F63" i="2"/>
  <c r="E60" i="2"/>
  <c r="C5" i="9" s="1"/>
  <c r="E58" i="2"/>
  <c r="C2" i="9" s="1"/>
  <c r="F20" i="2"/>
  <c r="F21" i="2" s="1"/>
  <c r="F62" i="2"/>
  <c r="F60" i="2"/>
  <c r="F58" i="2"/>
  <c r="E20" i="2"/>
  <c r="E21" i="2" s="1"/>
  <c r="E59" i="2"/>
  <c r="C3" i="9" s="1"/>
  <c r="F15" i="10"/>
  <c r="F59" i="2"/>
  <c r="B27" i="5"/>
  <c r="C27" i="5"/>
  <c r="B15" i="5"/>
  <c r="C15" i="5"/>
  <c r="D15" i="5"/>
  <c r="E15" i="5"/>
  <c r="G15" i="10" l="1"/>
  <c r="D7" i="1"/>
  <c r="C28" i="5"/>
  <c r="B7" i="1"/>
  <c r="C7" i="1"/>
  <c r="E7" i="1"/>
  <c r="C10" i="6"/>
  <c r="C21" i="6"/>
  <c r="F56" i="2"/>
  <c r="F57" i="2" s="1"/>
  <c r="F61" i="2" s="1"/>
  <c r="E56" i="2"/>
  <c r="E57" i="2" s="1"/>
  <c r="E61" i="2" s="1"/>
  <c r="C6" i="9" s="1"/>
  <c r="C28" i="6" l="1"/>
  <c r="B14" i="1" l="1"/>
  <c r="B20" i="1"/>
  <c r="B22" i="1" l="1"/>
  <c r="D21" i="6" l="1"/>
  <c r="E21" i="6"/>
  <c r="E10" i="6"/>
  <c r="D10" i="6"/>
  <c r="B28" i="5" l="1"/>
  <c r="D20" i="1"/>
  <c r="C20" i="1"/>
  <c r="E20" i="1"/>
  <c r="C14" i="1"/>
  <c r="D14" i="1"/>
  <c r="E14" i="1"/>
  <c r="E28" i="5" l="1"/>
  <c r="D28" i="5"/>
  <c r="D28" i="6"/>
  <c r="E28" i="6"/>
  <c r="E29" i="5" l="1"/>
  <c r="C22" i="1"/>
  <c r="D22" i="1"/>
  <c r="E22" i="1"/>
  <c r="B6" i="10" l="1"/>
  <c r="C6" i="10"/>
  <c r="D6" i="10"/>
  <c r="B7" i="10"/>
  <c r="C7" i="10"/>
  <c r="D7" i="10"/>
  <c r="B8" i="10"/>
  <c r="C8" i="10"/>
  <c r="D8" i="10"/>
  <c r="B3" i="10"/>
  <c r="C3" i="10"/>
  <c r="D3" i="10"/>
  <c r="B4" i="10"/>
  <c r="C4" i="10"/>
  <c r="D4" i="10"/>
  <c r="I6" i="12" l="1"/>
  <c r="F2" i="12"/>
  <c r="I2" i="12"/>
  <c r="F3" i="12"/>
  <c r="I3" i="12"/>
  <c r="F4" i="12"/>
  <c r="I4" i="12"/>
  <c r="F5" i="12"/>
  <c r="I5" i="12"/>
  <c r="F6" i="12"/>
  <c r="F7" i="12"/>
  <c r="I7" i="12"/>
  <c r="F8" i="12"/>
  <c r="I8" i="12"/>
  <c r="F9" i="12"/>
  <c r="I9" i="12"/>
  <c r="E9" i="12"/>
  <c r="E8" i="12"/>
  <c r="E7" i="12"/>
  <c r="E6" i="12"/>
  <c r="E5" i="12"/>
  <c r="E4" i="12"/>
  <c r="E3" i="12"/>
  <c r="E2" i="12"/>
  <c r="B10" i="10"/>
  <c r="C10" i="10"/>
  <c r="D10" i="10"/>
  <c r="B11" i="10"/>
  <c r="C11" i="10"/>
  <c r="D11" i="10"/>
  <c r="B12" i="10"/>
  <c r="C12" i="10"/>
  <c r="D12" i="10"/>
  <c r="B14" i="10"/>
  <c r="C14" i="10"/>
  <c r="D14" i="10"/>
  <c r="C4" i="9" l="1"/>
  <c r="B4" i="9"/>
  <c r="I2" i="8"/>
  <c r="I3" i="8"/>
  <c r="I4" i="8"/>
  <c r="I5" i="8"/>
  <c r="I6" i="8"/>
  <c r="I7" i="8"/>
  <c r="I8" i="8"/>
  <c r="I9" i="8"/>
  <c r="I11" i="8"/>
  <c r="I12" i="8"/>
  <c r="I13" i="8"/>
  <c r="I14" i="8"/>
  <c r="I16" i="8"/>
  <c r="I17" i="8"/>
  <c r="I18" i="8"/>
  <c r="I19" i="8"/>
  <c r="I22" i="8"/>
  <c r="I23" i="8"/>
  <c r="I24" i="8"/>
  <c r="I25" i="8"/>
  <c r="I26" i="8"/>
  <c r="I29" i="8"/>
  <c r="F26" i="8"/>
  <c r="J26" i="8" s="1"/>
  <c r="F25" i="8"/>
  <c r="J25" i="8" s="1"/>
  <c r="F24" i="8"/>
  <c r="F23" i="8"/>
  <c r="F22" i="8"/>
  <c r="F19" i="8"/>
  <c r="F18" i="8"/>
  <c r="F17" i="8"/>
  <c r="J17" i="8" s="1"/>
  <c r="F16" i="8"/>
  <c r="F14" i="8"/>
  <c r="F13" i="8"/>
  <c r="F12" i="8"/>
  <c r="F11" i="8"/>
  <c r="F9" i="8"/>
  <c r="F8" i="8"/>
  <c r="F7" i="8"/>
  <c r="J7" i="8" s="1"/>
  <c r="F6" i="8"/>
  <c r="F5" i="8"/>
  <c r="F4" i="8"/>
  <c r="F3" i="8"/>
  <c r="F2" i="8"/>
  <c r="C29" i="8"/>
  <c r="C28" i="8"/>
  <c r="C26" i="8"/>
  <c r="C25" i="8"/>
  <c r="C24" i="8"/>
  <c r="C23" i="8"/>
  <c r="C22" i="8"/>
  <c r="C19" i="8"/>
  <c r="C18" i="8"/>
  <c r="C17" i="8"/>
  <c r="C16" i="8"/>
  <c r="C14" i="8"/>
  <c r="C13" i="8"/>
  <c r="C12" i="8"/>
  <c r="C11" i="8"/>
  <c r="C9" i="8"/>
  <c r="C8" i="8"/>
  <c r="C7" i="8"/>
  <c r="C6" i="8"/>
  <c r="C5" i="8"/>
  <c r="C4" i="8"/>
  <c r="C3" i="8"/>
  <c r="C2" i="8"/>
  <c r="B12" i="8"/>
  <c r="B13" i="8"/>
  <c r="B14" i="8"/>
  <c r="B29" i="8"/>
  <c r="B28" i="8"/>
  <c r="B23" i="8"/>
  <c r="B24" i="8"/>
  <c r="B25" i="8"/>
  <c r="B26" i="8"/>
  <c r="B22" i="8"/>
  <c r="B17" i="8"/>
  <c r="B18" i="8"/>
  <c r="B19" i="8"/>
  <c r="B16" i="8"/>
  <c r="B11" i="8"/>
  <c r="B3" i="8"/>
  <c r="B4" i="8"/>
  <c r="B5" i="8"/>
  <c r="B6" i="8"/>
  <c r="B7" i="8"/>
  <c r="B8" i="8"/>
  <c r="B9" i="8"/>
  <c r="B2" i="8"/>
  <c r="I2" i="7"/>
  <c r="I3" i="7"/>
  <c r="I4" i="7"/>
  <c r="I6" i="7"/>
  <c r="I7" i="7"/>
  <c r="I8" i="7"/>
  <c r="I9" i="7"/>
  <c r="I10" i="7"/>
  <c r="I12" i="7"/>
  <c r="I13" i="7"/>
  <c r="I14" i="7"/>
  <c r="I17" i="7"/>
  <c r="I18" i="7"/>
  <c r="I19" i="7"/>
  <c r="F19" i="7"/>
  <c r="F18" i="7"/>
  <c r="F17" i="7"/>
  <c r="F14" i="7"/>
  <c r="F13" i="7"/>
  <c r="F12" i="7"/>
  <c r="F10" i="7"/>
  <c r="F9" i="7"/>
  <c r="F8" i="7"/>
  <c r="F7" i="7"/>
  <c r="F6" i="7"/>
  <c r="F4" i="7"/>
  <c r="F3" i="7"/>
  <c r="F2" i="7"/>
  <c r="C19" i="7"/>
  <c r="C18" i="7"/>
  <c r="C17" i="7"/>
  <c r="C14" i="7"/>
  <c r="C13" i="7"/>
  <c r="C12" i="7"/>
  <c r="C10" i="7"/>
  <c r="C9" i="7"/>
  <c r="C8" i="7"/>
  <c r="C7" i="7"/>
  <c r="C6" i="7"/>
  <c r="C4" i="7"/>
  <c r="C3" i="7"/>
  <c r="C2" i="7"/>
  <c r="B18" i="7"/>
  <c r="B19" i="7"/>
  <c r="B17" i="7"/>
  <c r="B13" i="7"/>
  <c r="B14" i="7"/>
  <c r="B12" i="7"/>
  <c r="B7" i="7"/>
  <c r="B8" i="7"/>
  <c r="B9" i="7"/>
  <c r="B10" i="7"/>
  <c r="B6" i="7"/>
  <c r="B3" i="7"/>
  <c r="B4" i="7"/>
  <c r="B2" i="7"/>
  <c r="J9" i="8" l="1"/>
  <c r="J19" i="8"/>
  <c r="J5" i="8"/>
  <c r="J13" i="8"/>
  <c r="J8" i="7"/>
  <c r="J13" i="7"/>
  <c r="J6" i="7"/>
  <c r="J18" i="8"/>
  <c r="J6" i="8"/>
  <c r="J22" i="8"/>
  <c r="I20" i="8"/>
  <c r="J10" i="7"/>
  <c r="J9" i="7"/>
  <c r="J19" i="7"/>
  <c r="I11" i="7"/>
  <c r="F15" i="8"/>
  <c r="J23" i="8"/>
  <c r="B5" i="7"/>
  <c r="J4" i="8"/>
  <c r="J8" i="8"/>
  <c r="J24" i="8"/>
  <c r="I15" i="7"/>
  <c r="J14" i="7"/>
  <c r="B11" i="7"/>
  <c r="J4" i="7"/>
  <c r="B27" i="8"/>
  <c r="B15" i="7"/>
  <c r="F27" i="8"/>
  <c r="I27" i="8"/>
  <c r="I15" i="8"/>
  <c r="C27" i="8"/>
  <c r="I10" i="8"/>
  <c r="F10" i="8"/>
  <c r="F20" i="8"/>
  <c r="C10" i="8"/>
  <c r="C15" i="8"/>
  <c r="C20" i="8"/>
  <c r="J14" i="8"/>
  <c r="J3" i="8"/>
  <c r="J12" i="8"/>
  <c r="B20" i="8"/>
  <c r="B15" i="8"/>
  <c r="B10" i="8"/>
  <c r="J2" i="8"/>
  <c r="J11" i="8"/>
  <c r="J16" i="8"/>
  <c r="J2" i="7"/>
  <c r="I5" i="7"/>
  <c r="J17" i="7"/>
  <c r="C15" i="7"/>
  <c r="C11" i="7"/>
  <c r="J7" i="7"/>
  <c r="J12" i="7"/>
  <c r="J18" i="7"/>
  <c r="F11" i="7"/>
  <c r="F5" i="7"/>
  <c r="F15" i="7"/>
  <c r="J3" i="7"/>
  <c r="C5" i="7"/>
  <c r="F21" i="8" l="1"/>
  <c r="B21" i="8"/>
  <c r="C21" i="8"/>
  <c r="I21" i="8"/>
  <c r="C16" i="7"/>
  <c r="I16" i="7"/>
  <c r="F16" i="7"/>
  <c r="B16" i="7"/>
  <c r="B20" i="7"/>
  <c r="B21" i="7" s="1"/>
  <c r="I20" i="7"/>
  <c r="I21" i="7" s="1"/>
  <c r="J11" i="7"/>
  <c r="J20" i="8"/>
  <c r="J15" i="7"/>
  <c r="C30" i="8"/>
  <c r="C31" i="8" s="1"/>
  <c r="J27" i="8"/>
  <c r="B30" i="8"/>
  <c r="B31" i="8" s="1"/>
  <c r="J15" i="8"/>
  <c r="J10" i="8"/>
  <c r="C20" i="7"/>
  <c r="C21" i="7" s="1"/>
  <c r="F20" i="7"/>
  <c r="J5" i="7"/>
  <c r="F21" i="7" l="1"/>
  <c r="G8" i="7" s="1"/>
  <c r="J21" i="8"/>
  <c r="G16" i="7"/>
  <c r="J16" i="7"/>
  <c r="G21" i="7"/>
  <c r="G3" i="7"/>
  <c r="G7" i="7"/>
  <c r="G2" i="7"/>
  <c r="G17" i="7"/>
  <c r="G18" i="7"/>
  <c r="G13" i="7"/>
  <c r="G10" i="7"/>
  <c r="G6" i="7"/>
  <c r="G14" i="7"/>
  <c r="G12" i="7"/>
  <c r="G9" i="7"/>
  <c r="G4" i="7"/>
  <c r="G15" i="7"/>
  <c r="G5" i="7"/>
  <c r="J20" i="7"/>
  <c r="J21" i="7"/>
  <c r="I28" i="8"/>
  <c r="I30" i="8" s="1"/>
  <c r="I31" i="8" s="1"/>
  <c r="G11" i="7" l="1"/>
  <c r="C5" i="10"/>
  <c r="D5" i="10"/>
  <c r="B5" i="10"/>
  <c r="C2" i="10"/>
  <c r="D2" i="10"/>
  <c r="B2" i="10"/>
  <c r="C9" i="10" l="1"/>
  <c r="C13" i="10" s="1"/>
  <c r="C15" i="10" s="1"/>
  <c r="B9" i="10"/>
  <c r="B13" i="10" s="1"/>
  <c r="B15" i="10" s="1"/>
  <c r="D9" i="10"/>
  <c r="D13" i="10" l="1"/>
  <c r="D15" i="10" l="1"/>
  <c r="P49" i="2" l="1"/>
  <c r="P48" i="2"/>
  <c r="P47" i="2"/>
  <c r="P46" i="2"/>
  <c r="P45" i="2"/>
  <c r="P44" i="2"/>
  <c r="P43" i="2"/>
  <c r="P42" i="2"/>
  <c r="P41" i="2"/>
  <c r="P40" i="2"/>
  <c r="P39" i="2"/>
  <c r="P38" i="2"/>
  <c r="P37" i="2"/>
  <c r="P36" i="2"/>
  <c r="P35" i="2"/>
  <c r="P34" i="2"/>
  <c r="P33" i="2"/>
  <c r="P32" i="2"/>
  <c r="P31" i="2"/>
  <c r="P30" i="2"/>
  <c r="P29" i="2"/>
  <c r="P26" i="2"/>
  <c r="P25" i="2"/>
  <c r="P24" i="2"/>
  <c r="P23" i="2"/>
  <c r="P19" i="2"/>
  <c r="P18" i="2"/>
  <c r="P17" i="2"/>
  <c r="P13" i="2"/>
  <c r="P12" i="2"/>
  <c r="P11" i="2"/>
  <c r="P10" i="2"/>
  <c r="P9" i="2"/>
  <c r="P8" i="2"/>
  <c r="P7" i="2"/>
  <c r="P6" i="2"/>
  <c r="P5" i="2"/>
  <c r="P4" i="2"/>
  <c r="P3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6" i="2"/>
  <c r="G25" i="2"/>
  <c r="G24" i="2"/>
  <c r="G23" i="2"/>
  <c r="G19" i="2"/>
  <c r="G18" i="2"/>
  <c r="G17" i="2"/>
  <c r="G13" i="2"/>
  <c r="G11" i="2"/>
  <c r="G10" i="2"/>
  <c r="G9" i="2"/>
  <c r="G8" i="2"/>
  <c r="G7" i="2"/>
  <c r="G6" i="2"/>
  <c r="G5" i="2"/>
  <c r="G4" i="2"/>
  <c r="G3" i="2"/>
  <c r="D24" i="2"/>
  <c r="D25" i="2"/>
  <c r="D26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23" i="2"/>
  <c r="D4" i="2"/>
  <c r="D5" i="2"/>
  <c r="D6" i="2"/>
  <c r="D7" i="2"/>
  <c r="D8" i="2"/>
  <c r="D9" i="2"/>
  <c r="D10" i="2"/>
  <c r="D11" i="2"/>
  <c r="D13" i="2"/>
  <c r="D17" i="2"/>
  <c r="D18" i="2"/>
  <c r="D19" i="2"/>
  <c r="D3" i="2"/>
  <c r="F28" i="8" l="1"/>
  <c r="H5" i="9"/>
  <c r="H4" i="9" l="1"/>
  <c r="F4" i="9"/>
  <c r="P55" i="2"/>
  <c r="F29" i="8"/>
  <c r="J28" i="8"/>
  <c r="P51" i="2"/>
  <c r="P54" i="2"/>
  <c r="P53" i="2"/>
  <c r="P52" i="2"/>
  <c r="P50" i="2"/>
  <c r="P16" i="2"/>
  <c r="P14" i="2"/>
  <c r="P15" i="2"/>
  <c r="O56" i="2"/>
  <c r="R56" i="2" s="1"/>
  <c r="N56" i="2"/>
  <c r="Q56" i="2" s="1"/>
  <c r="O57" i="2" l="1"/>
  <c r="R57" i="2" s="1"/>
  <c r="F30" i="8"/>
  <c r="F31" i="8"/>
  <c r="J30" i="8"/>
  <c r="J29" i="8"/>
  <c r="P21" i="2"/>
  <c r="P20" i="2"/>
  <c r="N57" i="2"/>
  <c r="Q57" i="2" s="1"/>
  <c r="P56" i="2"/>
  <c r="G12" i="2"/>
  <c r="D55" i="2"/>
  <c r="D54" i="2"/>
  <c r="G21" i="8" l="1"/>
  <c r="P57" i="2"/>
  <c r="N61" i="2"/>
  <c r="F6" i="9" s="1"/>
  <c r="O61" i="2"/>
  <c r="H6" i="9" s="1"/>
  <c r="G17" i="8"/>
  <c r="G13" i="8"/>
  <c r="G23" i="8"/>
  <c r="G18" i="8"/>
  <c r="G14" i="8"/>
  <c r="G31" i="8"/>
  <c r="G16" i="8"/>
  <c r="G12" i="8"/>
  <c r="G8" i="8"/>
  <c r="G9" i="8"/>
  <c r="G24" i="8"/>
  <c r="G26" i="8"/>
  <c r="G11" i="8"/>
  <c r="G3" i="8"/>
  <c r="G6" i="8"/>
  <c r="G5" i="8"/>
  <c r="G25" i="8"/>
  <c r="G22" i="8"/>
  <c r="G7" i="8"/>
  <c r="G2" i="8"/>
  <c r="G15" i="8"/>
  <c r="G4" i="8"/>
  <c r="G19" i="8"/>
  <c r="G20" i="8"/>
  <c r="G10" i="8"/>
  <c r="G27" i="8"/>
  <c r="J31" i="8"/>
  <c r="G28" i="8"/>
  <c r="G14" i="2"/>
  <c r="G15" i="2"/>
  <c r="G50" i="2"/>
  <c r="G51" i="2"/>
  <c r="G52" i="2"/>
  <c r="G53" i="2"/>
  <c r="G54" i="2"/>
  <c r="G55" i="2"/>
  <c r="D14" i="2"/>
  <c r="D16" i="2"/>
  <c r="D12" i="2"/>
  <c r="D51" i="2"/>
  <c r="D53" i="2"/>
  <c r="D15" i="2"/>
  <c r="D50" i="2"/>
  <c r="D52" i="2"/>
  <c r="C56" i="2"/>
  <c r="C57" i="2" s="1"/>
  <c r="C61" i="2" s="1"/>
  <c r="B56" i="2"/>
  <c r="G20" i="2" l="1"/>
  <c r="G56" i="2"/>
  <c r="G16" i="2"/>
  <c r="D21" i="2"/>
  <c r="D20" i="2"/>
  <c r="B57" i="2"/>
  <c r="D56" i="2"/>
  <c r="D57" i="2" l="1"/>
  <c r="B61" i="2"/>
  <c r="B6" i="9" s="1"/>
  <c r="G21" i="2"/>
  <c r="G57" i="2"/>
</calcChain>
</file>

<file path=xl/sharedStrings.xml><?xml version="1.0" encoding="utf-8"?>
<sst xmlns="http://schemas.openxmlformats.org/spreadsheetml/2006/main" count="475" uniqueCount="372">
  <si>
    <t>Risultato di amministrazione (A)</t>
  </si>
  <si>
    <t>Parte accantonata (B)</t>
  </si>
  <si>
    <t>Parte vincolata (C)</t>
  </si>
  <si>
    <t>Parte destinata a investimenti (D)</t>
  </si>
  <si>
    <t>Parte disponibile (E=A-B-C-D)</t>
  </si>
  <si>
    <t>Saldo di cassa</t>
  </si>
  <si>
    <t>Residui attivi</t>
  </si>
  <si>
    <t>Residui passivi</t>
  </si>
  <si>
    <t>FPV per spese correnti</t>
  </si>
  <si>
    <t>Fondo crediti di dubbia esigibilità</t>
  </si>
  <si>
    <t>Fondo anticipazioni liquidità DL35/2013</t>
  </si>
  <si>
    <t>Fondo perdite società partecipate</t>
  </si>
  <si>
    <t>Fondo contenzioso</t>
  </si>
  <si>
    <t>Altri accantonamenti</t>
  </si>
  <si>
    <t>Vincoli da trasferimenti</t>
  </si>
  <si>
    <t>Vincoli da leggi e principi contabili</t>
  </si>
  <si>
    <t>Vincoli da contrazione di mutui</t>
  </si>
  <si>
    <t>Vincoli attribuiti dall'ente</t>
  </si>
  <si>
    <t>Altri vincoli</t>
  </si>
  <si>
    <t xml:space="preserve">  100 Entrate correnti di natura tributaria, contributiva e perequativa </t>
  </si>
  <si>
    <t xml:space="preserve">  200 Trasferimenti correnti </t>
  </si>
  <si>
    <t xml:space="preserve">  300 Entrate extratributarie </t>
  </si>
  <si>
    <t xml:space="preserve">  401 Tributi in conto capitale</t>
  </si>
  <si>
    <t xml:space="preserve">  402 Contributi agli investimenti </t>
  </si>
  <si>
    <t xml:space="preserve">  403 Altri trasferimenti in conto capitale </t>
  </si>
  <si>
    <t xml:space="preserve">  404 Entrate da alienazione di beni materiali e immateriali </t>
  </si>
  <si>
    <t xml:space="preserve">  405 Altre entrate in conto capitale </t>
  </si>
  <si>
    <t xml:space="preserve">  501 Alienazione di attività finanziarie </t>
  </si>
  <si>
    <t xml:space="preserve">  502_3 Riscossione di crediti </t>
  </si>
  <si>
    <t xml:space="preserve">  504 Altre entrate per riduzione di attività finanziarie </t>
  </si>
  <si>
    <t xml:space="preserve"> - Entrate correnti </t>
  </si>
  <si>
    <t xml:space="preserve"> - Entrate in conto capitale</t>
  </si>
  <si>
    <t xml:space="preserve"> - Entrate da riduzione attività finanziarie </t>
  </si>
  <si>
    <t xml:space="preserve"> - Accensione di prestiti </t>
  </si>
  <si>
    <t xml:space="preserve"> - Anticipazioni da istituto tesoriere/cassiere </t>
  </si>
  <si>
    <t xml:space="preserve"> - Entrate per conto terzi e partite di giro</t>
  </si>
  <si>
    <t>Totale Entrate</t>
  </si>
  <si>
    <t>Entrate nette</t>
  </si>
  <si>
    <t xml:space="preserve">101 REDDITI DA LAVORO DIPENDENTE </t>
  </si>
  <si>
    <t xml:space="preserve">102 IMPOSTE E TASSE A CARICO DELL'ENTE </t>
  </si>
  <si>
    <t xml:space="preserve">103 ACQUISTO DI BENI E SERVIZI </t>
  </si>
  <si>
    <t xml:space="preserve">104 TRASFERIMENTI CORRENTI </t>
  </si>
  <si>
    <t xml:space="preserve">107 INTERESSI PASSIVI </t>
  </si>
  <si>
    <t xml:space="preserve">108 ALTRE SPESE PER REDDITI DA CAPITALE </t>
  </si>
  <si>
    <t xml:space="preserve">109 RIMBORSI E POSTE CORRETTIVE DELLE ENTRATE </t>
  </si>
  <si>
    <t xml:space="preserve">110 ALTRE SPESE CORRENTI </t>
  </si>
  <si>
    <t>201 TRIBUTI IN CONTO CAPITALE A CARICO DELL?ENTE</t>
  </si>
  <si>
    <t xml:space="preserve">202 INVESTIMENTI FISSI LORDI E ACQUISTO DI TERRENI </t>
  </si>
  <si>
    <t xml:space="preserve">203 CONTRIBUTI AGLI INVESTIMENTI </t>
  </si>
  <si>
    <t xml:space="preserve">204ALTRI TRASFERIMENTI IN CONTO CAPITALE </t>
  </si>
  <si>
    <t xml:space="preserve">205ALTRE SPESE IN CONTO CAPITALE </t>
  </si>
  <si>
    <t xml:space="preserve">301 ACQUISIZIONI DI ATTIVITA' FINANZIARIE </t>
  </si>
  <si>
    <t xml:space="preserve">303 CONCESSIONE CREDITI DI MEDIO-LUNGO TERMINE </t>
  </si>
  <si>
    <t xml:space="preserve">304 ALTRE SPESE PER INCREMENTO DI ATTIVITA' FINANZIARIE </t>
  </si>
  <si>
    <t xml:space="preserve">401 RIMBORSO DI TITOLI OBBLIGAZIONARI </t>
  </si>
  <si>
    <t xml:space="preserve">402 RIMBORSO PRESTITI A BREVE TERMINE </t>
  </si>
  <si>
    <t xml:space="preserve">403 RIMBORSO MUTUI E ALTRI FINANZIAMENTI A MEDIO LUNGO TERMINE </t>
  </si>
  <si>
    <t xml:space="preserve">404 RIMBORSO DI ALTRE FORME DI INDEBITAMENTO </t>
  </si>
  <si>
    <t xml:space="preserve">405 FONDI PER RIMBORSO PRESTITI </t>
  </si>
  <si>
    <t xml:space="preserve">501 CHIUSURA ANTICIPAZIONI RICEVUTE DA ISTITUTO TESORIERE/CASSIERE </t>
  </si>
  <si>
    <t xml:space="preserve">701 USCITE PER PARTITE DI GIRO </t>
  </si>
  <si>
    <t xml:space="preserve">702 USCITE PER CONTO TERZI </t>
  </si>
  <si>
    <t>1 Spese correnti</t>
  </si>
  <si>
    <t>2 Spese in conto capitale</t>
  </si>
  <si>
    <t>3 Spese per incremento attività finanziaria</t>
  </si>
  <si>
    <t>4 Rimborso prestiti</t>
  </si>
  <si>
    <t>5 Chiusura anticipazioni ricevute tesoriere/cassiere</t>
  </si>
  <si>
    <t>7 Conto terzi e partite di giro</t>
  </si>
  <si>
    <t>Totale Uscite</t>
  </si>
  <si>
    <t>Uscite nette</t>
  </si>
  <si>
    <t>Saldo corrente</t>
  </si>
  <si>
    <t>Saldo in conto capitale</t>
  </si>
  <si>
    <t>Acc</t>
  </si>
  <si>
    <t>Risc</t>
  </si>
  <si>
    <t>Imp</t>
  </si>
  <si>
    <t>Pag</t>
  </si>
  <si>
    <t>Rigidità strutturale di bilancio</t>
  </si>
  <si>
    <t>1.1</t>
  </si>
  <si>
    <t>Incidenza spese rigide (ripiano disavanzo,personale e debito) su entrate correnti</t>
  </si>
  <si>
    <t>Entrate correnti</t>
  </si>
  <si>
    <t>2.1</t>
  </si>
  <si>
    <t>Incidenza degli accertamenti di parte corrente sulle previsioni iniziali di parte corrente</t>
  </si>
  <si>
    <t>2.2</t>
  </si>
  <si>
    <t>Incidenza degli accertamenti di parte corrente sulle previsioni definitive di parte corrente</t>
  </si>
  <si>
    <t>2.3</t>
  </si>
  <si>
    <t>Incidenza degli accertamenti delle entrate proprie sulle previsioni iniziali di parte corrente</t>
  </si>
  <si>
    <t>2.4</t>
  </si>
  <si>
    <t>Incidenza degli accertamenti delle entrate proprie sulle previsioni definitive di parte corrente</t>
  </si>
  <si>
    <t>2.5</t>
  </si>
  <si>
    <t>Incidenza degli incassi correnti sulle previsioni iniziali di parte corrente</t>
  </si>
  <si>
    <t>2.6</t>
  </si>
  <si>
    <t>Incidenza degli incassi correnti sulle previsioni definitive di parte corrente</t>
  </si>
  <si>
    <t>2.7</t>
  </si>
  <si>
    <t>Incidenza degli incassi delle entrate proprie sulle previsioni iniziali di parte corrente</t>
  </si>
  <si>
    <t>2.8</t>
  </si>
  <si>
    <t>Incidenza degli incassi delle entrate proprie sulle previsioni definitive di parte corrente</t>
  </si>
  <si>
    <t>Anticipazioni dell'Istituto tesoriere</t>
  </si>
  <si>
    <t>3.1</t>
  </si>
  <si>
    <t>Utilizzo medio Anticipazioni di tesoreria</t>
  </si>
  <si>
    <t>3.2</t>
  </si>
  <si>
    <t>Anticipazione chiuse solo contabilmente</t>
  </si>
  <si>
    <t>Spese di personale</t>
  </si>
  <si>
    <t>4.1</t>
  </si>
  <si>
    <t>Incidenza della spesa di personale sulla spesa corrente</t>
  </si>
  <si>
    <t>4.2</t>
  </si>
  <si>
    <t>Incidenza del salario accessorio ed incentivante rispetto al totale della spesa di personale</t>
  </si>
  <si>
    <t>4.3</t>
  </si>
  <si>
    <t>Incidenza spesa personale flessibile rispetto al totale della spesa di personale</t>
  </si>
  <si>
    <t>4.4</t>
  </si>
  <si>
    <t>Spesa di personale procapite</t>
  </si>
  <si>
    <t>Esternalizzazione dei servizi</t>
  </si>
  <si>
    <t>5.1</t>
  </si>
  <si>
    <t>Indicatore di esternalizzazione dei servizi</t>
  </si>
  <si>
    <t>Interessi passivi</t>
  </si>
  <si>
    <t>6.1</t>
  </si>
  <si>
    <t>Incidenza degli interessi passivi sulla spesa corrente</t>
  </si>
  <si>
    <t>6.2</t>
  </si>
  <si>
    <t>Incidenza degli interessi passivi sulle anticipazioni sul totale della spesa per interessi passivi</t>
  </si>
  <si>
    <t>6.3</t>
  </si>
  <si>
    <t>Incidenza interessi di mora sul totale della spesa per interessi passivi</t>
  </si>
  <si>
    <t>Investimenti</t>
  </si>
  <si>
    <t>7.1</t>
  </si>
  <si>
    <t>Incidenza investimenti sul totale della spesa corrente e in conto capitale</t>
  </si>
  <si>
    <t>7.2</t>
  </si>
  <si>
    <t>Investimenti diretti procapite</t>
  </si>
  <si>
    <t>7.3</t>
  </si>
  <si>
    <t>Contributi agli investimenti procapite</t>
  </si>
  <si>
    <t>7.4</t>
  </si>
  <si>
    <t>Investimenti complessivi procapite</t>
  </si>
  <si>
    <t>7.5</t>
  </si>
  <si>
    <t>Quota investimenti complessivi finanziati dal risparmio corrente</t>
  </si>
  <si>
    <t>7.6</t>
  </si>
  <si>
    <t>Quota investimenti complessivi finanziati dal saldo positivo delle partite finanziarie</t>
  </si>
  <si>
    <t>7.7</t>
  </si>
  <si>
    <t>Quota investimenti complessivi finanziati da debito</t>
  </si>
  <si>
    <t>Analisi dei residui</t>
  </si>
  <si>
    <t>8.1</t>
  </si>
  <si>
    <t>Incidenza nuovi residui passivi di parte corrente su stock residui passivi correnti</t>
  </si>
  <si>
    <t>8.2</t>
  </si>
  <si>
    <t>Incidenza nuovi residui passivi in c/capitale su stock residui passivi in conto capitale al 31/12</t>
  </si>
  <si>
    <t>8.3</t>
  </si>
  <si>
    <t>Incidenza nuovi residui passivi per incremento attività finanziarie su stock residui passivi per incremento attività finanziarie al 31/12</t>
  </si>
  <si>
    <t>8.4</t>
  </si>
  <si>
    <t>Incidenza nuovi residui attivi di parte corrente su stock residui attivi di parte corrente</t>
  </si>
  <si>
    <t>8.5</t>
  </si>
  <si>
    <t>Incidenza nuovi residui attivi in c/capitale su stock residui attivi in c/capitale</t>
  </si>
  <si>
    <t>8.6</t>
  </si>
  <si>
    <t>Incidenza nuovi residui attivi per riduzione di attività finanziarie su stock residui attivi per riduzione di attività finanziarie</t>
  </si>
  <si>
    <t>Smaltimento debiti non finanziari</t>
  </si>
  <si>
    <t>9.1</t>
  </si>
  <si>
    <t>Smaltimento debiti commerciali nati nell'esercizio</t>
  </si>
  <si>
    <t>9.2</t>
  </si>
  <si>
    <t>Smaltimento debiti commerciali nati negli esercizi precedenti</t>
  </si>
  <si>
    <t>9.3</t>
  </si>
  <si>
    <t>Smaltimento debiti verso altre amministrazioni pubbliche nati nell'esercizio</t>
  </si>
  <si>
    <t>9.4</t>
  </si>
  <si>
    <t>Smaltimento debiti verso altre amministrazioni pubbliche nati negli esercizi precedenti</t>
  </si>
  <si>
    <t>9.5</t>
  </si>
  <si>
    <t>Indicatore annuale di tempestività dei pagamenti</t>
  </si>
  <si>
    <t>Debiti finanziari</t>
  </si>
  <si>
    <t>10.1</t>
  </si>
  <si>
    <t>Incidenza estinzioni anticipate debiti finanziari</t>
  </si>
  <si>
    <t>10.2</t>
  </si>
  <si>
    <t>Incidenza estinzioni ordinarie debiti finanziari</t>
  </si>
  <si>
    <t>10.3</t>
  </si>
  <si>
    <t>Sostenibilità debiti finanziari</t>
  </si>
  <si>
    <t>10.4</t>
  </si>
  <si>
    <t>Indebitamento procapite</t>
  </si>
  <si>
    <t>Composizione dell'avanzo di amministrazione</t>
  </si>
  <si>
    <t>11.1</t>
  </si>
  <si>
    <t>Incidenza quota libera di parte corrente nell'avanzo</t>
  </si>
  <si>
    <t>11.2</t>
  </si>
  <si>
    <t>Incidenza quota libera in c/capitale nell'avanzo</t>
  </si>
  <si>
    <t>11.3</t>
  </si>
  <si>
    <t>Incidenza quota accantonata nell'avanzo</t>
  </si>
  <si>
    <t>11.4</t>
  </si>
  <si>
    <t>Incidenza quota vincolata nell'avanzo</t>
  </si>
  <si>
    <t>Disavanzo di amministrazione</t>
  </si>
  <si>
    <t>12.1</t>
  </si>
  <si>
    <t>Quota disavanzo ripianato nell'esercizio</t>
  </si>
  <si>
    <t>12.2</t>
  </si>
  <si>
    <t>Incremento del disavanzo rispetto all'esercizio precedente</t>
  </si>
  <si>
    <t>12.3</t>
  </si>
  <si>
    <t>Sostenibilità patrimoniale del disavanzo</t>
  </si>
  <si>
    <t>12.4</t>
  </si>
  <si>
    <t>Sostenibilità disavanzo effettivamente a carico dell'esercizio</t>
  </si>
  <si>
    <t>Debiti fuori bilancio</t>
  </si>
  <si>
    <t>13.1</t>
  </si>
  <si>
    <t>Debiti riconosciuti e finanziati</t>
  </si>
  <si>
    <t>13.2</t>
  </si>
  <si>
    <t>Debiti in corso di riconoscimento</t>
  </si>
  <si>
    <t>13.3</t>
  </si>
  <si>
    <t>Debiti riconosciuti e in corso di finanziamento</t>
  </si>
  <si>
    <t>Fondo pluriennale vincolato</t>
  </si>
  <si>
    <t>14.1</t>
  </si>
  <si>
    <t>Utilizzo del FPV</t>
  </si>
  <si>
    <t>Partite di giro e conto terzi</t>
  </si>
  <si>
    <t>15.1</t>
  </si>
  <si>
    <t>Incidenza partite di giro e conto terzi in entrata</t>
  </si>
  <si>
    <t>15.2</t>
  </si>
  <si>
    <t>Incidenza partite di giro e conto terzi in uscita</t>
  </si>
  <si>
    <t>Complessiva</t>
  </si>
  <si>
    <t>Crediti esigibili nell'esercizio</t>
  </si>
  <si>
    <t>Crediti esigibili negli esercizi precedenti</t>
  </si>
  <si>
    <t>Istruzione e diritto allo studio</t>
  </si>
  <si>
    <t>Trasporti e diritto alla mobilità</t>
  </si>
  <si>
    <t>Diritti sociali, politiche sociali e famiglia</t>
  </si>
  <si>
    <t>Capacità di pagamento</t>
  </si>
  <si>
    <t>Debiti da finanziamento (D1)</t>
  </si>
  <si>
    <t>Piano degli indicatori</t>
  </si>
  <si>
    <t>Soglia</t>
  </si>
  <si>
    <t>Crediti verso lo Stato e altre AP per Fondo dotazione (A)</t>
  </si>
  <si>
    <t>Immobilizzazioni immateriali (B1)</t>
  </si>
  <si>
    <t>Immobilizzazioni materiali (B2)</t>
  </si>
  <si>
    <t>Crediti (C2)</t>
  </si>
  <si>
    <t>Disponibilità liquide (C4)</t>
  </si>
  <si>
    <t>Ratei e risconti attivi (D)</t>
  </si>
  <si>
    <t>TOTALE ATTIVO</t>
  </si>
  <si>
    <t>Fondo di dotazione (A1)</t>
  </si>
  <si>
    <t>Riserve (A2)</t>
  </si>
  <si>
    <t>Risultato economico dell'esercizio (A3)</t>
  </si>
  <si>
    <t>Fondo rischi ed oneri (B)</t>
  </si>
  <si>
    <t>Debiti verso fornitori (D2)</t>
  </si>
  <si>
    <t>Debiti per trasferimenti e contributi (D4)</t>
  </si>
  <si>
    <t>Altri debiti (D5)</t>
  </si>
  <si>
    <t>Ratei e risconti passivi (E)</t>
  </si>
  <si>
    <t>TOTALE PASSIVO</t>
  </si>
  <si>
    <t>Immobilizzazioni finanziarie - partecipazioni (B3.1)</t>
  </si>
  <si>
    <t>Immobilizzazioni finanziarie - crediti (B3.2)</t>
  </si>
  <si>
    <t>Immobilizzazioni finanziarie - altri titoli (B3.3)</t>
  </si>
  <si>
    <t>Rimanenze (C1)</t>
  </si>
  <si>
    <t>Attività finanziarie che non costituiscono utilizzi (C3)</t>
  </si>
  <si>
    <t>Var. %</t>
  </si>
  <si>
    <t>%Risc</t>
  </si>
  <si>
    <t>Proventi da tributi</t>
  </si>
  <si>
    <t>Proventi da fondi perequativi</t>
  </si>
  <si>
    <t>Proventi da trasferimenti e contributi</t>
  </si>
  <si>
    <t>Ricavi delle vendite e prestazioni e proventi da servizi pubblici</t>
  </si>
  <si>
    <t>Variazioni nelle rimanenze di prodotti in corso di lavorazione, etc. (+/-)</t>
  </si>
  <si>
    <t>Variazione dei lavori in corso su ordinazione</t>
  </si>
  <si>
    <t>Incrementi di immobilizzazioni per lavori interni</t>
  </si>
  <si>
    <t>Altri ricavi e proventi diversi</t>
  </si>
  <si>
    <t>Acquisto di materie prime e/o beni di consumo</t>
  </si>
  <si>
    <t>Prestazioni di servizi</t>
  </si>
  <si>
    <t>Utilizzo beni di terzi</t>
  </si>
  <si>
    <t>Trasferimenti e contributi</t>
  </si>
  <si>
    <t>Personale</t>
  </si>
  <si>
    <t>Ammortamenti e svalutazioni</t>
  </si>
  <si>
    <t>Variazioni nelle rimanenze di materie prime e/o beni di consumo (+/-)</t>
  </si>
  <si>
    <t>Accantonamenti per rischi</t>
  </si>
  <si>
    <t>Oneri diversi di gestione</t>
  </si>
  <si>
    <t>Proventi finanziari</t>
  </si>
  <si>
    <t>Oneri finanziari</t>
  </si>
  <si>
    <t>Rettifiche di valore</t>
  </si>
  <si>
    <t>Proventi straordinari</t>
  </si>
  <si>
    <t>Oneri straordinari</t>
  </si>
  <si>
    <t>Imposte</t>
  </si>
  <si>
    <t>Risultato dell'esercizio</t>
  </si>
  <si>
    <t>(+)</t>
  </si>
  <si>
    <t>(-)</t>
  </si>
  <si>
    <t>(=)</t>
  </si>
  <si>
    <t xml:space="preserve">302 CONCESSIONE CREDITI DI BREVE TERMINE </t>
  </si>
  <si>
    <t>COMPONENTI POSITIVI DELLA GESTIONE</t>
  </si>
  <si>
    <t>COMPONENTI NEGATIVI DELLA GESTIONE</t>
  </si>
  <si>
    <t>Diff.</t>
  </si>
  <si>
    <t>PATRIMONIO NETTO</t>
  </si>
  <si>
    <t>Incidenza spesa (al netto servizi per conto terzi)</t>
  </si>
  <si>
    <t>% Risc.</t>
  </si>
  <si>
    <t>101 Redditi da lavoro dipendente</t>
  </si>
  <si>
    <t>102 Imposte e tasse a carico dell'ente</t>
  </si>
  <si>
    <t>103 Acquisto di beni e servizi</t>
  </si>
  <si>
    <t>104 Trasferimenti correnti</t>
  </si>
  <si>
    <t>107 Interessi passivi</t>
  </si>
  <si>
    <t>108 Altre spese per redditi da capitale</t>
  </si>
  <si>
    <t>109 Rimborsi e poste correttive delle entrate</t>
  </si>
  <si>
    <t>110 Altre spese correnti</t>
  </si>
  <si>
    <t>202 Investimenti fissi lordi e acquisto di terreni</t>
  </si>
  <si>
    <t>203 Contributi agli investimenti</t>
  </si>
  <si>
    <t>204 Altri trasferimenti in conto capitale</t>
  </si>
  <si>
    <t>205 Altre spese in conto capitale</t>
  </si>
  <si>
    <t xml:space="preserve"> - Spese correnti </t>
  </si>
  <si>
    <t xml:space="preserve"> - Spese in conto capitale</t>
  </si>
  <si>
    <t>301 Acquisizioni di attività finanziarie</t>
  </si>
  <si>
    <t>302 Concessione crediti di breve termine</t>
  </si>
  <si>
    <t>303 Concessione crediti di medio-lungo termine</t>
  </si>
  <si>
    <t>304 Altre spese per incremento di attività finanziarie</t>
  </si>
  <si>
    <t xml:space="preserve"> - Spese per incremento attività finanziarie </t>
  </si>
  <si>
    <t>401 Rimborso di titoli obbligazionari</t>
  </si>
  <si>
    <t>402 Rimborso prestiti a breve termine</t>
  </si>
  <si>
    <t>403 Rimborso mutui e finanziamenti a medio-lungo termine</t>
  </si>
  <si>
    <t>404 Rimborso di altre forme di indebitamento</t>
  </si>
  <si>
    <t>405 Fondi per rimborso prestiti</t>
  </si>
  <si>
    <t xml:space="preserve"> - Rimborso prestiti </t>
  </si>
  <si>
    <t xml:space="preserve"> - Chiusura anticipazioni ricevute da tesoriere/cassiere </t>
  </si>
  <si>
    <t xml:space="preserve"> - Uscite per conto terzi e partite di giro</t>
  </si>
  <si>
    <t>Comp.% netta</t>
  </si>
  <si>
    <t xml:space="preserve">Saldo corrente </t>
  </si>
  <si>
    <t xml:space="preserve">Saldo finale </t>
  </si>
  <si>
    <t>Saldo netto</t>
  </si>
  <si>
    <t>Saldo riduzione/incremento attività finanziarie</t>
  </si>
  <si>
    <t>Capacità di riscossione</t>
  </si>
  <si>
    <t>Spesa per il personale (pro capite)</t>
  </si>
  <si>
    <t>Investimenti (pro capite)</t>
  </si>
  <si>
    <t>Entrate natura tributaria, contributiva e perequativa (Titolo 1)</t>
  </si>
  <si>
    <t>Saldo della gestione</t>
  </si>
  <si>
    <t>(Proventi - Oneri) finanziari</t>
  </si>
  <si>
    <t>(Proventi- Oneri) straordinari</t>
  </si>
  <si>
    <t>Saldo prima delle imposte</t>
  </si>
  <si>
    <t>Parametro</t>
  </si>
  <si>
    <t>Indicatore</t>
  </si>
  <si>
    <t>P.1</t>
  </si>
  <si>
    <t>P.2</t>
  </si>
  <si>
    <t>P.3</t>
  </si>
  <si>
    <t>P.4</t>
  </si>
  <si>
    <t>P.5</t>
  </si>
  <si>
    <t>P.6</t>
  </si>
  <si>
    <t>P.7</t>
  </si>
  <si>
    <t>P.8</t>
  </si>
  <si>
    <t>Incidenza spese rigide (ripiano disavanzo, personale e debito) su entrate correnti</t>
  </si>
  <si>
    <t>Descrizione</t>
  </si>
  <si>
    <t>13.2/3</t>
  </si>
  <si>
    <t>Anticipazione di tesoreria chiuse solo contabilmente</t>
  </si>
  <si>
    <t>Sostenibilità dei debiti finanziari</t>
  </si>
  <si>
    <t>Debiti in corso di riconoscimento o di finanziamento</t>
  </si>
  <si>
    <t>Effettiva capacità di riscossione (totale Entrate)</t>
  </si>
  <si>
    <t>&gt; 48</t>
  </si>
  <si>
    <t>&lt;22</t>
  </si>
  <si>
    <t>&gt;0</t>
  </si>
  <si>
    <t>&gt;16</t>
  </si>
  <si>
    <t>&gt;1,2</t>
  </si>
  <si>
    <t>&gt;1</t>
  </si>
  <si>
    <t>&gt;0,6</t>
  </si>
  <si>
    <t>&lt;47</t>
  </si>
  <si>
    <t>Totale Entrate nette</t>
  </si>
  <si>
    <t>% Pag.</t>
  </si>
  <si>
    <t>Risc. - Pag.</t>
  </si>
  <si>
    <t xml:space="preserve">  -- di cui proventi da tributi</t>
  </si>
  <si>
    <t xml:space="preserve">  -- di cui proventi da trasferimenti</t>
  </si>
  <si>
    <t xml:space="preserve">  -- di cui prestazioni di servizi</t>
  </si>
  <si>
    <t xml:space="preserve">  -- di cui personale</t>
  </si>
  <si>
    <t xml:space="preserve">  -- di cui ammortamenti e svalutazioni</t>
  </si>
  <si>
    <t>Ricavi e proventi</t>
  </si>
  <si>
    <t>Costi</t>
  </si>
  <si>
    <t>Entrate finali</t>
  </si>
  <si>
    <t>Uscite finali</t>
  </si>
  <si>
    <t>Sviluppo sostenibile, tutela territ. e ambiente</t>
  </si>
  <si>
    <t>Saldo naturale</t>
  </si>
  <si>
    <t>Saldo migratorio</t>
  </si>
  <si>
    <t>Verifica</t>
  </si>
  <si>
    <t>Fondo a copertura residui perenti</t>
  </si>
  <si>
    <t>105 TRASFERIMENTI DI TRIBUTI</t>
  </si>
  <si>
    <t>106 FONDI PEREQUATIVI</t>
  </si>
  <si>
    <t>12.5</t>
  </si>
  <si>
    <t>Quota disavanzo derivante da debito autorizzato e non contratto</t>
  </si>
  <si>
    <t xml:space="preserve">Tutela della salute </t>
  </si>
  <si>
    <t>FPV per spese in conto capitale (*)</t>
  </si>
  <si>
    <t>(*) include FPV per incremento attività finanziarie</t>
  </si>
  <si>
    <t>Media Regioni</t>
  </si>
  <si>
    <t xml:space="preserve">     di cui da tributi destinati al finanziamento della sanità</t>
  </si>
  <si>
    <t xml:space="preserve">    di cui enti finanziati dal ssn</t>
  </si>
  <si>
    <t xml:space="preserve">    di cui altre amministrazioni pubbliche</t>
  </si>
  <si>
    <t>Regione</t>
  </si>
  <si>
    <t>Anno</t>
  </si>
  <si>
    <t>Popolazione al 1° gennaio</t>
  </si>
  <si>
    <t xml:space="preserve">     di cui da trasferimenti e contributi da amm.ni pubbliche</t>
  </si>
  <si>
    <t>Rapporto Fcde/Residui attivi (scala dx)</t>
  </si>
  <si>
    <t>Saldo entrate/uscite finali</t>
  </si>
  <si>
    <t>Saldo entrate/uscite nette</t>
  </si>
  <si>
    <t>Capacità riscossione entrate finali</t>
  </si>
  <si>
    <t>Capacità pagamento uscite finali</t>
  </si>
  <si>
    <t>Riscossioni 2020</t>
  </si>
  <si>
    <t>Pagamenti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</si>
</sst>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€_-;\-* #,##0.00\ _€_-;_-* &quot;-&quot;??\ _€_-;_-@_-"/>
    <numFmt numFmtId="164" formatCode="_-* #,##0_-;\-* #,##0_-;_-* &quot;-&quot;??_-;_-@_-"/>
    <numFmt numFmtId="165" formatCode="0.0"/>
    <numFmt numFmtId="166" formatCode="#,##0_ ;\-#,##0\ "/>
    <numFmt numFmtId="167" formatCode="#,##0.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8"/>
      <color rgb="FF000000"/>
      <name val="Arial"/>
      <family val="2"/>
    </font>
    <font>
      <b/>
      <sz val="11"/>
      <color rgb="FF0070C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ont="0" applyBorder="0" applyProtection="0"/>
  </cellStyleXfs>
  <cellXfs count="119">
    <xf numFmtId="0" fontId="0" fillId="0" borderId="0" xfId="0"/>
    <xf numFmtId="3" fontId="0" fillId="0" borderId="0" xfId="0" applyNumberFormat="1"/>
    <xf numFmtId="0" fontId="1" fillId="0" borderId="0" xfId="0" applyFont="1" applyAlignment="1">
      <alignment horizontal="center"/>
    </xf>
    <xf numFmtId="3" fontId="1" fillId="0" borderId="0" xfId="0" applyNumberFormat="1" applyFont="1"/>
    <xf numFmtId="0" fontId="1" fillId="0" borderId="0" xfId="0" applyFont="1"/>
    <xf numFmtId="0" fontId="5" fillId="0" borderId="0" xfId="2" applyFont="1" applyFill="1" applyBorder="1" applyAlignment="1" applyProtection="1">
      <alignment vertical="center" readingOrder="1"/>
    </xf>
    <xf numFmtId="165" fontId="0" fillId="0" borderId="0" xfId="0" applyNumberFormat="1"/>
    <xf numFmtId="2" fontId="0" fillId="0" borderId="0" xfId="0" applyNumberFormat="1"/>
    <xf numFmtId="0" fontId="0" fillId="3" borderId="0" xfId="0" applyFill="1"/>
    <xf numFmtId="0" fontId="0" fillId="3" borderId="0" xfId="0" applyFill="1" applyAlignment="1">
      <alignment horizontal="center"/>
    </xf>
    <xf numFmtId="0" fontId="1" fillId="0" borderId="1" xfId="0" applyFont="1" applyBorder="1"/>
    <xf numFmtId="3" fontId="1" fillId="0" borderId="1" xfId="0" applyNumberFormat="1" applyFont="1" applyBorder="1"/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0" fontId="5" fillId="0" borderId="1" xfId="2" applyFont="1" applyFill="1" applyBorder="1" applyAlignment="1" applyProtection="1">
      <alignment vertical="center" readingOrder="1"/>
    </xf>
    <xf numFmtId="164" fontId="0" fillId="0" borderId="1" xfId="0" applyNumberFormat="1" applyBorder="1"/>
    <xf numFmtId="165" fontId="0" fillId="0" borderId="1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164" fontId="0" fillId="0" borderId="0" xfId="0" applyNumberFormat="1" applyBorder="1"/>
    <xf numFmtId="164" fontId="0" fillId="0" borderId="2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0" fillId="0" borderId="2" xfId="0" applyNumberFormat="1" applyBorder="1"/>
    <xf numFmtId="0" fontId="0" fillId="0" borderId="4" xfId="0" applyBorder="1" applyAlignment="1">
      <alignment horizontal="center"/>
    </xf>
    <xf numFmtId="164" fontId="0" fillId="0" borderId="4" xfId="0" applyNumberFormat="1" applyBorder="1"/>
    <xf numFmtId="164" fontId="0" fillId="0" borderId="5" xfId="0" applyNumberFormat="1" applyBorder="1"/>
    <xf numFmtId="0" fontId="0" fillId="0" borderId="0" xfId="0" quotePrefix="1" applyAlignment="1">
      <alignment horizontal="center"/>
    </xf>
    <xf numFmtId="164" fontId="0" fillId="0" borderId="0" xfId="1" applyNumberFormat="1" applyFont="1"/>
    <xf numFmtId="164" fontId="0" fillId="0" borderId="0" xfId="0" applyNumberFormat="1"/>
    <xf numFmtId="164" fontId="0" fillId="2" borderId="0" xfId="1" applyNumberFormat="1" applyFont="1" applyFill="1"/>
    <xf numFmtId="2" fontId="0" fillId="0" borderId="0" xfId="0" applyNumberFormat="1" applyFill="1"/>
    <xf numFmtId="0" fontId="0" fillId="0" borderId="0" xfId="0" applyFill="1"/>
    <xf numFmtId="0" fontId="0" fillId="0" borderId="0" xfId="0" applyBorder="1"/>
    <xf numFmtId="0" fontId="0" fillId="0" borderId="0" xfId="0" quotePrefix="1" applyBorder="1" applyAlignment="1">
      <alignment horizontal="center"/>
    </xf>
    <xf numFmtId="3" fontId="0" fillId="0" borderId="0" xfId="0" applyNumberFormat="1" applyBorder="1"/>
    <xf numFmtId="0" fontId="1" fillId="0" borderId="1" xfId="0" applyFont="1" applyFill="1" applyBorder="1"/>
    <xf numFmtId="0" fontId="1" fillId="0" borderId="1" xfId="0" quotePrefix="1" applyFont="1" applyBorder="1" applyAlignment="1">
      <alignment horizontal="center"/>
    </xf>
    <xf numFmtId="3" fontId="2" fillId="0" borderId="1" xfId="0" applyNumberFormat="1" applyFont="1" applyBorder="1"/>
    <xf numFmtId="0" fontId="2" fillId="0" borderId="1" xfId="0" applyFont="1" applyBorder="1"/>
    <xf numFmtId="0" fontId="1" fillId="0" borderId="0" xfId="0" applyFont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0" borderId="6" xfId="0" applyBorder="1"/>
    <xf numFmtId="0" fontId="1" fillId="0" borderId="6" xfId="0" applyFont="1" applyBorder="1" applyAlignment="1">
      <alignment horizontal="center" vertical="center"/>
    </xf>
    <xf numFmtId="164" fontId="1" fillId="0" borderId="0" xfId="0" applyNumberFormat="1" applyFont="1"/>
    <xf numFmtId="165" fontId="1" fillId="0" borderId="0" xfId="0" applyNumberFormat="1" applyFont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164" fontId="1" fillId="0" borderId="0" xfId="1" applyNumberFormat="1" applyFont="1"/>
    <xf numFmtId="0" fontId="6" fillId="0" borderId="0" xfId="0" applyFont="1"/>
    <xf numFmtId="164" fontId="6" fillId="0" borderId="0" xfId="0" applyNumberFormat="1" applyFont="1"/>
    <xf numFmtId="165" fontId="6" fillId="0" borderId="0" xfId="0" applyNumberFormat="1" applyFont="1" applyAlignment="1">
      <alignment horizontal="center"/>
    </xf>
    <xf numFmtId="164" fontId="6" fillId="0" borderId="0" xfId="0" applyNumberFormat="1" applyFont="1" applyBorder="1" applyAlignment="1">
      <alignment horizontal="center"/>
    </xf>
    <xf numFmtId="164" fontId="2" fillId="0" borderId="1" xfId="0" applyNumberFormat="1" applyFont="1" applyBorder="1"/>
    <xf numFmtId="165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 vertical="center" wrapText="1"/>
    </xf>
    <xf numFmtId="0" fontId="7" fillId="4" borderId="0" xfId="0" applyFont="1" applyFill="1"/>
    <xf numFmtId="164" fontId="0" fillId="4" borderId="0" xfId="0" applyNumberFormat="1" applyFill="1"/>
    <xf numFmtId="165" fontId="0" fillId="4" borderId="0" xfId="0" applyNumberFormat="1" applyFill="1" applyAlignment="1">
      <alignment horizontal="center"/>
    </xf>
    <xf numFmtId="164" fontId="0" fillId="4" borderId="0" xfId="0" applyNumberFormat="1" applyFill="1" applyBorder="1" applyAlignment="1">
      <alignment horizontal="center"/>
    </xf>
    <xf numFmtId="0" fontId="8" fillId="4" borderId="0" xfId="2" applyFont="1" applyFill="1" applyBorder="1" applyAlignment="1" applyProtection="1">
      <alignment vertical="center" readingOrder="1"/>
    </xf>
    <xf numFmtId="164" fontId="0" fillId="4" borderId="0" xfId="0" applyNumberFormat="1" applyFont="1" applyFill="1"/>
    <xf numFmtId="165" fontId="0" fillId="4" borderId="0" xfId="0" applyNumberFormat="1" applyFont="1" applyFill="1" applyAlignment="1">
      <alignment horizontal="center"/>
    </xf>
    <xf numFmtId="0" fontId="0" fillId="4" borderId="0" xfId="0" applyFont="1" applyFill="1"/>
    <xf numFmtId="0" fontId="0" fillId="0" borderId="0" xfId="0" applyFill="1" applyAlignment="1">
      <alignment horizontal="center"/>
    </xf>
    <xf numFmtId="166" fontId="0" fillId="4" borderId="0" xfId="0" applyNumberFormat="1" applyFont="1" applyFill="1"/>
    <xf numFmtId="166" fontId="3" fillId="4" borderId="0" xfId="1" applyNumberFormat="1" applyFont="1" applyFill="1"/>
    <xf numFmtId="166" fontId="6" fillId="0" borderId="0" xfId="0" applyNumberFormat="1" applyFont="1"/>
    <xf numFmtId="166" fontId="2" fillId="0" borderId="1" xfId="0" applyNumberFormat="1" applyFont="1" applyBorder="1"/>
    <xf numFmtId="0" fontId="0" fillId="5" borderId="0" xfId="0" applyFill="1"/>
    <xf numFmtId="0" fontId="1" fillId="0" borderId="6" xfId="0" applyFont="1" applyBorder="1" applyAlignment="1">
      <alignment horizontal="center"/>
    </xf>
    <xf numFmtId="0" fontId="9" fillId="0" borderId="1" xfId="0" applyFont="1" applyBorder="1"/>
    <xf numFmtId="0" fontId="0" fillId="4" borderId="0" xfId="0" applyFill="1"/>
    <xf numFmtId="0" fontId="1" fillId="0" borderId="0" xfId="0" applyFont="1" applyBorder="1"/>
    <xf numFmtId="0" fontId="1" fillId="0" borderId="6" xfId="0" applyFont="1" applyBorder="1"/>
    <xf numFmtId="0" fontId="1" fillId="0" borderId="6" xfId="0" applyFont="1" applyBorder="1" applyAlignment="1">
      <alignment vertical="center"/>
    </xf>
    <xf numFmtId="166" fontId="0" fillId="4" borderId="0" xfId="0" applyNumberFormat="1" applyFill="1" applyAlignment="1">
      <alignment horizontal="center" vertical="center"/>
    </xf>
    <xf numFmtId="166" fontId="0" fillId="6" borderId="0" xfId="0" applyNumberFormat="1" applyFill="1" applyAlignment="1">
      <alignment horizontal="center" vertical="center"/>
    </xf>
    <xf numFmtId="0" fontId="0" fillId="4" borderId="0" xfId="0" applyFill="1" applyAlignment="1">
      <alignment vertical="center" wrapText="1"/>
    </xf>
    <xf numFmtId="0" fontId="0" fillId="6" borderId="0" xfId="0" applyFill="1" applyAlignment="1">
      <alignment vertical="center" wrapText="1"/>
    </xf>
    <xf numFmtId="0" fontId="10" fillId="4" borderId="0" xfId="0" applyFont="1" applyFill="1" applyAlignment="1">
      <alignment vertical="center"/>
    </xf>
    <xf numFmtId="0" fontId="10" fillId="6" borderId="0" xfId="0" applyFont="1" applyFill="1" applyAlignment="1">
      <alignment vertical="center"/>
    </xf>
    <xf numFmtId="0" fontId="0" fillId="6" borderId="0" xfId="0" applyFill="1" applyAlignment="1">
      <alignment vertical="center"/>
    </xf>
    <xf numFmtId="166" fontId="1" fillId="4" borderId="0" xfId="0" applyNumberFormat="1" applyFont="1" applyFill="1" applyAlignment="1">
      <alignment horizontal="center" vertical="center"/>
    </xf>
    <xf numFmtId="166" fontId="1" fillId="6" borderId="0" xfId="1" applyNumberFormat="1" applyFont="1" applyFill="1" applyAlignment="1">
      <alignment horizontal="center" vertical="center"/>
    </xf>
    <xf numFmtId="166" fontId="9" fillId="4" borderId="0" xfId="0" applyNumberFormat="1" applyFont="1" applyFill="1" applyAlignment="1">
      <alignment horizontal="center" vertical="center"/>
    </xf>
    <xf numFmtId="166" fontId="9" fillId="6" borderId="0" xfId="0" applyNumberFormat="1" applyFont="1" applyFill="1" applyAlignment="1">
      <alignment horizontal="center" vertical="center"/>
    </xf>
    <xf numFmtId="166" fontId="9" fillId="4" borderId="0" xfId="1" applyNumberFormat="1" applyFont="1" applyFill="1" applyAlignment="1">
      <alignment horizontal="center" vertical="center"/>
    </xf>
    <xf numFmtId="166" fontId="9" fillId="6" borderId="0" xfId="1" applyNumberFormat="1" applyFont="1" applyFill="1" applyAlignment="1">
      <alignment horizontal="center" vertical="center"/>
    </xf>
    <xf numFmtId="166" fontId="1" fillId="6" borderId="0" xfId="0" applyNumberFormat="1" applyFont="1" applyFill="1" applyAlignment="1">
      <alignment horizontal="center" vertical="center"/>
    </xf>
    <xf numFmtId="166" fontId="6" fillId="4" borderId="0" xfId="0" quotePrefix="1" applyNumberFormat="1" applyFont="1" applyFill="1" applyAlignment="1">
      <alignment horizontal="center" vertical="center"/>
    </xf>
    <xf numFmtId="166" fontId="6" fillId="6" borderId="0" xfId="1" quotePrefix="1" applyNumberFormat="1" applyFont="1" applyFill="1" applyAlignment="1">
      <alignment horizontal="center" vertical="center"/>
    </xf>
    <xf numFmtId="166" fontId="6" fillId="6" borderId="0" xfId="0" quotePrefix="1" applyNumberFormat="1" applyFont="1" applyFill="1" applyAlignment="1">
      <alignment horizontal="center" vertical="center"/>
    </xf>
    <xf numFmtId="166" fontId="6" fillId="4" borderId="0" xfId="1" quotePrefix="1" applyNumberFormat="1" applyFont="1" applyFill="1" applyAlignment="1">
      <alignment horizontal="center" vertical="center"/>
    </xf>
    <xf numFmtId="0" fontId="10" fillId="4" borderId="0" xfId="0" applyFont="1" applyFill="1" applyAlignment="1">
      <alignment vertical="center" wrapText="1"/>
    </xf>
    <xf numFmtId="3" fontId="1" fillId="0" borderId="1" xfId="0" applyNumberFormat="1" applyFont="1" applyFill="1" applyBorder="1"/>
    <xf numFmtId="3" fontId="0" fillId="0" borderId="0" xfId="0" applyNumberFormat="1" applyFill="1"/>
    <xf numFmtId="0" fontId="1" fillId="0" borderId="6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4" fontId="0" fillId="0" borderId="0" xfId="0" applyNumberFormat="1"/>
    <xf numFmtId="0" fontId="0" fillId="0" borderId="0" xfId="0" applyFill="1" applyBorder="1"/>
    <xf numFmtId="164" fontId="0" fillId="0" borderId="0" xfId="1" applyNumberFormat="1" applyFont="1" applyFill="1"/>
    <xf numFmtId="164" fontId="0" fillId="0" borderId="0" xfId="0" applyNumberFormat="1" applyFill="1"/>
    <xf numFmtId="164" fontId="0" fillId="0" borderId="0" xfId="0" applyNumberFormat="1" applyFont="1"/>
    <xf numFmtId="0" fontId="0" fillId="0" borderId="6" xfId="0" applyBorder="1" applyAlignment="1">
      <alignment horizontal="center" vertical="center" wrapText="1"/>
    </xf>
    <xf numFmtId="167" fontId="0" fillId="0" borderId="0" xfId="0" applyNumberFormat="1" applyFill="1" applyAlignment="1">
      <alignment horizontal="center"/>
    </xf>
    <xf numFmtId="0" fontId="0" fillId="0" borderId="1" xfId="0" applyFill="1" applyBorder="1"/>
    <xf numFmtId="3" fontId="0" fillId="0" borderId="1" xfId="0" applyNumberFormat="1" applyFill="1" applyBorder="1"/>
    <xf numFmtId="3" fontId="0" fillId="0" borderId="1" xfId="0" applyNumberFormat="1" applyBorder="1"/>
    <xf numFmtId="0" fontId="0" fillId="0" borderId="1" xfId="0" applyBorder="1" applyAlignment="1">
      <alignment wrapText="1"/>
    </xf>
    <xf numFmtId="0" fontId="0" fillId="0" borderId="2" xfId="0" applyBorder="1"/>
    <xf numFmtId="167" fontId="0" fillId="4" borderId="0" xfId="0" applyNumberFormat="1" applyFill="1" applyAlignment="1">
      <alignment horizontal="center"/>
    </xf>
    <xf numFmtId="0" fontId="0" fillId="0" borderId="0" xfId="0" applyAlignment="1">
      <alignment vertical="center"/>
    </xf>
    <xf numFmtId="3" fontId="0" fillId="0" borderId="0" xfId="0" applyNumberFormat="1" applyAlignment="1">
      <alignment vertical="center"/>
    </xf>
    <xf numFmtId="0" fontId="0" fillId="0" borderId="0" xfId="0" applyFill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1" fillId="0" borderId="0" xfId="0" applyFont="1" applyAlignment="1">
      <alignment horizontal="center"/>
    </xf>
  </cellXfs>
  <cellStyles count="3">
    <cellStyle name="Migliaia" xfId="1" builtinId="3"/>
    <cellStyle name="Normal" xfId="2"/>
    <cellStyle name="Normale" xfId="0" builtinId="0"/>
  </cellStyles>
  <dxfs count="85"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806717062543138"/>
          <c:y val="5.4234059497589075E-2"/>
          <c:w val="0.80361249792401179"/>
          <c:h val="0.69993782761097578"/>
        </c:manualLayout>
      </c:layout>
      <c:lineChart>
        <c:grouping val="standard"/>
        <c:varyColors val="0"/>
        <c:ser>
          <c:idx val="0"/>
          <c:order val="0"/>
          <c:tx>
            <c:strRef>
              <c:f>Risultato_amministrazione!$A$3</c:f>
              <c:strCache>
                <c:ptCount val="1"/>
                <c:pt idx="0">
                  <c:v>Residui attivi</c:v>
                </c:pt>
              </c:strCache>
            </c:strRef>
          </c:tx>
          <c:marker>
            <c:symbol val="triangle"/>
            <c:size val="5"/>
          </c:marker>
          <c:cat>
            <c:numRef>
              <c:f>Risultato_amministrazione!$B$1:$G$1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Risultato_amministrazione!$B$3:$G$3</c:f>
              <c:numCache>
                <c:formatCode>#,##0</c:formatCode>
                <c:ptCount val="6"/>
                <c:pt idx="0">
                  <c:v>4659540322.8299999</c:v>
                </c:pt>
                <c:pt idx="1">
                  <c:v>4749533025.8800001</c:v>
                </c:pt>
                <c:pt idx="2">
                  <c:v>5459393844.6499996</c:v>
                </c:pt>
                <c:pt idx="3">
                  <c:v>6079862357.8999996</c:v>
                </c:pt>
                <c:pt idx="4">
                  <c:v>5616454946.0900002</c:v>
                </c:pt>
                <c:pt idx="5">
                  <c:v>5748812796.4899998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815-456D-8408-112A4369BD40}"/>
            </c:ext>
          </c:extLst>
        </c:ser>
        <c:ser>
          <c:idx val="1"/>
          <c:order val="1"/>
          <c:tx>
            <c:strRef>
              <c:f>Risultato_amministrazione!$A$4</c:f>
              <c:strCache>
                <c:ptCount val="1"/>
                <c:pt idx="0">
                  <c:v>Residui passivi</c:v>
                </c:pt>
              </c:strCache>
            </c:strRef>
          </c:tx>
          <c:marker>
            <c:symbol val="square"/>
            <c:size val="5"/>
          </c:marker>
          <c:cat>
            <c:numRef>
              <c:f>Risultato_amministrazione!$B$1:$G$1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Risultato_amministrazione!$B$4:$G$4</c:f>
              <c:numCache>
                <c:formatCode>#,##0</c:formatCode>
                <c:ptCount val="6"/>
                <c:pt idx="0">
                  <c:v>5848047404.8100004</c:v>
                </c:pt>
                <c:pt idx="1">
                  <c:v>6343531556.7299995</c:v>
                </c:pt>
                <c:pt idx="2">
                  <c:v>7175497725.1499996</c:v>
                </c:pt>
                <c:pt idx="3">
                  <c:v>7961236793.9399996</c:v>
                </c:pt>
                <c:pt idx="4">
                  <c:v>6844848072.5799999</c:v>
                </c:pt>
                <c:pt idx="5">
                  <c:v>6862874596.9099998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815-456D-8408-112A4369BD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1617360"/>
        <c:axId val="1631609200"/>
      </c:lineChart>
      <c:catAx>
        <c:axId val="1631617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631609200"/>
        <c:crosses val="autoZero"/>
        <c:auto val="1"/>
        <c:lblAlgn val="ctr"/>
        <c:lblOffset val="100"/>
        <c:noMultiLvlLbl val="0"/>
      </c:catAx>
      <c:valAx>
        <c:axId val="1631609200"/>
        <c:scaling>
          <c:orientation val="minMax"/>
          <c:min val="3000000000"/>
        </c:scaling>
        <c:delete val="0"/>
        <c:axPos val="l"/>
        <c:numFmt formatCode="#,##0" sourceLinked="1"/>
        <c:majorTickMark val="none"/>
        <c:minorTickMark val="none"/>
        <c:tickLblPos val="nextTo"/>
        <c:crossAx val="1631617360"/>
        <c:crosses val="autoZero"/>
        <c:crossBetween val="between"/>
        <c:majorUnit val="1000000000"/>
      </c:valAx>
      <c:spPr>
        <a:noFill/>
        <a:ln>
          <a:noFill/>
        </a:ln>
      </c:spPr>
    </c:plotArea>
    <c:legend>
      <c:legendPos val="b"/>
      <c:layout/>
      <c:overlay val="0"/>
      <c:spPr>
        <a:noFill/>
        <a:ln>
          <a:noFill/>
        </a:ln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477" l="0.70000000000000062" r="0.70000000000000062" t="0.750000000000004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247043861785319E-2"/>
          <c:y val="1.4773776546629733E-2"/>
          <c:w val="0.95679921453118799"/>
          <c:h val="0.798793668796940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Piano_indicatori!$B$31</c:f>
              <c:strCache>
                <c:ptCount val="1"/>
                <c:pt idx="0">
                  <c:v>Investimenti complessivi procapite</c:v>
                </c:pt>
              </c:strCache>
            </c:strRef>
          </c:tx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F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Piano_indicatori!$D$31:$H$31</c:f>
              <c:numCache>
                <c:formatCode>0.00</c:formatCode>
                <c:ptCount val="5"/>
                <c:pt idx="0">
                  <c:v>123.34</c:v>
                </c:pt>
                <c:pt idx="1">
                  <c:v>79.84</c:v>
                </c:pt>
                <c:pt idx="2">
                  <c:v>60.77</c:v>
                </c:pt>
                <c:pt idx="3">
                  <c:v>120.13</c:v>
                </c:pt>
                <c:pt idx="4">
                  <c:v>94.73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533-4A6E-8076-E1B5B866D10D}"/>
            </c:ext>
          </c:extLst>
        </c:ser>
        <c:ser>
          <c:idx val="1"/>
          <c:order val="1"/>
          <c:tx>
            <c:strRef>
              <c:f>Piano_indicatori!$B$91</c:f>
              <c:strCache>
                <c:ptCount val="1"/>
                <c:pt idx="0">
                  <c:v>Media Regioni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5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Piano_indicatori!$D$93:$H$93</c:f>
              <c:numCache>
                <c:formatCode>0.00</c:formatCode>
                <c:ptCount val="5"/>
                <c:pt idx="0">
                  <c:v>251.09759762080674</c:v>
                </c:pt>
                <c:pt idx="1">
                  <c:v>226.20399780332346</c:v>
                </c:pt>
                <c:pt idx="2">
                  <c:v>238.9835900012705</c:v>
                </c:pt>
                <c:pt idx="3">
                  <c:v>254.8769995879359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533-4A6E-8076-E1B5B866D1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31614640"/>
        <c:axId val="1601132800"/>
      </c:barChart>
      <c:catAx>
        <c:axId val="1631614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crossAx val="1601132800"/>
        <c:crosses val="autoZero"/>
        <c:auto val="1"/>
        <c:lblAlgn val="ctr"/>
        <c:lblOffset val="100"/>
        <c:noMultiLvlLbl val="0"/>
      </c:catAx>
      <c:valAx>
        <c:axId val="1601132800"/>
        <c:scaling>
          <c:orientation val="minMax"/>
        </c:scaling>
        <c:delete val="1"/>
        <c:axPos val="l"/>
        <c:numFmt formatCode="0" sourceLinked="0"/>
        <c:majorTickMark val="none"/>
        <c:minorTickMark val="none"/>
        <c:tickLblPos val="none"/>
        <c:crossAx val="1631614640"/>
        <c:crosses val="autoZero"/>
        <c:crossBetween val="between"/>
      </c:valAx>
      <c:spPr>
        <a:noFill/>
        <a:ln>
          <a:noFill/>
        </a:ln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32604501756868032"/>
          <c:y val="0.91535004107865958"/>
          <c:w val="0.3636191867769108"/>
          <c:h val="8.4649958921340043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533" l="0.70000000000000062" r="0.70000000000000062" t="0.7500000000000053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1600392734413727E-2"/>
          <c:y val="3.8315363493585226E-2"/>
          <c:w val="0.95679921453118799"/>
          <c:h val="0.8488031465772490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Piano_indicatori!$B$47</c:f>
              <c:strCache>
                <c:ptCount val="1"/>
                <c:pt idx="0">
                  <c:v>Indicatore annuale di tempestività dei pagamenti</c:v>
                </c:pt>
              </c:strCache>
            </c:strRef>
          </c:tx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F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Piano_indicatori!$D$47:$H$47</c:f>
              <c:numCache>
                <c:formatCode>0.00</c:formatCode>
                <c:ptCount val="5"/>
                <c:pt idx="0">
                  <c:v>39.97</c:v>
                </c:pt>
                <c:pt idx="1">
                  <c:v>22.12</c:v>
                </c:pt>
                <c:pt idx="2">
                  <c:v>26</c:v>
                </c:pt>
                <c:pt idx="3">
                  <c:v>6.46</c:v>
                </c:pt>
                <c:pt idx="4">
                  <c:v>7.74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244-41B9-BDCF-288E48435941}"/>
            </c:ext>
          </c:extLst>
        </c:ser>
        <c:ser>
          <c:idx val="1"/>
          <c:order val="1"/>
          <c:tx>
            <c:strRef>
              <c:f>Piano_indicatori!$B$91</c:f>
              <c:strCache>
                <c:ptCount val="1"/>
                <c:pt idx="0">
                  <c:v>Media Regioni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5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Piano_indicatori!$D$94:$H$94</c:f>
              <c:numCache>
                <c:formatCode>0.00</c:formatCode>
                <c:ptCount val="5"/>
                <c:pt idx="0">
                  <c:v>5.1523529411764697</c:v>
                </c:pt>
                <c:pt idx="1">
                  <c:v>-0.42166666666666625</c:v>
                </c:pt>
                <c:pt idx="2">
                  <c:v>-3.3627777777777768</c:v>
                </c:pt>
                <c:pt idx="3">
                  <c:v>-6.1844444444444466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244-41B9-BDCF-288E484359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01137152"/>
        <c:axId val="1601133344"/>
      </c:barChart>
      <c:catAx>
        <c:axId val="1601137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crossAx val="1601133344"/>
        <c:crosses val="autoZero"/>
        <c:auto val="1"/>
        <c:lblAlgn val="ctr"/>
        <c:lblOffset val="100"/>
        <c:noMultiLvlLbl val="0"/>
      </c:catAx>
      <c:valAx>
        <c:axId val="1601133344"/>
        <c:scaling>
          <c:orientation val="minMax"/>
          <c:max val="42"/>
          <c:min val="-8"/>
        </c:scaling>
        <c:delete val="1"/>
        <c:axPos val="l"/>
        <c:numFmt formatCode="0" sourceLinked="0"/>
        <c:majorTickMark val="out"/>
        <c:minorTickMark val="none"/>
        <c:tickLblPos val="none"/>
        <c:crossAx val="1601137152"/>
        <c:crosses val="autoZero"/>
        <c:crossBetween val="between"/>
        <c:majorUnit val="100"/>
      </c:valAx>
      <c:spPr>
        <a:noFill/>
        <a:ln>
          <a:noFill/>
        </a:ln>
      </c:spPr>
    </c:plotArea>
    <c:legend>
      <c:legendPos val="b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533" l="0.70000000000000062" r="0.70000000000000062" t="0.75000000000000533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1600392734413727E-2"/>
          <c:y val="3.6934441366574559E-3"/>
          <c:w val="0.95679921453118799"/>
          <c:h val="0.798793668796940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Piano_indicatori!$B$52</c:f>
              <c:strCache>
                <c:ptCount val="1"/>
                <c:pt idx="0">
                  <c:v>Indebitamento procapite</c:v>
                </c:pt>
              </c:strCache>
            </c:strRef>
          </c:tx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F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Piano_indicatori!$D$52:$H$52</c:f>
              <c:numCache>
                <c:formatCode>0.00</c:formatCode>
                <c:ptCount val="5"/>
                <c:pt idx="0">
                  <c:v>1301.58</c:v>
                </c:pt>
                <c:pt idx="1">
                  <c:v>2900.05</c:v>
                </c:pt>
                <c:pt idx="2">
                  <c:v>1254.6400000000001</c:v>
                </c:pt>
                <c:pt idx="3">
                  <c:v>1226.1600000000001</c:v>
                </c:pt>
                <c:pt idx="4">
                  <c:v>2036.09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910-4DD5-8C34-963CC30C4CFD}"/>
            </c:ext>
          </c:extLst>
        </c:ser>
        <c:ser>
          <c:idx val="1"/>
          <c:order val="1"/>
          <c:tx>
            <c:strRef>
              <c:f>Piano_indicatori!$B$91</c:f>
              <c:strCache>
                <c:ptCount val="1"/>
                <c:pt idx="0">
                  <c:v>Media Regioni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5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Piano_indicatori!$D$95:$H$95</c:f>
              <c:numCache>
                <c:formatCode>0.00</c:formatCode>
                <c:ptCount val="5"/>
                <c:pt idx="0">
                  <c:v>1497.6574370098967</c:v>
                </c:pt>
                <c:pt idx="1">
                  <c:v>1511.4496314108096</c:v>
                </c:pt>
                <c:pt idx="2">
                  <c:v>1479.4297544978085</c:v>
                </c:pt>
                <c:pt idx="3">
                  <c:v>1400.855257564868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910-4DD5-8C34-963CC30C4C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01142592"/>
        <c:axId val="1601138784"/>
      </c:barChart>
      <c:catAx>
        <c:axId val="1601142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crossAx val="1601138784"/>
        <c:crosses val="autoZero"/>
        <c:auto val="1"/>
        <c:lblAlgn val="ctr"/>
        <c:lblOffset val="100"/>
        <c:noMultiLvlLbl val="0"/>
      </c:catAx>
      <c:valAx>
        <c:axId val="1601138784"/>
        <c:scaling>
          <c:orientation val="minMax"/>
        </c:scaling>
        <c:delete val="1"/>
        <c:axPos val="l"/>
        <c:numFmt formatCode="0" sourceLinked="0"/>
        <c:majorTickMark val="none"/>
        <c:minorTickMark val="none"/>
        <c:tickLblPos val="none"/>
        <c:crossAx val="1601142592"/>
        <c:crosses val="autoZero"/>
        <c:crossBetween val="between"/>
      </c:valAx>
      <c:spPr>
        <a:noFill/>
        <a:ln>
          <a:noFill/>
        </a:ln>
      </c:spPr>
    </c:plotArea>
    <c:legend>
      <c:legendPos val="b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533" l="0.70000000000000062" r="0.70000000000000062" t="0.75000000000000533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317055908387764"/>
          <c:y val="7.7745360071207401E-3"/>
          <c:w val="0.75530808025773177"/>
          <c:h val="0.9494655159537152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Popolazione!$A$1</c:f>
              <c:strCache>
                <c:ptCount val="1"/>
                <c:pt idx="0">
                  <c:v>Anno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Popolazione!$A$2:$A$8</c:f>
              <c:numCache>
                <c:formatCode>General</c:formatCode>
                <c:ptCount val="7"/>
                <c:pt idx="0">
                  <c:v>2021</c:v>
                </c:pt>
                <c:pt idx="1">
                  <c:v>2020</c:v>
                </c:pt>
                <c:pt idx="2">
                  <c:v>2019</c:v>
                </c:pt>
                <c:pt idx="3">
                  <c:v>2018</c:v>
                </c:pt>
                <c:pt idx="4">
                  <c:v>2017</c:v>
                </c:pt>
                <c:pt idx="5">
                  <c:v>2016</c:v>
                </c:pt>
                <c:pt idx="6">
                  <c:v>2015</c:v>
                </c:pt>
              </c:numCache>
            </c:numRef>
          </c:cat>
          <c:val>
            <c:numRef>
              <c:f>Popolazione!$B$2:$B$8</c:f>
              <c:numCache>
                <c:formatCode>#,##0</c:formatCode>
                <c:ptCount val="7"/>
                <c:pt idx="0">
                  <c:v>4274945</c:v>
                </c:pt>
                <c:pt idx="1">
                  <c:v>4311217</c:v>
                </c:pt>
                <c:pt idx="2">
                  <c:v>4328565</c:v>
                </c:pt>
                <c:pt idx="3">
                  <c:v>4349911</c:v>
                </c:pt>
                <c:pt idx="4">
                  <c:v>4370348</c:v>
                </c:pt>
                <c:pt idx="5">
                  <c:v>4384226</c:v>
                </c:pt>
                <c:pt idx="6">
                  <c:v>4403562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C94-47EF-9023-381B80469E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01140960"/>
        <c:axId val="1601143680"/>
      </c:barChart>
      <c:catAx>
        <c:axId val="16011409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200" b="0"/>
            </a:pPr>
            <a:endParaRPr lang="it-IT"/>
          </a:p>
        </c:txPr>
        <c:crossAx val="1601143680"/>
        <c:crosses val="autoZero"/>
        <c:auto val="1"/>
        <c:lblAlgn val="ctr"/>
        <c:lblOffset val="100"/>
        <c:noMultiLvlLbl val="0"/>
      </c:catAx>
      <c:valAx>
        <c:axId val="1601143680"/>
        <c:scaling>
          <c:orientation val="minMax"/>
          <c:max val="4440000"/>
          <c:min val="0"/>
        </c:scaling>
        <c:delete val="1"/>
        <c:axPos val="b"/>
        <c:numFmt formatCode="#,##0" sourceLinked="1"/>
        <c:majorTickMark val="none"/>
        <c:minorTickMark val="none"/>
        <c:tickLblPos val="none"/>
        <c:crossAx val="1601140960"/>
        <c:crosses val="autoZero"/>
        <c:crossBetween val="between"/>
        <c:majorUnit val="100000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477" l="0.70000000000000062" r="0.70000000000000062" t="0.75000000000000477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Risultato_amministrazione!$A$8</c:f>
              <c:strCache>
                <c:ptCount val="1"/>
                <c:pt idx="0">
                  <c:v>Fondo crediti di dubbia esigibilità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numRef>
              <c:f>Risultato_amministrazione!$B$1:$G$1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Risultato_amministrazione!$B$8:$G$8</c:f>
              <c:numCache>
                <c:formatCode>#,##0</c:formatCode>
                <c:ptCount val="6"/>
                <c:pt idx="0">
                  <c:v>754203300.11000001</c:v>
                </c:pt>
                <c:pt idx="1">
                  <c:v>537126442.5</c:v>
                </c:pt>
                <c:pt idx="2">
                  <c:v>324662324.49000001</c:v>
                </c:pt>
                <c:pt idx="3">
                  <c:v>201758834.90000001</c:v>
                </c:pt>
                <c:pt idx="4">
                  <c:v>232085452.03</c:v>
                </c:pt>
                <c:pt idx="5">
                  <c:v>261076695.34999999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570-4566-BAA9-AA8B82BC92A7}"/>
            </c:ext>
          </c:extLst>
        </c:ser>
        <c:ser>
          <c:idx val="3"/>
          <c:order val="1"/>
          <c:tx>
            <c:strRef>
              <c:f>Risultato_amministrazione!$A$9</c:f>
              <c:strCache>
                <c:ptCount val="1"/>
                <c:pt idx="0">
                  <c:v>Fondo a copertura residui perenti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cat>
            <c:numRef>
              <c:f>Risultato_amministrazione!$B$1:$G$1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Risultato_amministrazione!$B$9:$G$9</c:f>
              <c:numCache>
                <c:formatCode>#,##0</c:formatCode>
                <c:ptCount val="6"/>
                <c:pt idx="0">
                  <c:v>103560177.12</c:v>
                </c:pt>
                <c:pt idx="1">
                  <c:v>112233741.08</c:v>
                </c:pt>
                <c:pt idx="2">
                  <c:v>64182891.689999998</c:v>
                </c:pt>
                <c:pt idx="3">
                  <c:v>49427853.259999998</c:v>
                </c:pt>
                <c:pt idx="4">
                  <c:v>45357795.710000001</c:v>
                </c:pt>
                <c:pt idx="5">
                  <c:v>13475058.02</c:v>
                </c:pt>
              </c:numCache>
            </c:numRef>
          </c:val>
        </c:ser>
        <c:ser>
          <c:idx val="0"/>
          <c:order val="2"/>
          <c:tx>
            <c:strRef>
              <c:f>Risultato_amministrazione!$A$10</c:f>
              <c:strCache>
                <c:ptCount val="1"/>
                <c:pt idx="0">
                  <c:v>Fondo anticipazioni liquidità DL35/2013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numRef>
              <c:f>Risultato_amministrazione!$B$1:$G$1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Risultato_amministrazione!$B$10:$G$10</c:f>
              <c:numCache>
                <c:formatCode>#,##0</c:formatCode>
                <c:ptCount val="6"/>
                <c:pt idx="0">
                  <c:v>4801044721.2700005</c:v>
                </c:pt>
                <c:pt idx="1">
                  <c:v>4650044721.2700005</c:v>
                </c:pt>
                <c:pt idx="2">
                  <c:v>4427544721.2700005</c:v>
                </c:pt>
                <c:pt idx="3">
                  <c:v>4209235336.27</c:v>
                </c:pt>
                <c:pt idx="4">
                  <c:v>3990925951.27</c:v>
                </c:pt>
                <c:pt idx="5">
                  <c:v>3772616566.27</c:v>
                </c:pt>
              </c:numCache>
            </c:numRef>
          </c:val>
        </c:ser>
        <c:ser>
          <c:idx val="4"/>
          <c:order val="3"/>
          <c:tx>
            <c:strRef>
              <c:f>Risultato_amministrazione!$A$52</c:f>
              <c:strCache>
                <c:ptCount val="1"/>
                <c:pt idx="0">
                  <c:v>Altri accantonamenti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numRef>
              <c:f>Risultato_amministrazione!$B$1:$G$1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Risultato_amministrazione!$B$52:$G$52</c:f>
              <c:numCache>
                <c:formatCode>#,##0</c:formatCode>
                <c:ptCount val="6"/>
                <c:pt idx="0">
                  <c:v>187185826.74000001</c:v>
                </c:pt>
                <c:pt idx="1">
                  <c:v>401190800.77999997</c:v>
                </c:pt>
                <c:pt idx="2">
                  <c:v>152202620.43000001</c:v>
                </c:pt>
                <c:pt idx="3">
                  <c:v>52595116.450000003</c:v>
                </c:pt>
                <c:pt idx="4">
                  <c:v>49885998</c:v>
                </c:pt>
                <c:pt idx="5">
                  <c:v>81830531.760000005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31615184"/>
        <c:axId val="1631618992"/>
      </c:barChart>
      <c:lineChart>
        <c:grouping val="standard"/>
        <c:varyColors val="0"/>
        <c:ser>
          <c:idx val="2"/>
          <c:order val="4"/>
          <c:tx>
            <c:strRef>
              <c:f>Risultato_amministrazione!$A$24</c:f>
              <c:strCache>
                <c:ptCount val="1"/>
                <c:pt idx="0">
                  <c:v>Rapporto Fcde/Residui attivi (scala dx)</c:v>
                </c:pt>
              </c:strCache>
            </c:strRef>
          </c:tx>
          <c:spPr>
            <a:ln w="44450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2.2903885480572629E-2"/>
                  <c:y val="4.85436893203883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6175839581485814E-2"/>
                  <c:y val="-4.55104296173504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7.1103526734926049E-3"/>
                  <c:y val="-2.02429149797570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8441410693971466E-3"/>
                  <c:y val="-3.37381916329285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7.1103526734926049E-3"/>
                  <c:y val="-4.38596491228070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9.9544937428896474E-3"/>
                  <c:y val="-4.04858299595141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Risultato_amministrazione!$B$1:$G$1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Risultato_amministrazione!$B$24:$G$24</c:f>
              <c:numCache>
                <c:formatCode>0.0</c:formatCode>
                <c:ptCount val="6"/>
                <c:pt idx="0">
                  <c:v>16.186216833765485</c:v>
                </c:pt>
                <c:pt idx="1">
                  <c:v>11.309036900537826</c:v>
                </c:pt>
                <c:pt idx="2">
                  <c:v>5.9468566241682099</c:v>
                </c:pt>
                <c:pt idx="3">
                  <c:v>3.3184770151554557</c:v>
                </c:pt>
                <c:pt idx="4">
                  <c:v>4.1322409644106672</c:v>
                </c:pt>
                <c:pt idx="5">
                  <c:v>4.5414019310109248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6570-4566-BAA9-AA8B82BC92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1613552"/>
        <c:axId val="1631620080"/>
      </c:lineChart>
      <c:catAx>
        <c:axId val="1631615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631618992"/>
        <c:crosses val="autoZero"/>
        <c:auto val="1"/>
        <c:lblAlgn val="ctr"/>
        <c:lblOffset val="100"/>
        <c:noMultiLvlLbl val="0"/>
      </c:catAx>
      <c:valAx>
        <c:axId val="1631618992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631615184"/>
        <c:crosses val="autoZero"/>
        <c:crossBetween val="between"/>
      </c:valAx>
      <c:valAx>
        <c:axId val="1631620080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631613552"/>
        <c:crosses val="max"/>
        <c:crossBetween val="between"/>
      </c:valAx>
      <c:catAx>
        <c:axId val="16316135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631620080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9214134818513705E-2"/>
          <c:y val="1.922720529499046E-2"/>
          <c:w val="0.9310787364133023"/>
          <c:h val="0.9612494959869146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Conto_economico!$A$28</c:f>
              <c:strCache>
                <c:ptCount val="1"/>
                <c:pt idx="0">
                  <c:v>Risultato dell'esercizio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70C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4452-41DC-B25A-48B8A55670DF}"/>
              </c:ext>
            </c:extLst>
          </c:dPt>
          <c:dLbls>
            <c:dLbl>
              <c:idx val="2"/>
              <c:layout>
                <c:manualLayout>
                  <c:x val="0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4452-41DC-B25A-48B8A55670D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48161672213761E-3"/>
                  <c:y val="-1.5871582738937289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E3EF-4EE1-84EC-90209335CF2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9586917357259766E-4"/>
                  <c:y val="-1.5871582738940054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E3EF-4EE1-84EC-90209335CF2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>
                    <a:solidFill>
                      <a:srgbClr val="0070C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Conto_economico!$C$1:$G$1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Conto_economico!$C$28:$G$28</c:f>
              <c:numCache>
                <c:formatCode>#,##0</c:formatCode>
                <c:ptCount val="5"/>
                <c:pt idx="0">
                  <c:v>294644142.2400015</c:v>
                </c:pt>
                <c:pt idx="1">
                  <c:v>590110561.00000548</c:v>
                </c:pt>
                <c:pt idx="2">
                  <c:v>238704595.93000084</c:v>
                </c:pt>
                <c:pt idx="3">
                  <c:v>229469988.25000313</c:v>
                </c:pt>
                <c:pt idx="4">
                  <c:v>141597635.91999537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452-41DC-B25A-48B8A55670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31621168"/>
        <c:axId val="1631605936"/>
      </c:barChart>
      <c:catAx>
        <c:axId val="16316211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200" b="1"/>
            </a:pPr>
            <a:endParaRPr lang="it-IT"/>
          </a:p>
        </c:txPr>
        <c:crossAx val="1631605936"/>
        <c:crosses val="autoZero"/>
        <c:auto val="1"/>
        <c:lblAlgn val="ctr"/>
        <c:lblOffset val="100"/>
        <c:noMultiLvlLbl val="0"/>
      </c:catAx>
      <c:valAx>
        <c:axId val="1631605936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one"/>
        <c:crossAx val="1631621168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5" l="0.70000000000000062" r="0.70000000000000062" t="0.75000000000000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Stato_patrimoniale!$A$20</c:f>
              <c:strCache>
                <c:ptCount val="1"/>
                <c:pt idx="0">
                  <c:v>Debiti da finanziamento (D1)</c:v>
                </c:pt>
              </c:strCache>
            </c:strRef>
          </c:tx>
          <c:invertIfNegative val="0"/>
          <c:cat>
            <c:numRef>
              <c:f>Stato_patrimoniale!$B$1:$G$1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Stato_patrimoniale!$B$20:$G$20</c:f>
              <c:numCache>
                <c:formatCode>#,##0</c:formatCode>
                <c:ptCount val="6"/>
                <c:pt idx="0">
                  <c:v>5940690373.75</c:v>
                </c:pt>
                <c:pt idx="1">
                  <c:v>5732470012.5900002</c:v>
                </c:pt>
                <c:pt idx="2">
                  <c:v>5511019908.4899998</c:v>
                </c:pt>
                <c:pt idx="3">
                  <c:v>5429387367.0299997</c:v>
                </c:pt>
                <c:pt idx="4">
                  <c:v>5341656395</c:v>
                </c:pt>
                <c:pt idx="5">
                  <c:v>8700630145.3500004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978-494A-A3FF-551A6B06C6B4}"/>
            </c:ext>
          </c:extLst>
        </c:ser>
        <c:ser>
          <c:idx val="1"/>
          <c:order val="1"/>
          <c:tx>
            <c:strRef>
              <c:f>Stato_patrimoniale!$A$21</c:f>
              <c:strCache>
                <c:ptCount val="1"/>
                <c:pt idx="0">
                  <c:v>Debiti verso fornitori (D2)</c:v>
                </c:pt>
              </c:strCache>
            </c:strRef>
          </c:tx>
          <c:invertIfNegative val="0"/>
          <c:cat>
            <c:numRef>
              <c:f>Stato_patrimoniale!$B$1:$G$1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Stato_patrimoniale!$B$21:$G$21</c:f>
              <c:numCache>
                <c:formatCode>#,##0</c:formatCode>
                <c:ptCount val="6"/>
                <c:pt idx="0">
                  <c:v>92322923.939999998</c:v>
                </c:pt>
                <c:pt idx="1">
                  <c:v>38934324.950000003</c:v>
                </c:pt>
                <c:pt idx="2">
                  <c:v>62608452.329999998</c:v>
                </c:pt>
                <c:pt idx="3">
                  <c:v>40930918.770000003</c:v>
                </c:pt>
                <c:pt idx="4">
                  <c:v>43746161.020000003</c:v>
                </c:pt>
                <c:pt idx="5">
                  <c:v>33525721.859999999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978-494A-A3FF-551A6B06C6B4}"/>
            </c:ext>
          </c:extLst>
        </c:ser>
        <c:ser>
          <c:idx val="2"/>
          <c:order val="2"/>
          <c:tx>
            <c:strRef>
              <c:f>Stato_patrimoniale!$A$22</c:f>
              <c:strCache>
                <c:ptCount val="1"/>
                <c:pt idx="0">
                  <c:v>Debiti per trasferimenti e contributi (D4)</c:v>
                </c:pt>
              </c:strCache>
            </c:strRef>
          </c:tx>
          <c:invertIfNegative val="0"/>
          <c:cat>
            <c:numRef>
              <c:f>Stato_patrimoniale!$B$1:$G$1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Stato_patrimoniale!$B$22:$G$22</c:f>
              <c:numCache>
                <c:formatCode>#,##0</c:formatCode>
                <c:ptCount val="6"/>
                <c:pt idx="0">
                  <c:v>5651059521.3400002</c:v>
                </c:pt>
                <c:pt idx="1">
                  <c:v>6742640949.8299999</c:v>
                </c:pt>
                <c:pt idx="2">
                  <c:v>7304346651.7200003</c:v>
                </c:pt>
                <c:pt idx="3">
                  <c:v>8035718596.2700005</c:v>
                </c:pt>
                <c:pt idx="4">
                  <c:v>7029617622.0500002</c:v>
                </c:pt>
                <c:pt idx="5">
                  <c:v>3626764153.8600001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978-494A-A3FF-551A6B06C6B4}"/>
            </c:ext>
          </c:extLst>
        </c:ser>
        <c:ser>
          <c:idx val="3"/>
          <c:order val="3"/>
          <c:tx>
            <c:strRef>
              <c:f>Stato_patrimoniale!$A$25</c:f>
              <c:strCache>
                <c:ptCount val="1"/>
                <c:pt idx="0">
                  <c:v>Altri debiti (D5)</c:v>
                </c:pt>
              </c:strCache>
            </c:strRef>
          </c:tx>
          <c:invertIfNegative val="0"/>
          <c:cat>
            <c:numRef>
              <c:f>Stato_patrimoniale!$B$1:$G$1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Stato_patrimoniale!$B$25:$G$25</c:f>
              <c:numCache>
                <c:formatCode>#,##0</c:formatCode>
                <c:ptCount val="6"/>
                <c:pt idx="0">
                  <c:v>163687276.05000001</c:v>
                </c:pt>
                <c:pt idx="1">
                  <c:v>224517263.06</c:v>
                </c:pt>
                <c:pt idx="2">
                  <c:v>100684003.75</c:v>
                </c:pt>
                <c:pt idx="3">
                  <c:v>167418184.58000001</c:v>
                </c:pt>
                <c:pt idx="4">
                  <c:v>41924697.609999999</c:v>
                </c:pt>
                <c:pt idx="5">
                  <c:v>57770976.740000002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978-494A-A3FF-551A6B06C6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31607568"/>
        <c:axId val="1631610288"/>
      </c:barChart>
      <c:catAx>
        <c:axId val="1631607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631610288"/>
        <c:crosses val="autoZero"/>
        <c:auto val="1"/>
        <c:lblAlgn val="ctr"/>
        <c:lblOffset val="100"/>
        <c:noMultiLvlLbl val="0"/>
      </c:catAx>
      <c:valAx>
        <c:axId val="1631610288"/>
        <c:scaling>
          <c:orientation val="minMax"/>
          <c:max val="14000000000"/>
        </c:scaling>
        <c:delete val="0"/>
        <c:axPos val="l"/>
        <c:numFmt formatCode="#,##0" sourceLinked="1"/>
        <c:majorTickMark val="none"/>
        <c:minorTickMark val="none"/>
        <c:tickLblPos val="nextTo"/>
        <c:crossAx val="1631607568"/>
        <c:crosses val="autoZero"/>
        <c:crossBetween val="between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0.19645972269955703"/>
          <c:y val="0.85526150694577852"/>
          <c:w val="0.70363225543614671"/>
          <c:h val="0.12847833045259593"/>
        </c:manualLayout>
      </c:layout>
      <c:overlay val="0"/>
      <c:spPr>
        <a:noFill/>
        <a:ln>
          <a:noFill/>
        </a:ln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200"/>
      </a:pPr>
      <a:endParaRPr lang="it-IT"/>
    </a:p>
  </c:txPr>
  <c:printSettings>
    <c:headerFooter/>
    <c:pageMargins b="0.75000000000000477" l="0.70000000000000062" r="0.70000000000000062" t="0.75000000000000477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140016946700559E-2"/>
          <c:y val="1.2121212121212118E-2"/>
          <c:w val="0.85332768443314877"/>
          <c:h val="0.8325141970890001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Stato_patrimoniale!$A$16</c:f>
              <c:strCache>
                <c:ptCount val="1"/>
                <c:pt idx="0">
                  <c:v>Fondo di dotazione (A1)</c:v>
                </c:pt>
              </c:strCache>
            </c:strRef>
          </c:tx>
          <c:invertIfNegative val="0"/>
          <c:cat>
            <c:numRef>
              <c:f>Stato_patrimoniale!$B$1:$G$1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Stato_patrimoniale!$B$16:$G$16</c:f>
              <c:numCache>
                <c:formatCode>#,##0</c:formatCode>
                <c:ptCount val="6"/>
                <c:pt idx="0">
                  <c:v>279520354.33999997</c:v>
                </c:pt>
                <c:pt idx="1">
                  <c:v>279520354.33999997</c:v>
                </c:pt>
                <c:pt idx="2">
                  <c:v>-8054402285.4300003</c:v>
                </c:pt>
                <c:pt idx="3">
                  <c:v>-8077799405.0600004</c:v>
                </c:pt>
                <c:pt idx="4">
                  <c:v>-8093579099.1999998</c:v>
                </c:pt>
                <c:pt idx="5">
                  <c:v>-8086184266.4200001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374-44E8-A59E-6B7D2C2D3CAD}"/>
            </c:ext>
          </c:extLst>
        </c:ser>
        <c:ser>
          <c:idx val="1"/>
          <c:order val="1"/>
          <c:tx>
            <c:strRef>
              <c:f>Stato_patrimoniale!$A$17</c:f>
              <c:strCache>
                <c:ptCount val="1"/>
                <c:pt idx="0">
                  <c:v>Riserve (A2)</c:v>
                </c:pt>
              </c:strCache>
            </c:strRef>
          </c:tx>
          <c:invertIfNegative val="0"/>
          <c:cat>
            <c:numRef>
              <c:f>Stato_patrimoniale!$B$1:$G$1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Stato_patrimoniale!$B$17:$G$17</c:f>
              <c:numCache>
                <c:formatCode>#,##0</c:formatCode>
                <c:ptCount val="6"/>
                <c:pt idx="0">
                  <c:v>-8064293211.6700001</c:v>
                </c:pt>
                <c:pt idx="1">
                  <c:v>-8064293211.6700001</c:v>
                </c:pt>
                <c:pt idx="2">
                  <c:v>609743472.09000003</c:v>
                </c:pt>
                <c:pt idx="3">
                  <c:v>1209809478.25</c:v>
                </c:pt>
                <c:pt idx="4">
                  <c:v>1477472420.99</c:v>
                </c:pt>
                <c:pt idx="5">
                  <c:v>1721298176.01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374-44E8-A59E-6B7D2C2D3CAD}"/>
            </c:ext>
          </c:extLst>
        </c:ser>
        <c:ser>
          <c:idx val="2"/>
          <c:order val="2"/>
          <c:tx>
            <c:strRef>
              <c:f>Stato_patrimoniale!$A$18</c:f>
              <c:strCache>
                <c:ptCount val="1"/>
                <c:pt idx="0">
                  <c:v>Risultato economico dell'esercizio (A3)</c:v>
                </c:pt>
              </c:strCache>
            </c:strRef>
          </c:tx>
          <c:invertIfNegative val="0"/>
          <c:cat>
            <c:numRef>
              <c:f>Stato_patrimoniale!$B$1:$G$1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Stato_patrimoniale!$B$18:$G$18</c:f>
              <c:numCache>
                <c:formatCode>#,##0</c:formatCode>
                <c:ptCount val="6"/>
                <c:pt idx="0">
                  <c:v>0</c:v>
                </c:pt>
                <c:pt idx="1">
                  <c:v>294644142.24000001</c:v>
                </c:pt>
                <c:pt idx="2">
                  <c:v>590110561</c:v>
                </c:pt>
                <c:pt idx="3">
                  <c:v>238704595.93000001</c:v>
                </c:pt>
                <c:pt idx="4">
                  <c:v>229469988.25</c:v>
                </c:pt>
                <c:pt idx="5">
                  <c:v>141597635.91999999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374-44E8-A59E-6B7D2C2D3C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31610832"/>
        <c:axId val="1631611376"/>
      </c:barChart>
      <c:catAx>
        <c:axId val="16316108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400"/>
            </a:pPr>
            <a:endParaRPr lang="it-IT"/>
          </a:p>
        </c:txPr>
        <c:crossAx val="1631611376"/>
        <c:crosses val="autoZero"/>
        <c:auto val="1"/>
        <c:lblAlgn val="ctr"/>
        <c:lblOffset val="100"/>
        <c:noMultiLvlLbl val="0"/>
      </c:catAx>
      <c:valAx>
        <c:axId val="1631611376"/>
        <c:scaling>
          <c:orientation val="minMax"/>
          <c:min val="-8000000000"/>
        </c:scaling>
        <c:delete val="0"/>
        <c:axPos val="b"/>
        <c:numFmt formatCode="#,##0" sourceLinked="0"/>
        <c:majorTickMark val="none"/>
        <c:minorTickMark val="none"/>
        <c:tickLblPos val="nextTo"/>
        <c:crossAx val="1631610832"/>
        <c:crosses val="autoZero"/>
        <c:crossBetween val="between"/>
      </c:valAx>
      <c:spPr>
        <a:noFill/>
        <a:ln>
          <a:noFill/>
        </a:ln>
      </c:spPr>
    </c:plotArea>
    <c:legend>
      <c:legendPos val="b"/>
      <c:layout/>
      <c:overlay val="0"/>
      <c:spPr>
        <a:noFill/>
        <a:ln>
          <a:noFill/>
        </a:ln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200"/>
      </a:pPr>
      <a:endParaRPr lang="it-IT"/>
    </a:p>
  </c:txPr>
  <c:printSettings>
    <c:headerFooter/>
    <c:pageMargins b="0.75000000000000477" l="0.70000000000000062" r="0.70000000000000062" t="0.75000000000000477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133228191836882E-2"/>
          <c:y val="3.0301278829508289E-2"/>
          <c:w val="0.91226637907374453"/>
          <c:h val="0.68340956050706358"/>
        </c:manualLayout>
      </c:layout>
      <c:lineChart>
        <c:grouping val="standard"/>
        <c:varyColors val="0"/>
        <c:ser>
          <c:idx val="0"/>
          <c:order val="0"/>
          <c:tx>
            <c:strRef>
              <c:f>Piano_indicatori!$A$73</c:f>
              <c:strCache>
                <c:ptCount val="1"/>
                <c:pt idx="0">
                  <c:v>Entrate natura tributaria, contributiva e perequativa (Titolo 1)</c:v>
                </c:pt>
              </c:strCache>
            </c:strRef>
          </c:tx>
          <c:marker>
            <c:symbol val="triangle"/>
            <c:size val="5"/>
          </c:marker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Piano_indicatori!$D$74:$H$74</c:f>
              <c:numCache>
                <c:formatCode>0.00</c:formatCode>
                <c:ptCount val="5"/>
                <c:pt idx="0">
                  <c:v>75.069999999999993</c:v>
                </c:pt>
                <c:pt idx="1">
                  <c:v>70.48</c:v>
                </c:pt>
                <c:pt idx="2">
                  <c:v>67.48</c:v>
                </c:pt>
                <c:pt idx="3">
                  <c:v>68.58</c:v>
                </c:pt>
                <c:pt idx="4">
                  <c:v>67.92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3F0-4554-BA49-E20421A575FC}"/>
            </c:ext>
          </c:extLst>
        </c:ser>
        <c:ser>
          <c:idx val="1"/>
          <c:order val="1"/>
          <c:tx>
            <c:strRef>
              <c:f>Piano_indicatori!$A$77</c:f>
              <c:strCache>
                <c:ptCount val="1"/>
                <c:pt idx="0">
                  <c:v>Totale Entrate</c:v>
                </c:pt>
              </c:strCache>
            </c:strRef>
          </c:tx>
          <c:marker>
            <c:symbol val="square"/>
            <c:size val="5"/>
          </c:marker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Piano_indicatori!$D$77:$H$77</c:f>
              <c:numCache>
                <c:formatCode>0.00</c:formatCode>
                <c:ptCount val="5"/>
                <c:pt idx="0">
                  <c:v>73.243887623332327</c:v>
                </c:pt>
                <c:pt idx="1">
                  <c:v>68.510371146147847</c:v>
                </c:pt>
                <c:pt idx="2">
                  <c:v>67.015050584427499</c:v>
                </c:pt>
                <c:pt idx="3">
                  <c:v>71.495366856468479</c:v>
                </c:pt>
                <c:pt idx="4">
                  <c:v>71.052977249752701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3F0-4554-BA49-E20421A575FC}"/>
            </c:ext>
          </c:extLst>
        </c:ser>
        <c:ser>
          <c:idx val="2"/>
          <c:order val="2"/>
          <c:tx>
            <c:strRef>
              <c:f>Piano_indicatori!$A$78</c:f>
              <c:strCache>
                <c:ptCount val="1"/>
                <c:pt idx="0">
                  <c:v>Totale Entrate nette</c:v>
                </c:pt>
              </c:strCache>
            </c:strRef>
          </c:tx>
          <c:marker>
            <c:symbol val="diamond"/>
            <c:size val="7"/>
          </c:marker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Piano_indicatori!$D$78:$H$78</c:f>
              <c:numCache>
                <c:formatCode>0.00</c:formatCode>
                <c:ptCount val="5"/>
                <c:pt idx="0">
                  <c:v>69.842754030164627</c:v>
                </c:pt>
                <c:pt idx="1">
                  <c:v>65.113945306431901</c:v>
                </c:pt>
                <c:pt idx="2">
                  <c:v>64.456741378498435</c:v>
                </c:pt>
                <c:pt idx="3">
                  <c:v>69.013600593652725</c:v>
                </c:pt>
                <c:pt idx="4">
                  <c:v>68.032986534909455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D3F0-4554-BA49-E20421A57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1616272"/>
        <c:axId val="1631608112"/>
      </c:lineChart>
      <c:catAx>
        <c:axId val="1631616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631608112"/>
        <c:crosses val="autoZero"/>
        <c:auto val="1"/>
        <c:lblAlgn val="ctr"/>
        <c:lblOffset val="100"/>
        <c:noMultiLvlLbl val="0"/>
      </c:catAx>
      <c:valAx>
        <c:axId val="1631608112"/>
        <c:scaling>
          <c:orientation val="minMax"/>
          <c:max val="78"/>
          <c:min val="60"/>
        </c:scaling>
        <c:delete val="0"/>
        <c:axPos val="l"/>
        <c:numFmt formatCode="0" sourceLinked="0"/>
        <c:majorTickMark val="none"/>
        <c:minorTickMark val="none"/>
        <c:tickLblPos val="nextTo"/>
        <c:spPr>
          <a:ln>
            <a:noFill/>
          </a:ln>
        </c:spPr>
        <c:crossAx val="1631616272"/>
        <c:crosses val="autoZero"/>
        <c:crossBetween val="between"/>
        <c:majorUnit val="5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2.5626467744163592E-2"/>
          <c:y val="0.82043195398447999"/>
          <c:w val="0.96177967444791579"/>
          <c:h val="0.17956804601552603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1200"/>
          </a:pPr>
          <a:endParaRPr lang="it-IT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488" l="0.70000000000000062" r="0.70000000000000062" t="0.75000000000000488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478781011404414E-2"/>
          <c:y val="4.1350142172088745E-2"/>
          <c:w val="0.9029842635309353"/>
          <c:h val="0.6859216786629256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Piano_indicatori!$B$80</c:f>
              <c:strCache>
                <c:ptCount val="1"/>
                <c:pt idx="0">
                  <c:v>Istruzione e diritto allo studio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Piano_indicatori!$D$80:$H$80</c:f>
              <c:numCache>
                <c:formatCode>0.00</c:formatCode>
                <c:ptCount val="5"/>
                <c:pt idx="0">
                  <c:v>0.64599483204134367</c:v>
                </c:pt>
                <c:pt idx="1">
                  <c:v>0.97651708904905843</c:v>
                </c:pt>
                <c:pt idx="2">
                  <c:v>0.76110416903328415</c:v>
                </c:pt>
                <c:pt idx="3">
                  <c:v>0.80027051397655535</c:v>
                </c:pt>
                <c:pt idx="4">
                  <c:v>0.83908045977011492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3AA-4FC4-8050-8C2A7299C75D}"/>
            </c:ext>
          </c:extLst>
        </c:ser>
        <c:ser>
          <c:idx val="1"/>
          <c:order val="1"/>
          <c:tx>
            <c:strRef>
              <c:f>Piano_indicatori!$B$81</c:f>
              <c:strCache>
                <c:ptCount val="1"/>
                <c:pt idx="0">
                  <c:v>Sviluppo sostenibile, tutela territ. e ambiente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Piano_indicatori!$D$81:$H$81</c:f>
              <c:numCache>
                <c:formatCode>0.00</c:formatCode>
                <c:ptCount val="5"/>
                <c:pt idx="0">
                  <c:v>1.6560958421423535</c:v>
                </c:pt>
                <c:pt idx="1">
                  <c:v>1.4066496163682864</c:v>
                </c:pt>
                <c:pt idx="2">
                  <c:v>1.7039645575372031</c:v>
                </c:pt>
                <c:pt idx="3">
                  <c:v>1.6343552750225427</c:v>
                </c:pt>
                <c:pt idx="4">
                  <c:v>1.8620689655172415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3AA-4FC4-8050-8C2A7299C75D}"/>
            </c:ext>
          </c:extLst>
        </c:ser>
        <c:ser>
          <c:idx val="2"/>
          <c:order val="2"/>
          <c:tx>
            <c:strRef>
              <c:f>Piano_indicatori!$B$82</c:f>
              <c:strCache>
                <c:ptCount val="1"/>
                <c:pt idx="0">
                  <c:v>Trasporti e diritto alla mobilità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Piano_indicatori!$D$82:$H$82</c:f>
              <c:numCache>
                <c:formatCode>0.00</c:formatCode>
                <c:ptCount val="5"/>
                <c:pt idx="0">
                  <c:v>6.5539112050739963</c:v>
                </c:pt>
                <c:pt idx="1">
                  <c:v>6.4054870960241805</c:v>
                </c:pt>
                <c:pt idx="2">
                  <c:v>6.0661138248324438</c:v>
                </c:pt>
                <c:pt idx="3">
                  <c:v>5.6582506762849416</c:v>
                </c:pt>
                <c:pt idx="4">
                  <c:v>5.5977011494252871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3AA-4FC4-8050-8C2A7299C75D}"/>
            </c:ext>
          </c:extLst>
        </c:ser>
        <c:ser>
          <c:idx val="3"/>
          <c:order val="3"/>
          <c:tx>
            <c:strRef>
              <c:f>Piano_indicatori!$B$83</c:f>
              <c:strCache>
                <c:ptCount val="1"/>
                <c:pt idx="0">
                  <c:v>Diritti sociali, politiche sociali e famiglia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Piano_indicatori!$D$83:$H$83</c:f>
              <c:numCache>
                <c:formatCode>0.00</c:formatCode>
                <c:ptCount val="5"/>
                <c:pt idx="0">
                  <c:v>2.1259102654451492</c:v>
                </c:pt>
                <c:pt idx="1">
                  <c:v>1.7554057196000932</c:v>
                </c:pt>
                <c:pt idx="2">
                  <c:v>1.8857207770078381</c:v>
                </c:pt>
                <c:pt idx="3">
                  <c:v>2.1641118124436427</c:v>
                </c:pt>
                <c:pt idx="4">
                  <c:v>2.2068965517241379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3AA-4FC4-8050-8C2A7299C75D}"/>
            </c:ext>
          </c:extLst>
        </c:ser>
        <c:ser>
          <c:idx val="4"/>
          <c:order val="4"/>
          <c:tx>
            <c:strRef>
              <c:f>Piano_indicatori!$B$84</c:f>
              <c:strCache>
                <c:ptCount val="1"/>
                <c:pt idx="0">
                  <c:v>Tutela della salute </c:v>
                </c:pt>
              </c:strCache>
            </c:strRef>
          </c:tx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Piano_indicatori!$D$84:$H$84</c:f>
              <c:numCache>
                <c:formatCode>0.00</c:formatCode>
                <c:ptCount val="5"/>
                <c:pt idx="0">
                  <c:v>71.576227390180875</c:v>
                </c:pt>
                <c:pt idx="1">
                  <c:v>73.634038595675435</c:v>
                </c:pt>
                <c:pt idx="2">
                  <c:v>72.6229694422356</c:v>
                </c:pt>
                <c:pt idx="3">
                  <c:v>72.959873760144276</c:v>
                </c:pt>
                <c:pt idx="4">
                  <c:v>72.022988505747122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935-44BD-9FC1-71A115F581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31616816"/>
        <c:axId val="1631611920"/>
      </c:barChart>
      <c:catAx>
        <c:axId val="1631616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400"/>
            </a:pPr>
            <a:endParaRPr lang="it-IT"/>
          </a:p>
        </c:txPr>
        <c:crossAx val="1631611920"/>
        <c:crosses val="autoZero"/>
        <c:auto val="1"/>
        <c:lblAlgn val="ctr"/>
        <c:lblOffset val="100"/>
        <c:noMultiLvlLbl val="0"/>
      </c:catAx>
      <c:valAx>
        <c:axId val="1631611920"/>
        <c:scaling>
          <c:orientation val="minMax"/>
          <c:max val="100"/>
          <c:min val="0"/>
        </c:scaling>
        <c:delete val="0"/>
        <c:axPos val="l"/>
        <c:numFmt formatCode="0" sourceLinked="0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400"/>
            </a:pPr>
            <a:endParaRPr lang="it-IT"/>
          </a:p>
        </c:txPr>
        <c:crossAx val="1631616816"/>
        <c:crosses val="autoZero"/>
        <c:crossBetween val="between"/>
        <c:majorUnit val="20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2.4972222222222232E-2"/>
          <c:y val="0.851607295351958"/>
          <c:w val="0.95489973444949483"/>
          <c:h val="0.14839270464804197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1200"/>
          </a:pPr>
          <a:endParaRPr lang="it-IT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488" l="0.70000000000000062" r="0.70000000000000062" t="0.75000000000000488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133073571989068E-2"/>
          <c:y val="3.0301278829508296E-2"/>
          <c:w val="0.9122665336936"/>
          <c:h val="0.71915787122354535"/>
        </c:manualLayout>
      </c:layout>
      <c:lineChart>
        <c:grouping val="standard"/>
        <c:varyColors val="0"/>
        <c:ser>
          <c:idx val="0"/>
          <c:order val="0"/>
          <c:tx>
            <c:strRef>
              <c:f>Piano_indicatori!$B$86</c:f>
              <c:strCache>
                <c:ptCount val="1"/>
                <c:pt idx="0">
                  <c:v>Istruzione e diritto allo studio</c:v>
                </c:pt>
              </c:strCache>
            </c:strRef>
          </c:tx>
          <c:marker>
            <c:symbol val="triangle"/>
            <c:size val="5"/>
            <c:spPr>
              <a:solidFill>
                <a:srgbClr val="4BACC6">
                  <a:lumMod val="40000"/>
                  <a:lumOff val="60000"/>
                </a:srgbClr>
              </a:solidFill>
            </c:spPr>
          </c:marker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Piano_indicatori!$D$86:$H$86</c:f>
              <c:numCache>
                <c:formatCode>0.00</c:formatCode>
                <c:ptCount val="5"/>
                <c:pt idx="0">
                  <c:v>43.95</c:v>
                </c:pt>
                <c:pt idx="1">
                  <c:v>45.11</c:v>
                </c:pt>
                <c:pt idx="2">
                  <c:v>43.85</c:v>
                </c:pt>
                <c:pt idx="3">
                  <c:v>40.799999999999997</c:v>
                </c:pt>
                <c:pt idx="4">
                  <c:v>57.843588003422482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73A-469B-84B2-5562AE3617E1}"/>
            </c:ext>
          </c:extLst>
        </c:ser>
        <c:ser>
          <c:idx val="1"/>
          <c:order val="1"/>
          <c:tx>
            <c:strRef>
              <c:f>Piano_indicatori!$B$87</c:f>
              <c:strCache>
                <c:ptCount val="1"/>
                <c:pt idx="0">
                  <c:v>Sviluppo sostenibile, tutela territ. e ambiente</c:v>
                </c:pt>
              </c:strCache>
            </c:strRef>
          </c:tx>
          <c:marker>
            <c:symbol val="square"/>
            <c:size val="5"/>
          </c:marker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Piano_indicatori!$D$87:$H$87</c:f>
              <c:numCache>
                <c:formatCode>0.00</c:formatCode>
                <c:ptCount val="5"/>
                <c:pt idx="0">
                  <c:v>54.01</c:v>
                </c:pt>
                <c:pt idx="1">
                  <c:v>55.98</c:v>
                </c:pt>
                <c:pt idx="2">
                  <c:v>47.93</c:v>
                </c:pt>
                <c:pt idx="3">
                  <c:v>62.71</c:v>
                </c:pt>
                <c:pt idx="4">
                  <c:v>64.8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73A-469B-84B2-5562AE3617E1}"/>
            </c:ext>
          </c:extLst>
        </c:ser>
        <c:ser>
          <c:idx val="2"/>
          <c:order val="2"/>
          <c:tx>
            <c:strRef>
              <c:f>Piano_indicatori!$B$88</c:f>
              <c:strCache>
                <c:ptCount val="1"/>
                <c:pt idx="0">
                  <c:v>Trasporti e diritto alla mobilità</c:v>
                </c:pt>
              </c:strCache>
            </c:strRef>
          </c:tx>
          <c:marker>
            <c:symbol val="diamond"/>
            <c:size val="5"/>
          </c:marker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Piano_indicatori!$D$88:$H$88</c:f>
              <c:numCache>
                <c:formatCode>0.00</c:formatCode>
                <c:ptCount val="5"/>
                <c:pt idx="0">
                  <c:v>69.290000000000006</c:v>
                </c:pt>
                <c:pt idx="1">
                  <c:v>61.07</c:v>
                </c:pt>
                <c:pt idx="2">
                  <c:v>68.92</c:v>
                </c:pt>
                <c:pt idx="3">
                  <c:v>68.98</c:v>
                </c:pt>
                <c:pt idx="4">
                  <c:v>68.02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773A-469B-84B2-5562AE3617E1}"/>
            </c:ext>
          </c:extLst>
        </c:ser>
        <c:ser>
          <c:idx val="3"/>
          <c:order val="3"/>
          <c:tx>
            <c:strRef>
              <c:f>Piano_indicatori!$B$89</c:f>
              <c:strCache>
                <c:ptCount val="1"/>
                <c:pt idx="0">
                  <c:v>Diritti sociali, politiche sociali e famiglia</c:v>
                </c:pt>
              </c:strCache>
            </c:strRef>
          </c:tx>
          <c:marker>
            <c:symbol val="circle"/>
            <c:size val="5"/>
          </c:marker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Piano_indicatori!$D$89:$H$89</c:f>
              <c:numCache>
                <c:formatCode>0.00</c:formatCode>
                <c:ptCount val="5"/>
                <c:pt idx="0">
                  <c:v>39.68</c:v>
                </c:pt>
                <c:pt idx="1">
                  <c:v>35.54</c:v>
                </c:pt>
                <c:pt idx="2">
                  <c:v>35.950000000000003</c:v>
                </c:pt>
                <c:pt idx="3">
                  <c:v>38.71</c:v>
                </c:pt>
                <c:pt idx="4">
                  <c:v>47.38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773A-469B-84B2-5562AE3617E1}"/>
            </c:ext>
          </c:extLst>
        </c:ser>
        <c:ser>
          <c:idx val="4"/>
          <c:order val="4"/>
          <c:tx>
            <c:strRef>
              <c:f>Piano_indicatori!$B$90</c:f>
              <c:strCache>
                <c:ptCount val="1"/>
                <c:pt idx="0">
                  <c:v>Tutela della salute </c:v>
                </c:pt>
              </c:strCache>
            </c:strRef>
          </c:tx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Piano_indicatori!$D$90:$H$90</c:f>
              <c:numCache>
                <c:formatCode>0.00</c:formatCode>
                <c:ptCount val="5"/>
                <c:pt idx="0">
                  <c:v>72.89</c:v>
                </c:pt>
                <c:pt idx="1">
                  <c:v>73.66</c:v>
                </c:pt>
                <c:pt idx="2">
                  <c:v>72.97</c:v>
                </c:pt>
                <c:pt idx="3">
                  <c:v>80.92</c:v>
                </c:pt>
                <c:pt idx="4">
                  <c:v>82.31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EF3-43B9-A6BB-DB2FC9CF97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1620624"/>
        <c:axId val="1631606480"/>
      </c:lineChart>
      <c:catAx>
        <c:axId val="1631620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crossAx val="1631606480"/>
        <c:crosses val="autoZero"/>
        <c:auto val="1"/>
        <c:lblAlgn val="ctr"/>
        <c:lblOffset val="100"/>
        <c:noMultiLvlLbl val="0"/>
      </c:catAx>
      <c:valAx>
        <c:axId val="1631606480"/>
        <c:scaling>
          <c:orientation val="minMax"/>
          <c:min val="30"/>
        </c:scaling>
        <c:delete val="0"/>
        <c:axPos val="l"/>
        <c:numFmt formatCode="0" sourceLinked="0"/>
        <c:majorTickMark val="none"/>
        <c:minorTickMark val="none"/>
        <c:tickLblPos val="nextTo"/>
        <c:spPr>
          <a:ln>
            <a:noFill/>
          </a:ln>
        </c:spPr>
        <c:crossAx val="1631620624"/>
        <c:crosses val="autoZero"/>
        <c:crossBetween val="between"/>
        <c:majorUnit val="10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7.9534903497887523E-3"/>
          <c:y val="0.85234684760149826"/>
          <c:w val="0.96716740304369175"/>
          <c:h val="0.14765315239850338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1200"/>
          </a:pPr>
          <a:endParaRPr lang="it-IT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160039273441371E-2"/>
          <c:y val="0"/>
          <c:w val="0.95679921453118733"/>
          <c:h val="0.802487112933598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Piano_indicatori!$B$20</c:f>
              <c:strCache>
                <c:ptCount val="1"/>
                <c:pt idx="0">
                  <c:v>Spesa di personale procapite</c:v>
                </c:pt>
              </c:strCache>
            </c:strRef>
          </c:tx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F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Piano_indicatori!$D$20:$H$20</c:f>
              <c:numCache>
                <c:formatCode>0.00</c:formatCode>
                <c:ptCount val="5"/>
                <c:pt idx="0">
                  <c:v>49.38</c:v>
                </c:pt>
                <c:pt idx="1">
                  <c:v>47.24</c:v>
                </c:pt>
                <c:pt idx="2">
                  <c:v>43.89</c:v>
                </c:pt>
                <c:pt idx="3">
                  <c:v>46.95</c:v>
                </c:pt>
                <c:pt idx="4">
                  <c:v>44.65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031-4E19-98D9-D92F9A6181BB}"/>
            </c:ext>
          </c:extLst>
        </c:ser>
        <c:ser>
          <c:idx val="1"/>
          <c:order val="1"/>
          <c:tx>
            <c:strRef>
              <c:f>Piano_indicatori!$B$91</c:f>
              <c:strCache>
                <c:ptCount val="1"/>
                <c:pt idx="0">
                  <c:v>Media Regioni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5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Piano_indicatori!$D$92:$H$92</c:f>
              <c:numCache>
                <c:formatCode>0.00</c:formatCode>
                <c:ptCount val="5"/>
                <c:pt idx="0">
                  <c:v>93.080814543787938</c:v>
                </c:pt>
                <c:pt idx="1">
                  <c:v>88.060780079821342</c:v>
                </c:pt>
                <c:pt idx="2">
                  <c:v>89.823506154392092</c:v>
                </c:pt>
                <c:pt idx="3">
                  <c:v>92.549410739486376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031-4E19-98D9-D92F9A6181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31613008"/>
        <c:axId val="1631614096"/>
      </c:barChart>
      <c:catAx>
        <c:axId val="1631613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crossAx val="1631614096"/>
        <c:crosses val="autoZero"/>
        <c:auto val="1"/>
        <c:lblAlgn val="ctr"/>
        <c:lblOffset val="100"/>
        <c:noMultiLvlLbl val="0"/>
      </c:catAx>
      <c:valAx>
        <c:axId val="1631614096"/>
        <c:scaling>
          <c:orientation val="minMax"/>
        </c:scaling>
        <c:delete val="1"/>
        <c:axPos val="l"/>
        <c:numFmt formatCode="0" sourceLinked="0"/>
        <c:majorTickMark val="none"/>
        <c:minorTickMark val="none"/>
        <c:tickLblPos val="none"/>
        <c:crossAx val="1631613008"/>
        <c:crosses val="autoZero"/>
        <c:crossBetween val="between"/>
      </c:valAx>
      <c:spPr>
        <a:noFill/>
        <a:ln>
          <a:noFill/>
        </a:ln>
      </c:spPr>
    </c:plotArea>
    <c:legend>
      <c:legendPos val="b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7" Type="http://schemas.openxmlformats.org/officeDocument/2006/relationships/chart" Target="../charts/chart12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6" Type="http://schemas.openxmlformats.org/officeDocument/2006/relationships/chart" Target="../charts/chart11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1171574</xdr:colOff>
      <xdr:row>26</xdr:row>
      <xdr:rowOff>142874</xdr:rowOff>
    </xdr:from>
    <xdr:to>
      <xdr:col>10</xdr:col>
      <xdr:colOff>247650</xdr:colOff>
      <xdr:row>49</xdr:row>
      <xdr:rowOff>38099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1495425</xdr:colOff>
      <xdr:row>52</xdr:row>
      <xdr:rowOff>95250</xdr:rowOff>
    </xdr:from>
    <xdr:to>
      <xdr:col>10</xdr:col>
      <xdr:colOff>123825</xdr:colOff>
      <xdr:row>73</xdr:row>
      <xdr:rowOff>19050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28</xdr:row>
      <xdr:rowOff>133349</xdr:rowOff>
    </xdr:from>
    <xdr:to>
      <xdr:col>10</xdr:col>
      <xdr:colOff>514349</xdr:colOff>
      <xdr:row>45</xdr:row>
      <xdr:rowOff>180974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419098</xdr:colOff>
      <xdr:row>30</xdr:row>
      <xdr:rowOff>38100</xdr:rowOff>
    </xdr:from>
    <xdr:to>
      <xdr:col>7</xdr:col>
      <xdr:colOff>638175</xdr:colOff>
      <xdr:row>50</xdr:row>
      <xdr:rowOff>133350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400050</xdr:colOff>
      <xdr:row>53</xdr:row>
      <xdr:rowOff>85725</xdr:rowOff>
    </xdr:from>
    <xdr:to>
      <xdr:col>7</xdr:col>
      <xdr:colOff>514350</xdr:colOff>
      <xdr:row>75</xdr:row>
      <xdr:rowOff>85725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181</xdr:row>
      <xdr:rowOff>28576</xdr:rowOff>
    </xdr:from>
    <xdr:to>
      <xdr:col>2</xdr:col>
      <xdr:colOff>752475</xdr:colOff>
      <xdr:row>199</xdr:row>
      <xdr:rowOff>180976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552449</xdr:colOff>
      <xdr:row>201</xdr:row>
      <xdr:rowOff>123823</xdr:rowOff>
    </xdr:from>
    <xdr:to>
      <xdr:col>3</xdr:col>
      <xdr:colOff>85724</xdr:colOff>
      <xdr:row>219</xdr:row>
      <xdr:rowOff>104775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221</xdr:row>
      <xdr:rowOff>0</xdr:rowOff>
    </xdr:from>
    <xdr:to>
      <xdr:col>3</xdr:col>
      <xdr:colOff>123825</xdr:colOff>
      <xdr:row>239</xdr:row>
      <xdr:rowOff>152400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97</xdr:row>
      <xdr:rowOff>161924</xdr:rowOff>
    </xdr:from>
    <xdr:to>
      <xdr:col>3</xdr:col>
      <xdr:colOff>123825</xdr:colOff>
      <xdr:row>115</xdr:row>
      <xdr:rowOff>171449</xdr:rowOff>
    </xdr:to>
    <xdr:graphicFrame macro="">
      <xdr:nvGraphicFramePr>
        <xdr:cNvPr id="6" name="Gra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118</xdr:row>
      <xdr:rowOff>142875</xdr:rowOff>
    </xdr:from>
    <xdr:to>
      <xdr:col>3</xdr:col>
      <xdr:colOff>123825</xdr:colOff>
      <xdr:row>136</xdr:row>
      <xdr:rowOff>152400</xdr:rowOff>
    </xdr:to>
    <xdr:graphicFrame macro="">
      <xdr:nvGraphicFramePr>
        <xdr:cNvPr id="10" name="Gra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139</xdr:row>
      <xdr:rowOff>0</xdr:rowOff>
    </xdr:from>
    <xdr:to>
      <xdr:col>3</xdr:col>
      <xdr:colOff>123825</xdr:colOff>
      <xdr:row>157</xdr:row>
      <xdr:rowOff>9525</xdr:rowOff>
    </xdr:to>
    <xdr:graphicFrame macro="">
      <xdr:nvGraphicFramePr>
        <xdr:cNvPr id="12" name="Grafico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160</xdr:row>
      <xdr:rowOff>0</xdr:rowOff>
    </xdr:from>
    <xdr:to>
      <xdr:col>3</xdr:col>
      <xdr:colOff>123825</xdr:colOff>
      <xdr:row>178</xdr:row>
      <xdr:rowOff>9525</xdr:rowOff>
    </xdr:to>
    <xdr:graphicFrame macro="">
      <xdr:nvGraphicFramePr>
        <xdr:cNvPr id="13" name="Grafico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57148</xdr:colOff>
      <xdr:row>9</xdr:row>
      <xdr:rowOff>19049</xdr:rowOff>
    </xdr:from>
    <xdr:to>
      <xdr:col>9</xdr:col>
      <xdr:colOff>121920</xdr:colOff>
      <xdr:row>26</xdr:row>
      <xdr:rowOff>53340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3"/>
  <sheetViews>
    <sheetView workbookViewId="0">
      <pane xSplit="1" ySplit="2" topLeftCell="G38" activePane="bottomRight" state="frozen"/>
      <selection pane="topRight" activeCell="B1" sqref="B1"/>
      <selection pane="bottomLeft" activeCell="A3" sqref="A3"/>
      <selection pane="bottomRight" activeCell="N3" sqref="N3:O55"/>
    </sheetView>
  </sheetViews>
  <sheetFormatPr defaultRowHeight="14.4" x14ac:dyDescent="0.3"/>
  <cols>
    <col min="1" max="1" width="60.6640625" bestFit="1" customWidth="1"/>
    <col min="2" max="3" width="15.33203125" bestFit="1" customWidth="1"/>
    <col min="4" max="4" width="7.109375" customWidth="1"/>
    <col min="5" max="6" width="15.33203125" bestFit="1" customWidth="1"/>
    <col min="7" max="7" width="7.109375" customWidth="1"/>
    <col min="8" max="9" width="15.33203125" bestFit="1" customWidth="1"/>
    <col min="10" max="10" width="7.109375" customWidth="1"/>
    <col min="11" max="12" width="15.33203125" bestFit="1" customWidth="1"/>
    <col min="13" max="13" width="7.109375" customWidth="1"/>
    <col min="14" max="15" width="15.33203125" bestFit="1" customWidth="1"/>
    <col min="16" max="16" width="7.109375" customWidth="1"/>
  </cols>
  <sheetData>
    <row r="1" spans="1:18" x14ac:dyDescent="0.3">
      <c r="B1" s="115">
        <v>2016</v>
      </c>
      <c r="C1" s="115"/>
      <c r="D1" s="116"/>
      <c r="E1" s="117">
        <v>2017</v>
      </c>
      <c r="F1" s="115"/>
      <c r="G1" s="116"/>
      <c r="H1" s="117">
        <v>2018</v>
      </c>
      <c r="I1" s="115"/>
      <c r="J1" s="116"/>
      <c r="K1" s="117">
        <v>2019</v>
      </c>
      <c r="L1" s="115"/>
      <c r="M1" s="116"/>
      <c r="N1" s="117">
        <v>2020</v>
      </c>
      <c r="O1" s="115"/>
      <c r="P1" s="116"/>
      <c r="Q1" s="114" t="s">
        <v>232</v>
      </c>
      <c r="R1" s="114"/>
    </row>
    <row r="2" spans="1:18" x14ac:dyDescent="0.3">
      <c r="B2" s="17" t="s">
        <v>72</v>
      </c>
      <c r="C2" s="17" t="s">
        <v>73</v>
      </c>
      <c r="D2" s="18" t="s">
        <v>233</v>
      </c>
      <c r="E2" s="23" t="s">
        <v>72</v>
      </c>
      <c r="F2" s="17" t="s">
        <v>73</v>
      </c>
      <c r="G2" s="18" t="s">
        <v>233</v>
      </c>
      <c r="H2" s="23" t="s">
        <v>72</v>
      </c>
      <c r="I2" s="17" t="s">
        <v>73</v>
      </c>
      <c r="J2" s="18" t="s">
        <v>233</v>
      </c>
      <c r="K2" s="23" t="s">
        <v>72</v>
      </c>
      <c r="L2" s="17" t="s">
        <v>73</v>
      </c>
      <c r="M2" s="18" t="s">
        <v>233</v>
      </c>
      <c r="N2" s="23" t="s">
        <v>72</v>
      </c>
      <c r="O2" s="17" t="s">
        <v>73</v>
      </c>
      <c r="P2" s="18" t="s">
        <v>233</v>
      </c>
      <c r="Q2" s="12" t="s">
        <v>72</v>
      </c>
      <c r="R2" s="12" t="s">
        <v>73</v>
      </c>
    </row>
    <row r="3" spans="1:18" x14ac:dyDescent="0.3">
      <c r="A3" t="s">
        <v>19</v>
      </c>
      <c r="B3" s="27">
        <v>9516287783.4699993</v>
      </c>
      <c r="C3" s="101">
        <v>7607473931.5500002</v>
      </c>
      <c r="D3" s="20">
        <f>IF(B3&gt;0,C3/B3*100,"-")</f>
        <v>79.941612786914135</v>
      </c>
      <c r="E3" s="27">
        <v>9521981287.9400005</v>
      </c>
      <c r="F3" s="101">
        <v>7810720468.4200001</v>
      </c>
      <c r="G3" s="20">
        <f>IF(E3&gt;0,F3/E3*100,"-")</f>
        <v>82.028311464050176</v>
      </c>
      <c r="H3" s="27">
        <v>9664569259.7900009</v>
      </c>
      <c r="I3" s="101">
        <v>7972746368.0100002</v>
      </c>
      <c r="J3" s="20">
        <f>IF(H3&gt;0,I3/H3*100,"-")</f>
        <v>82.494585673684099</v>
      </c>
      <c r="K3" s="27">
        <v>9798695379.7999992</v>
      </c>
      <c r="L3" s="101">
        <v>8643440762.6700001</v>
      </c>
      <c r="M3" s="20">
        <f>IF(K3&gt;0,L3/K3*100,"-")</f>
        <v>88.210118058047243</v>
      </c>
      <c r="N3" s="27">
        <v>9960748841.7199993</v>
      </c>
      <c r="O3" s="101">
        <v>8730423742.1599998</v>
      </c>
      <c r="P3" s="20">
        <f>IF(N3&gt;0,O3/N3*100,"-")</f>
        <v>87.64826702178398</v>
      </c>
      <c r="Q3" s="13">
        <f t="shared" ref="Q3:R18" si="0">IF(K3&gt;0,N3/K3*100-100,"-")</f>
        <v>1.6538269191842971</v>
      </c>
      <c r="R3" s="13">
        <f t="shared" si="0"/>
        <v>1.0063466839001194</v>
      </c>
    </row>
    <row r="4" spans="1:18" x14ac:dyDescent="0.3">
      <c r="A4" t="s">
        <v>20</v>
      </c>
      <c r="B4" s="27">
        <v>692557877.72000003</v>
      </c>
      <c r="C4" s="101">
        <v>543152041.58000004</v>
      </c>
      <c r="D4" s="20">
        <f t="shared" ref="D4:D21" si="1">IF(B4&gt;0,C4/B4*100,"-")</f>
        <v>78.426953046600886</v>
      </c>
      <c r="E4" s="27">
        <v>871591253.85000002</v>
      </c>
      <c r="F4" s="101">
        <v>573483749.76999998</v>
      </c>
      <c r="G4" s="20">
        <f t="shared" ref="G4:G21" si="2">IF(E4&gt;0,F4/E4*100,"-")</f>
        <v>65.797327272021477</v>
      </c>
      <c r="H4" s="27">
        <v>934701188.99000001</v>
      </c>
      <c r="I4" s="101">
        <v>735501623.29999995</v>
      </c>
      <c r="J4" s="20">
        <f t="shared" ref="J4:J13" si="3">IF(H4&gt;0,I4/H4*100,"-")</f>
        <v>78.688422777631544</v>
      </c>
      <c r="K4" s="27">
        <v>902447786.63</v>
      </c>
      <c r="L4" s="101">
        <v>656974883.98000002</v>
      </c>
      <c r="M4" s="20">
        <f t="shared" ref="M4:M21" si="4">IF(K4&gt;0,L4/K4*100,"-")</f>
        <v>72.799212731556864</v>
      </c>
      <c r="N4" s="27">
        <v>1345160400.45</v>
      </c>
      <c r="O4" s="101">
        <v>1132666714.8800001</v>
      </c>
      <c r="P4" s="20">
        <f t="shared" ref="P4:P21" si="5">IF(N4&gt;0,O4/N4*100,"-")</f>
        <v>84.203096857526148</v>
      </c>
      <c r="Q4" s="13">
        <f t="shared" si="0"/>
        <v>49.056867375476259</v>
      </c>
      <c r="R4" s="13">
        <f t="shared" si="0"/>
        <v>72.406395206195043</v>
      </c>
    </row>
    <row r="5" spans="1:18" x14ac:dyDescent="0.3">
      <c r="A5" t="s">
        <v>21</v>
      </c>
      <c r="B5" s="27">
        <v>718131489.38</v>
      </c>
      <c r="C5" s="101">
        <v>438187087.97000003</v>
      </c>
      <c r="D5" s="20">
        <f t="shared" si="1"/>
        <v>61.017667996749395</v>
      </c>
      <c r="E5" s="27">
        <v>451994503.88999999</v>
      </c>
      <c r="F5" s="101">
        <v>181535380.22</v>
      </c>
      <c r="G5" s="20">
        <f t="shared" si="2"/>
        <v>40.163183104584718</v>
      </c>
      <c r="H5" s="27">
        <v>521984963.51999998</v>
      </c>
      <c r="I5" s="101">
        <v>224093760.66999999</v>
      </c>
      <c r="J5" s="20">
        <f t="shared" si="3"/>
        <v>42.931075860658154</v>
      </c>
      <c r="K5" s="27">
        <v>563497438.14999998</v>
      </c>
      <c r="L5" s="101">
        <v>449010829.19999999</v>
      </c>
      <c r="M5" s="20">
        <f t="shared" si="4"/>
        <v>79.682851917505204</v>
      </c>
      <c r="N5" s="27">
        <v>454962653.81999999</v>
      </c>
      <c r="O5" s="101">
        <v>411735684.19</v>
      </c>
      <c r="P5" s="20">
        <f t="shared" si="5"/>
        <v>90.498787259337959</v>
      </c>
      <c r="Q5" s="13">
        <f t="shared" si="0"/>
        <v>-19.260918858180958</v>
      </c>
      <c r="R5" s="13">
        <f t="shared" si="0"/>
        <v>-8.3016138110550486</v>
      </c>
    </row>
    <row r="6" spans="1:18" x14ac:dyDescent="0.3">
      <c r="A6" t="s">
        <v>22</v>
      </c>
      <c r="B6" s="27">
        <v>0</v>
      </c>
      <c r="C6" s="101">
        <v>0</v>
      </c>
      <c r="D6" s="20" t="str">
        <f t="shared" si="1"/>
        <v>-</v>
      </c>
      <c r="E6" s="27">
        <v>0</v>
      </c>
      <c r="F6" s="101">
        <v>0</v>
      </c>
      <c r="G6" s="20" t="str">
        <f t="shared" si="2"/>
        <v>-</v>
      </c>
      <c r="H6" s="27">
        <v>0</v>
      </c>
      <c r="I6" s="101">
        <v>0</v>
      </c>
      <c r="J6" s="20" t="str">
        <f t="shared" si="3"/>
        <v>-</v>
      </c>
      <c r="K6" s="27">
        <v>0</v>
      </c>
      <c r="L6" s="101">
        <v>0</v>
      </c>
      <c r="M6" s="20" t="str">
        <f t="shared" si="4"/>
        <v>-</v>
      </c>
      <c r="N6" s="27">
        <v>0</v>
      </c>
      <c r="O6" s="101">
        <v>0</v>
      </c>
      <c r="P6" s="20" t="str">
        <f t="shared" si="5"/>
        <v>-</v>
      </c>
      <c r="Q6" s="13" t="str">
        <f t="shared" si="0"/>
        <v>-</v>
      </c>
      <c r="R6" s="13" t="str">
        <f t="shared" si="0"/>
        <v>-</v>
      </c>
    </row>
    <row r="7" spans="1:18" x14ac:dyDescent="0.3">
      <c r="A7" t="s">
        <v>23</v>
      </c>
      <c r="B7" s="27">
        <v>175132524.44999999</v>
      </c>
      <c r="C7" s="101">
        <v>36858031.780000001</v>
      </c>
      <c r="D7" s="20">
        <f t="shared" si="1"/>
        <v>21.045794832086088</v>
      </c>
      <c r="E7" s="27">
        <v>71441622.049999997</v>
      </c>
      <c r="F7" s="101">
        <v>35086687.420000002</v>
      </c>
      <c r="G7" s="20">
        <f t="shared" si="2"/>
        <v>49.112389127228674</v>
      </c>
      <c r="H7" s="27">
        <v>44838967.890000001</v>
      </c>
      <c r="I7" s="101">
        <v>24281733.469999999</v>
      </c>
      <c r="J7" s="20">
        <f t="shared" si="3"/>
        <v>54.153194448116004</v>
      </c>
      <c r="K7" s="27">
        <v>264595156.15000001</v>
      </c>
      <c r="L7" s="101">
        <v>31725503.969999999</v>
      </c>
      <c r="M7" s="20">
        <f t="shared" si="4"/>
        <v>11.990205879662698</v>
      </c>
      <c r="N7" s="27">
        <v>164251089</v>
      </c>
      <c r="O7" s="101">
        <v>26057089.600000001</v>
      </c>
      <c r="P7" s="20">
        <f t="shared" si="5"/>
        <v>15.864180723940285</v>
      </c>
      <c r="Q7" s="13">
        <f t="shared" si="0"/>
        <v>-37.923622113896357</v>
      </c>
      <c r="R7" s="13">
        <f t="shared" si="0"/>
        <v>-17.86705855125301</v>
      </c>
    </row>
    <row r="8" spans="1:18" x14ac:dyDescent="0.3">
      <c r="A8" t="s">
        <v>24</v>
      </c>
      <c r="B8" s="27">
        <v>158735145.61000001</v>
      </c>
      <c r="C8" s="101">
        <v>96436808.530000001</v>
      </c>
      <c r="D8" s="20">
        <f t="shared" si="1"/>
        <v>60.75328066724289</v>
      </c>
      <c r="E8" s="27">
        <v>167714458.38999999</v>
      </c>
      <c r="F8" s="101">
        <v>118184026.88</v>
      </c>
      <c r="G8" s="20">
        <f t="shared" si="2"/>
        <v>70.467405144747346</v>
      </c>
      <c r="H8" s="27">
        <v>157841250.61000001</v>
      </c>
      <c r="I8" s="101">
        <v>49141875.689999998</v>
      </c>
      <c r="J8" s="20">
        <f t="shared" si="3"/>
        <v>31.13373436923758</v>
      </c>
      <c r="K8" s="27">
        <v>115797992.94</v>
      </c>
      <c r="L8" s="101">
        <v>16711652.029999999</v>
      </c>
      <c r="M8" s="20">
        <f t="shared" si="4"/>
        <v>14.431728569474462</v>
      </c>
      <c r="N8" s="27">
        <v>86177687.980000004</v>
      </c>
      <c r="O8" s="101">
        <v>29815739.289999999</v>
      </c>
      <c r="P8" s="20">
        <f t="shared" si="5"/>
        <v>34.597980044346968</v>
      </c>
      <c r="Q8" s="13">
        <f t="shared" si="0"/>
        <v>-25.579290459159836</v>
      </c>
      <c r="R8" s="13">
        <f t="shared" si="0"/>
        <v>78.412877652527328</v>
      </c>
    </row>
    <row r="9" spans="1:18" x14ac:dyDescent="0.3">
      <c r="A9" t="s">
        <v>25</v>
      </c>
      <c r="B9" s="27">
        <v>107748.44</v>
      </c>
      <c r="C9" s="101">
        <v>53874.22</v>
      </c>
      <c r="D9" s="20">
        <f t="shared" si="1"/>
        <v>50</v>
      </c>
      <c r="E9" s="27">
        <v>544088.28</v>
      </c>
      <c r="F9" s="101">
        <v>544088.28</v>
      </c>
      <c r="G9" s="20">
        <f t="shared" si="2"/>
        <v>100</v>
      </c>
      <c r="H9" s="27">
        <v>1447778.95</v>
      </c>
      <c r="I9" s="101">
        <v>1447778.95</v>
      </c>
      <c r="J9" s="20">
        <f t="shared" si="3"/>
        <v>100</v>
      </c>
      <c r="K9" s="27">
        <v>1208130.1299999999</v>
      </c>
      <c r="L9" s="101">
        <v>1200000</v>
      </c>
      <c r="M9" s="20">
        <f t="shared" si="4"/>
        <v>99.327048486076592</v>
      </c>
      <c r="N9" s="27">
        <v>5100</v>
      </c>
      <c r="O9" s="101">
        <v>0</v>
      </c>
      <c r="P9" s="20">
        <f t="shared" si="5"/>
        <v>0</v>
      </c>
      <c r="Q9" s="13">
        <f t="shared" si="0"/>
        <v>-99.57786004393418</v>
      </c>
      <c r="R9" s="13">
        <f t="shared" si="0"/>
        <v>-100</v>
      </c>
    </row>
    <row r="10" spans="1:18" x14ac:dyDescent="0.3">
      <c r="A10" t="s">
        <v>26</v>
      </c>
      <c r="B10" s="27">
        <v>814222.24</v>
      </c>
      <c r="C10" s="101">
        <v>814222.24</v>
      </c>
      <c r="D10" s="20">
        <f t="shared" si="1"/>
        <v>100</v>
      </c>
      <c r="E10" s="27">
        <v>15998577.119999999</v>
      </c>
      <c r="F10" s="101">
        <v>996223.97</v>
      </c>
      <c r="G10" s="20">
        <f t="shared" si="2"/>
        <v>6.2269535754814678</v>
      </c>
      <c r="H10" s="27">
        <v>22143660.300000001</v>
      </c>
      <c r="I10" s="101">
        <v>7143660.2999999998</v>
      </c>
      <c r="J10" s="20">
        <f t="shared" si="3"/>
        <v>32.260521536270133</v>
      </c>
      <c r="K10" s="27">
        <v>16543447.83</v>
      </c>
      <c r="L10" s="101">
        <v>1543447.83</v>
      </c>
      <c r="M10" s="20">
        <f t="shared" si="4"/>
        <v>9.3296623887621628</v>
      </c>
      <c r="N10" s="27">
        <v>17915444.379999999</v>
      </c>
      <c r="O10" s="101">
        <v>1927928.9</v>
      </c>
      <c r="P10" s="20">
        <f t="shared" si="5"/>
        <v>10.761267536027482</v>
      </c>
      <c r="Q10" s="13">
        <f t="shared" si="0"/>
        <v>8.2932926926635702</v>
      </c>
      <c r="R10" s="13">
        <f t="shared" si="0"/>
        <v>24.910532285370451</v>
      </c>
    </row>
    <row r="11" spans="1:18" x14ac:dyDescent="0.3">
      <c r="A11" t="s">
        <v>27</v>
      </c>
      <c r="B11" s="27">
        <v>0</v>
      </c>
      <c r="C11" s="101">
        <v>0</v>
      </c>
      <c r="D11" s="20" t="str">
        <f t="shared" si="1"/>
        <v>-</v>
      </c>
      <c r="E11" s="27">
        <v>6198.03</v>
      </c>
      <c r="F11" s="101">
        <v>6198.03</v>
      </c>
      <c r="G11" s="20">
        <f t="shared" si="2"/>
        <v>100</v>
      </c>
      <c r="H11" s="27">
        <v>0</v>
      </c>
      <c r="I11" s="101">
        <v>0</v>
      </c>
      <c r="J11" s="20" t="str">
        <f t="shared" si="3"/>
        <v>-</v>
      </c>
      <c r="K11" s="27">
        <v>110000000</v>
      </c>
      <c r="L11" s="101">
        <v>110000000</v>
      </c>
      <c r="M11" s="20">
        <f t="shared" si="4"/>
        <v>100</v>
      </c>
      <c r="N11" s="27">
        <v>105126654</v>
      </c>
      <c r="O11" s="101">
        <v>90140154</v>
      </c>
      <c r="P11" s="20">
        <f t="shared" si="5"/>
        <v>85.744338443417021</v>
      </c>
      <c r="Q11" s="13">
        <f t="shared" si="0"/>
        <v>-4.4303145454545501</v>
      </c>
      <c r="R11" s="13">
        <f t="shared" si="0"/>
        <v>-18.054405454545446</v>
      </c>
    </row>
    <row r="12" spans="1:18" x14ac:dyDescent="0.3">
      <c r="A12" t="s">
        <v>28</v>
      </c>
      <c r="B12" s="27">
        <v>2140704.7400000002</v>
      </c>
      <c r="C12" s="101">
        <v>1762817.84</v>
      </c>
      <c r="D12" s="20">
        <f t="shared" si="1"/>
        <v>82.347546911116751</v>
      </c>
      <c r="E12" s="27">
        <v>2595008.19</v>
      </c>
      <c r="F12" s="101">
        <v>1904066.97</v>
      </c>
      <c r="G12" s="20">
        <f t="shared" si="2"/>
        <v>73.374218136860677</v>
      </c>
      <c r="H12" s="27">
        <v>5464134.3300000001</v>
      </c>
      <c r="I12" s="101">
        <v>2225573.92</v>
      </c>
      <c r="J12" s="20">
        <f t="shared" si="3"/>
        <v>40.730585772403586</v>
      </c>
      <c r="K12" s="27">
        <v>13721746.15</v>
      </c>
      <c r="L12" s="101">
        <v>2319950.0699999998</v>
      </c>
      <c r="M12" s="20">
        <f t="shared" si="4"/>
        <v>16.90710529577899</v>
      </c>
      <c r="N12" s="27">
        <v>11272729.99</v>
      </c>
      <c r="O12" s="101">
        <v>3961674.27</v>
      </c>
      <c r="P12" s="20">
        <f t="shared" si="5"/>
        <v>35.143876181851134</v>
      </c>
      <c r="Q12" s="13">
        <f t="shared" si="0"/>
        <v>-17.84770052753089</v>
      </c>
      <c r="R12" s="13">
        <f t="shared" si="0"/>
        <v>70.765497121237644</v>
      </c>
    </row>
    <row r="13" spans="1:18" x14ac:dyDescent="0.3">
      <c r="A13" t="s">
        <v>29</v>
      </c>
      <c r="B13" s="27">
        <v>0</v>
      </c>
      <c r="C13" s="101">
        <v>0</v>
      </c>
      <c r="D13" s="20" t="str">
        <f t="shared" si="1"/>
        <v>-</v>
      </c>
      <c r="E13" s="27">
        <v>0</v>
      </c>
      <c r="F13" s="101">
        <v>0</v>
      </c>
      <c r="G13" s="20" t="str">
        <f t="shared" si="2"/>
        <v>-</v>
      </c>
      <c r="H13" s="27">
        <v>230512616.84</v>
      </c>
      <c r="I13" s="101">
        <v>230512616.84</v>
      </c>
      <c r="J13" s="20">
        <f t="shared" si="3"/>
        <v>100</v>
      </c>
      <c r="K13" s="27">
        <v>264286345.53</v>
      </c>
      <c r="L13" s="101">
        <v>264286345.53</v>
      </c>
      <c r="M13" s="20">
        <f t="shared" si="4"/>
        <v>100</v>
      </c>
      <c r="N13" s="27">
        <v>221792627.27000001</v>
      </c>
      <c r="O13" s="101">
        <v>221792627.27000001</v>
      </c>
      <c r="P13" s="20">
        <f t="shared" si="5"/>
        <v>100</v>
      </c>
      <c r="Q13" s="13">
        <f t="shared" si="0"/>
        <v>-16.078665802723577</v>
      </c>
      <c r="R13" s="13">
        <f t="shared" si="0"/>
        <v>-16.078665802723577</v>
      </c>
    </row>
    <row r="14" spans="1:18" x14ac:dyDescent="0.3">
      <c r="A14" t="s">
        <v>30</v>
      </c>
      <c r="B14" s="28">
        <f t="shared" ref="B14:C14" si="6">SUM(B3:B5)</f>
        <v>10926977150.569998</v>
      </c>
      <c r="C14" s="102">
        <f t="shared" si="6"/>
        <v>8588813061.1000004</v>
      </c>
      <c r="D14" s="20">
        <f>IF(B14&gt;0,C14/B14*100,"-")</f>
        <v>78.601912887243202</v>
      </c>
      <c r="E14" s="28">
        <f t="shared" ref="E14:F14" si="7">SUM(E3:E5)</f>
        <v>10845567045.68</v>
      </c>
      <c r="F14" s="102">
        <f t="shared" si="7"/>
        <v>8565739598.4100008</v>
      </c>
      <c r="G14" s="20">
        <f>IF(E14&gt;0,F14/E14*100,"-")</f>
        <v>78.979177043784915</v>
      </c>
      <c r="H14" s="28">
        <f t="shared" ref="H14:I14" si="8">SUM(H3:H5)</f>
        <v>11121255412.300001</v>
      </c>
      <c r="I14" s="102">
        <f t="shared" si="8"/>
        <v>8932341751.9799995</v>
      </c>
      <c r="J14" s="20">
        <f>IF(H14&gt;0,I14/H14*100,"-")</f>
        <v>80.317746700619026</v>
      </c>
      <c r="K14" s="28">
        <f t="shared" ref="K14:L14" si="9">SUM(K3:K5)</f>
        <v>11264640604.579998</v>
      </c>
      <c r="L14" s="102">
        <f t="shared" si="9"/>
        <v>9749426475.8500004</v>
      </c>
      <c r="M14" s="20">
        <f>IF(K14&gt;0,L14/K14*100,"-")</f>
        <v>86.548935008952355</v>
      </c>
      <c r="N14" s="28">
        <f t="shared" ref="N14:O14" si="10">SUM(N3:N5)</f>
        <v>11760871895.99</v>
      </c>
      <c r="O14" s="102">
        <f t="shared" si="10"/>
        <v>10274826141.230001</v>
      </c>
      <c r="P14" s="20">
        <f>IF(N14&gt;0,O14/N14*100,"-")</f>
        <v>87.364493313912533</v>
      </c>
      <c r="Q14" s="13">
        <f t="shared" si="0"/>
        <v>4.4052119266747098</v>
      </c>
      <c r="R14" s="13">
        <f t="shared" si="0"/>
        <v>5.3890315156635182</v>
      </c>
    </row>
    <row r="15" spans="1:18" x14ac:dyDescent="0.3">
      <c r="A15" t="s">
        <v>31</v>
      </c>
      <c r="B15" s="27">
        <f t="shared" ref="B15:C15" si="11">SUM(B6:B10)</f>
        <v>334789640.74000001</v>
      </c>
      <c r="C15" s="101">
        <f t="shared" si="11"/>
        <v>134162936.77</v>
      </c>
      <c r="D15" s="20">
        <f>IF(B15&gt;0,C15/B15*100,"-")</f>
        <v>40.073801708276832</v>
      </c>
      <c r="E15" s="27">
        <f t="shared" ref="E15:F15" si="12">SUM(E6:E10)</f>
        <v>255698745.84</v>
      </c>
      <c r="F15" s="101">
        <f t="shared" si="12"/>
        <v>154811026.55000001</v>
      </c>
      <c r="G15" s="20">
        <f>IF(E15&gt;0,F15/E15*100,"-")</f>
        <v>60.544304212923628</v>
      </c>
      <c r="H15" s="27">
        <f t="shared" ref="H15:I15" si="13">SUM(H6:H10)</f>
        <v>226271657.75</v>
      </c>
      <c r="I15" s="101">
        <f t="shared" si="13"/>
        <v>82015048.409999996</v>
      </c>
      <c r="J15" s="20">
        <f>IF(H15&gt;0,I15/H15*100,"-")</f>
        <v>36.246275483876857</v>
      </c>
      <c r="K15" s="27">
        <f t="shared" ref="K15:L15" si="14">SUM(K6:K10)</f>
        <v>398144727.05000001</v>
      </c>
      <c r="L15" s="101">
        <f t="shared" si="14"/>
        <v>51180603.829999998</v>
      </c>
      <c r="M15" s="20">
        <f>IF(K15&gt;0,L15/K15*100,"-")</f>
        <v>12.854773742507108</v>
      </c>
      <c r="N15" s="27">
        <f t="shared" ref="N15:O15" si="15">SUM(N6:N10)</f>
        <v>268349321.36000001</v>
      </c>
      <c r="O15" s="101">
        <f t="shared" si="15"/>
        <v>57800757.789999999</v>
      </c>
      <c r="P15" s="20">
        <f>IF(N15&gt;0,O15/N15*100,"-")</f>
        <v>21.539371702922345</v>
      </c>
      <c r="Q15" s="13">
        <f t="shared" si="0"/>
        <v>-32.600056429656036</v>
      </c>
      <c r="R15" s="13">
        <f t="shared" si="0"/>
        <v>12.934888345571906</v>
      </c>
    </row>
    <row r="16" spans="1:18" x14ac:dyDescent="0.3">
      <c r="A16" t="s">
        <v>32</v>
      </c>
      <c r="B16" s="28">
        <f t="shared" ref="B16:C16" si="16">SUM(B11:B13)</f>
        <v>2140704.7400000002</v>
      </c>
      <c r="C16" s="102">
        <f t="shared" si="16"/>
        <v>1762817.84</v>
      </c>
      <c r="D16" s="20">
        <f t="shared" si="1"/>
        <v>82.347546911116751</v>
      </c>
      <c r="E16" s="28">
        <f t="shared" ref="E16:F16" si="17">SUM(E11:E13)</f>
        <v>2601206.2199999997</v>
      </c>
      <c r="F16" s="102">
        <f t="shared" si="17"/>
        <v>1910265</v>
      </c>
      <c r="G16" s="20">
        <f t="shared" si="2"/>
        <v>73.437660778775168</v>
      </c>
      <c r="H16" s="28">
        <f t="shared" ref="H16:I16" si="18">SUM(H11:H13)</f>
        <v>235976751.17000002</v>
      </c>
      <c r="I16" s="102">
        <f t="shared" si="18"/>
        <v>232738190.75999999</v>
      </c>
      <c r="J16" s="20">
        <f t="shared" ref="J16:J21" si="19">IF(H16&gt;0,I16/H16*100,"-")</f>
        <v>98.627593441327221</v>
      </c>
      <c r="K16" s="28">
        <f t="shared" ref="K16:L16" si="20">SUM(K11:K13)</f>
        <v>388008091.68000001</v>
      </c>
      <c r="L16" s="102">
        <f t="shared" si="20"/>
        <v>376606295.60000002</v>
      </c>
      <c r="M16" s="20">
        <f t="shared" ref="M16:M33" si="21">IF(K16&gt;0,L16/K16*100,"-")</f>
        <v>97.061454045808063</v>
      </c>
      <c r="N16" s="28">
        <f t="shared" ref="N16:O16" si="22">SUM(N11:N13)</f>
        <v>338192011.25999999</v>
      </c>
      <c r="O16" s="102">
        <f t="shared" si="22"/>
        <v>315894455.54000002</v>
      </c>
      <c r="P16" s="20">
        <f t="shared" si="5"/>
        <v>93.406835472864628</v>
      </c>
      <c r="Q16" s="13">
        <f t="shared" si="0"/>
        <v>-12.838928230673247</v>
      </c>
      <c r="R16" s="13">
        <f t="shared" si="0"/>
        <v>-16.120771418139839</v>
      </c>
    </row>
    <row r="17" spans="1:18" x14ac:dyDescent="0.3">
      <c r="A17" t="s">
        <v>33</v>
      </c>
      <c r="B17" s="99">
        <v>23011160.140000001</v>
      </c>
      <c r="C17" s="101">
        <v>0</v>
      </c>
      <c r="D17" s="20">
        <f t="shared" si="1"/>
        <v>0</v>
      </c>
      <c r="E17" s="1">
        <v>1097526</v>
      </c>
      <c r="F17" s="101">
        <v>0</v>
      </c>
      <c r="G17" s="20">
        <f t="shared" si="2"/>
        <v>0</v>
      </c>
      <c r="H17" s="1">
        <v>41515000</v>
      </c>
      <c r="I17" s="101">
        <v>41515000</v>
      </c>
      <c r="J17" s="20">
        <f t="shared" si="19"/>
        <v>100</v>
      </c>
      <c r="K17" s="1">
        <v>41515000</v>
      </c>
      <c r="L17" s="101">
        <v>41515000</v>
      </c>
      <c r="M17" s="20">
        <f t="shared" si="21"/>
        <v>100</v>
      </c>
      <c r="N17" s="101">
        <v>0</v>
      </c>
      <c r="O17" s="101">
        <v>0</v>
      </c>
      <c r="P17" s="20" t="str">
        <f t="shared" si="5"/>
        <v>-</v>
      </c>
      <c r="Q17" s="13">
        <f t="shared" si="0"/>
        <v>-100</v>
      </c>
      <c r="R17" s="13">
        <f t="shared" si="0"/>
        <v>-100</v>
      </c>
    </row>
    <row r="18" spans="1:18" x14ac:dyDescent="0.3">
      <c r="A18" t="s">
        <v>34</v>
      </c>
      <c r="B18" s="27">
        <v>0</v>
      </c>
      <c r="C18" s="101">
        <v>0</v>
      </c>
      <c r="D18" s="20" t="str">
        <f t="shared" si="1"/>
        <v>-</v>
      </c>
      <c r="E18" s="27">
        <v>0</v>
      </c>
      <c r="F18" s="101">
        <v>0</v>
      </c>
      <c r="G18" s="20" t="str">
        <f t="shared" si="2"/>
        <v>-</v>
      </c>
      <c r="H18" s="27">
        <v>0</v>
      </c>
      <c r="I18" s="101">
        <v>0</v>
      </c>
      <c r="J18" s="20" t="str">
        <f t="shared" si="19"/>
        <v>-</v>
      </c>
      <c r="K18" s="27">
        <v>0</v>
      </c>
      <c r="L18" s="101">
        <v>0</v>
      </c>
      <c r="M18" s="20" t="str">
        <f t="shared" si="21"/>
        <v>-</v>
      </c>
      <c r="N18" s="27">
        <v>0</v>
      </c>
      <c r="O18" s="101">
        <v>0</v>
      </c>
      <c r="P18" s="20" t="str">
        <f t="shared" si="5"/>
        <v>-</v>
      </c>
      <c r="Q18" s="13" t="str">
        <f t="shared" si="0"/>
        <v>-</v>
      </c>
      <c r="R18" s="13" t="str">
        <f t="shared" si="0"/>
        <v>-</v>
      </c>
    </row>
    <row r="19" spans="1:18" x14ac:dyDescent="0.3">
      <c r="A19" t="s">
        <v>35</v>
      </c>
      <c r="B19" s="99">
        <v>2062503007.95</v>
      </c>
      <c r="C19" s="101">
        <v>2059818785.9100001</v>
      </c>
      <c r="D19" s="20">
        <f t="shared" si="1"/>
        <v>99.869856090892782</v>
      </c>
      <c r="E19" s="1">
        <v>1879258900.5799999</v>
      </c>
      <c r="F19" s="101">
        <v>1828966735.8099999</v>
      </c>
      <c r="G19" s="20">
        <f t="shared" si="2"/>
        <v>97.323829901538403</v>
      </c>
      <c r="H19" s="1">
        <v>1604485642.45</v>
      </c>
      <c r="I19" s="101">
        <v>1504378286.0799999</v>
      </c>
      <c r="J19" s="20">
        <f t="shared" si="19"/>
        <v>93.760782039960205</v>
      </c>
      <c r="K19" s="1">
        <v>1550595025.8499999</v>
      </c>
      <c r="L19" s="101">
        <v>1545665378.74</v>
      </c>
      <c r="M19" s="20">
        <f t="shared" si="21"/>
        <v>99.682080296414114</v>
      </c>
      <c r="N19" s="1">
        <v>1914969996.21</v>
      </c>
      <c r="O19" s="101">
        <v>1913421922.3</v>
      </c>
      <c r="P19" s="20">
        <f t="shared" si="5"/>
        <v>99.919159364738661</v>
      </c>
      <c r="Q19" s="13">
        <f t="shared" ref="Q19:R60" si="23">IF(K19&gt;0,N19/K19*100-100,"-")</f>
        <v>23.499041612122952</v>
      </c>
      <c r="R19" s="13">
        <f t="shared" si="23"/>
        <v>23.792765796422827</v>
      </c>
    </row>
    <row r="20" spans="1:18" x14ac:dyDescent="0.3">
      <c r="A20" t="s">
        <v>36</v>
      </c>
      <c r="B20" s="28">
        <f t="shared" ref="B20:C20" si="24">B14+B15+B16+B17+B18+B19</f>
        <v>13349421664.139997</v>
      </c>
      <c r="C20" s="28">
        <f t="shared" si="24"/>
        <v>10784557601.620001</v>
      </c>
      <c r="D20" s="20">
        <f t="shared" si="1"/>
        <v>80.786702772226562</v>
      </c>
      <c r="E20" s="28">
        <f t="shared" ref="E20:F20" si="25">E14+E15+E16+E17+E18+E19</f>
        <v>12984223424.32</v>
      </c>
      <c r="F20" s="28">
        <f t="shared" si="25"/>
        <v>10551427625.77</v>
      </c>
      <c r="G20" s="20">
        <f t="shared" si="2"/>
        <v>81.263447808566909</v>
      </c>
      <c r="H20" s="28">
        <f t="shared" ref="H20:I20" si="26">H14+H15+H16+H17+H18+H19</f>
        <v>13229504463.670002</v>
      </c>
      <c r="I20" s="28">
        <f t="shared" si="26"/>
        <v>10792988277.23</v>
      </c>
      <c r="J20" s="20">
        <f t="shared" si="19"/>
        <v>81.582710122431251</v>
      </c>
      <c r="K20" s="28">
        <f t="shared" ref="K20:L20" si="27">K14+K15+K16+K17+K18+K19</f>
        <v>13642903449.159998</v>
      </c>
      <c r="L20" s="28">
        <f t="shared" si="27"/>
        <v>11764393754.02</v>
      </c>
      <c r="M20" s="20">
        <f t="shared" si="21"/>
        <v>86.23086572341272</v>
      </c>
      <c r="N20" s="28">
        <f t="shared" ref="N20:O20" si="28">N14+N15+N16+N17+N18+N19</f>
        <v>14282383224.82</v>
      </c>
      <c r="O20" s="28">
        <f t="shared" si="28"/>
        <v>12561943276.860003</v>
      </c>
      <c r="P20" s="20">
        <f t="shared" si="5"/>
        <v>87.954111573128728</v>
      </c>
      <c r="Q20" s="13">
        <f t="shared" si="23"/>
        <v>4.6872704043022111</v>
      </c>
      <c r="R20" s="13">
        <f t="shared" si="23"/>
        <v>6.7793508064746106</v>
      </c>
    </row>
    <row r="21" spans="1:18" x14ac:dyDescent="0.3">
      <c r="A21" t="s">
        <v>37</v>
      </c>
      <c r="B21" s="28">
        <f>B20-B19</f>
        <v>11286918656.189997</v>
      </c>
      <c r="C21" s="28">
        <f t="shared" ref="C21" si="29">C20-C19</f>
        <v>8724738815.710001</v>
      </c>
      <c r="D21" s="20">
        <f t="shared" si="1"/>
        <v>77.299563162220181</v>
      </c>
      <c r="E21" s="28">
        <f>E20-E19</f>
        <v>11104964523.74</v>
      </c>
      <c r="F21" s="28">
        <f t="shared" ref="F21" si="30">F20-F19</f>
        <v>8722460889.960001</v>
      </c>
      <c r="G21" s="20">
        <f t="shared" si="2"/>
        <v>78.545598874388801</v>
      </c>
      <c r="H21" s="28">
        <f>H20-H19</f>
        <v>11625018821.220001</v>
      </c>
      <c r="I21" s="28">
        <f t="shared" ref="I21" si="31">I20-I19</f>
        <v>9288609991.1499996</v>
      </c>
      <c r="J21" s="20">
        <f t="shared" si="19"/>
        <v>79.901892065712758</v>
      </c>
      <c r="K21" s="28">
        <f>K20-K19</f>
        <v>12092308423.309998</v>
      </c>
      <c r="L21" s="28">
        <f t="shared" ref="L21" si="32">L20-L19</f>
        <v>10218728375.280001</v>
      </c>
      <c r="M21" s="20">
        <f t="shared" si="21"/>
        <v>84.506018351149976</v>
      </c>
      <c r="N21" s="28">
        <f>N20-N19</f>
        <v>12367413228.610001</v>
      </c>
      <c r="O21" s="28">
        <f t="shared" ref="O21" si="33">O20-O19</f>
        <v>10648521354.560003</v>
      </c>
      <c r="P21" s="20">
        <f t="shared" si="5"/>
        <v>86.101443832461101</v>
      </c>
      <c r="Q21" s="13">
        <f t="shared" si="23"/>
        <v>2.2750396009556937</v>
      </c>
      <c r="R21" s="13">
        <f t="shared" si="23"/>
        <v>4.2059340800144014</v>
      </c>
    </row>
    <row r="22" spans="1:18" x14ac:dyDescent="0.3">
      <c r="B22" s="12" t="s">
        <v>74</v>
      </c>
      <c r="C22" s="12" t="s">
        <v>75</v>
      </c>
      <c r="D22" s="18"/>
      <c r="E22" s="12" t="s">
        <v>74</v>
      </c>
      <c r="F22" s="12" t="s">
        <v>75</v>
      </c>
      <c r="G22" s="18"/>
      <c r="H22" s="12" t="s">
        <v>74</v>
      </c>
      <c r="I22" s="12" t="s">
        <v>75</v>
      </c>
      <c r="J22" s="18"/>
      <c r="K22" s="12" t="s">
        <v>74</v>
      </c>
      <c r="L22" s="12" t="s">
        <v>75</v>
      </c>
      <c r="M22" s="18"/>
      <c r="N22" s="12" t="s">
        <v>74</v>
      </c>
      <c r="O22" s="12" t="s">
        <v>75</v>
      </c>
      <c r="P22" s="18"/>
    </row>
    <row r="23" spans="1:18" x14ac:dyDescent="0.3">
      <c r="A23" s="5" t="s">
        <v>38</v>
      </c>
      <c r="B23" s="102">
        <v>185137715.58000001</v>
      </c>
      <c r="C23" s="28">
        <v>165099564.47</v>
      </c>
      <c r="D23" s="20">
        <f>IF(B23&gt;0,C23/B23*100,"-")</f>
        <v>89.176623981113494</v>
      </c>
      <c r="E23" s="102">
        <v>181339857.71000001</v>
      </c>
      <c r="F23" s="28">
        <v>171195332</v>
      </c>
      <c r="G23" s="20">
        <f>IF(E23&gt;0,F23/E23*100,"-")</f>
        <v>94.405793718983062</v>
      </c>
      <c r="H23" s="102">
        <v>164621877.63999999</v>
      </c>
      <c r="I23" s="102">
        <v>157172486.91999999</v>
      </c>
      <c r="J23" s="20">
        <f>IF(H23&gt;0,I23/H23*100,"-")</f>
        <v>95.474847677117054</v>
      </c>
      <c r="K23" s="102">
        <v>187806085.22</v>
      </c>
      <c r="L23" s="102">
        <v>178499400.69999999</v>
      </c>
      <c r="M23" s="20">
        <f>IF(K23&gt;0,L23/K23*100,"-")</f>
        <v>95.044524510961409</v>
      </c>
      <c r="N23" s="102">
        <v>170300538.19</v>
      </c>
      <c r="O23" s="102">
        <v>165045458.30000001</v>
      </c>
      <c r="P23" s="20">
        <f>IF(N23&gt;0,O23/N23*100,"-")</f>
        <v>96.914231777625375</v>
      </c>
      <c r="Q23" s="13">
        <f t="shared" si="23"/>
        <v>-9.3210755175976487</v>
      </c>
      <c r="R23" s="13">
        <f t="shared" si="23"/>
        <v>-7.5372479387825706</v>
      </c>
    </row>
    <row r="24" spans="1:18" x14ac:dyDescent="0.3">
      <c r="A24" s="5" t="s">
        <v>39</v>
      </c>
      <c r="B24" s="102">
        <v>13541773.140000001</v>
      </c>
      <c r="C24" s="103">
        <v>12041577.26</v>
      </c>
      <c r="D24" s="20">
        <f t="shared" ref="D24:D57" si="34">IF(B24&gt;0,C24/B24*100,"-")</f>
        <v>88.921717529230435</v>
      </c>
      <c r="E24" s="102">
        <v>13543221.27</v>
      </c>
      <c r="F24" s="103">
        <v>12101060.779999999</v>
      </c>
      <c r="G24" s="20">
        <f t="shared" ref="G24:G57" si="35">IF(E24&gt;0,F24/E24*100,"-")</f>
        <v>89.351421930950991</v>
      </c>
      <c r="H24" s="102">
        <v>13833412.9</v>
      </c>
      <c r="I24" s="103">
        <v>12130504.23</v>
      </c>
      <c r="J24" s="20">
        <f t="shared" ref="J24:J26" si="36">IF(H24&gt;0,I24/H24*100,"-")</f>
        <v>87.6898876487667</v>
      </c>
      <c r="K24" s="102">
        <v>14110938.99</v>
      </c>
      <c r="L24" s="103">
        <v>12407697.85</v>
      </c>
      <c r="M24" s="20">
        <f t="shared" ref="M24:M57" si="37">IF(K24&gt;0,L24/K24*100,"-")</f>
        <v>87.929639967921077</v>
      </c>
      <c r="N24" s="102">
        <v>13779233.210000001</v>
      </c>
      <c r="O24" s="103">
        <v>12070145.859999999</v>
      </c>
      <c r="P24" s="20">
        <f t="shared" ref="P24:P57" si="38">IF(N24&gt;0,O24/N24*100,"-")</f>
        <v>87.596643993515798</v>
      </c>
      <c r="Q24" s="13">
        <f t="shared" si="23"/>
        <v>-2.3506995546864005</v>
      </c>
      <c r="R24" s="13">
        <f t="shared" si="23"/>
        <v>-2.7205045938477639</v>
      </c>
    </row>
    <row r="25" spans="1:18" x14ac:dyDescent="0.3">
      <c r="A25" s="5" t="s">
        <v>40</v>
      </c>
      <c r="B25" s="102">
        <v>444741379.75</v>
      </c>
      <c r="C25" s="28">
        <v>146618105.47</v>
      </c>
      <c r="D25" s="20">
        <f t="shared" si="34"/>
        <v>32.967048299489832</v>
      </c>
      <c r="E25" s="102">
        <v>478041861.24000001</v>
      </c>
      <c r="F25" s="28">
        <v>153086711.03999999</v>
      </c>
      <c r="G25" s="20">
        <f t="shared" si="35"/>
        <v>32.023704083760798</v>
      </c>
      <c r="H25" s="102">
        <v>480420067.58999997</v>
      </c>
      <c r="I25" s="28">
        <v>108920479.02</v>
      </c>
      <c r="J25" s="20">
        <f t="shared" si="36"/>
        <v>22.67192533534109</v>
      </c>
      <c r="K25" s="102">
        <v>485763962.54000002</v>
      </c>
      <c r="L25" s="28">
        <v>457394769.24000001</v>
      </c>
      <c r="M25" s="20">
        <f t="shared" si="37"/>
        <v>94.159881035295214</v>
      </c>
      <c r="N25" s="102">
        <v>443440433.48000002</v>
      </c>
      <c r="O25" s="28">
        <v>410485648.74000001</v>
      </c>
      <c r="P25" s="20">
        <f t="shared" si="38"/>
        <v>92.568385232402065</v>
      </c>
      <c r="Q25" s="13">
        <f t="shared" si="23"/>
        <v>-8.7127766412920948</v>
      </c>
      <c r="R25" s="13">
        <f t="shared" si="23"/>
        <v>-10.255718616534125</v>
      </c>
    </row>
    <row r="26" spans="1:18" x14ac:dyDescent="0.3">
      <c r="A26" s="5" t="s">
        <v>41</v>
      </c>
      <c r="B26" s="102">
        <v>9664461199.2299995</v>
      </c>
      <c r="C26" s="28">
        <v>8460401598.0900002</v>
      </c>
      <c r="D26" s="20">
        <f t="shared" si="34"/>
        <v>87.541368563454625</v>
      </c>
      <c r="E26" s="102">
        <v>9700792370.8799992</v>
      </c>
      <c r="F26" s="28">
        <v>8576792811</v>
      </c>
      <c r="G26" s="20">
        <f t="shared" si="35"/>
        <v>88.4133221606305</v>
      </c>
      <c r="H26" s="102">
        <v>9727863725.2000008</v>
      </c>
      <c r="I26" s="28">
        <v>8471672624.4300003</v>
      </c>
      <c r="J26" s="20">
        <f t="shared" si="36"/>
        <v>87.086670452466947</v>
      </c>
      <c r="K26" s="102">
        <v>9781297925.8199997</v>
      </c>
      <c r="L26" s="28">
        <v>8724776021.0900002</v>
      </c>
      <c r="M26" s="20">
        <f t="shared" si="37"/>
        <v>89.198551023161613</v>
      </c>
      <c r="N26" s="102">
        <v>10473971577.57</v>
      </c>
      <c r="O26" s="28">
        <v>9230474028.4400005</v>
      </c>
      <c r="P26" s="20">
        <f t="shared" si="38"/>
        <v>88.127736074891132</v>
      </c>
      <c r="Q26" s="13">
        <f t="shared" si="23"/>
        <v>7.0816128595932781</v>
      </c>
      <c r="R26" s="13">
        <f t="shared" si="23"/>
        <v>5.7961144919663354</v>
      </c>
    </row>
    <row r="27" spans="1:18" x14ac:dyDescent="0.3">
      <c r="A27" s="5" t="s">
        <v>350</v>
      </c>
      <c r="B27" s="102">
        <v>129981.98</v>
      </c>
      <c r="C27" s="28">
        <v>43799.45</v>
      </c>
      <c r="D27" s="20"/>
      <c r="E27" s="102">
        <v>0</v>
      </c>
      <c r="F27" s="28">
        <v>0</v>
      </c>
      <c r="G27" s="20"/>
      <c r="H27" s="102">
        <v>0</v>
      </c>
      <c r="I27" s="28">
        <v>0</v>
      </c>
      <c r="J27" s="20"/>
      <c r="K27" s="102">
        <v>0</v>
      </c>
      <c r="L27" s="28">
        <v>0</v>
      </c>
      <c r="M27" s="20"/>
      <c r="N27" s="102">
        <v>0</v>
      </c>
      <c r="O27" s="28">
        <v>0</v>
      </c>
      <c r="P27" s="20"/>
      <c r="Q27" s="13" t="str">
        <f t="shared" si="23"/>
        <v>-</v>
      </c>
      <c r="R27" s="13" t="str">
        <f t="shared" si="23"/>
        <v>-</v>
      </c>
    </row>
    <row r="28" spans="1:18" x14ac:dyDescent="0.3">
      <c r="A28" s="5" t="s">
        <v>351</v>
      </c>
      <c r="B28" s="102">
        <v>0</v>
      </c>
      <c r="C28" s="28">
        <v>0</v>
      </c>
      <c r="D28" s="20"/>
      <c r="E28" s="102">
        <v>0</v>
      </c>
      <c r="F28" s="28">
        <v>0</v>
      </c>
      <c r="G28" s="20"/>
      <c r="H28" s="102">
        <v>0</v>
      </c>
      <c r="I28" s="28">
        <v>0</v>
      </c>
      <c r="J28" s="20"/>
      <c r="K28" s="102">
        <v>0</v>
      </c>
      <c r="L28" s="28">
        <v>0</v>
      </c>
      <c r="M28" s="20"/>
      <c r="N28" s="102">
        <v>0</v>
      </c>
      <c r="O28" s="28">
        <v>0</v>
      </c>
      <c r="P28" s="20"/>
      <c r="Q28" s="13" t="str">
        <f t="shared" si="23"/>
        <v>-</v>
      </c>
      <c r="R28" s="13" t="str">
        <f t="shared" si="23"/>
        <v>-</v>
      </c>
    </row>
    <row r="29" spans="1:18" x14ac:dyDescent="0.3">
      <c r="A29" s="5" t="s">
        <v>42</v>
      </c>
      <c r="B29" s="102">
        <v>133457871.14</v>
      </c>
      <c r="C29" s="28">
        <v>130509882.18000001</v>
      </c>
      <c r="D29" s="20">
        <f t="shared" si="34"/>
        <v>97.791071493334783</v>
      </c>
      <c r="E29" s="102">
        <v>207592018.65000001</v>
      </c>
      <c r="F29" s="28">
        <v>207430443.80000001</v>
      </c>
      <c r="G29" s="20">
        <f t="shared" si="35"/>
        <v>99.922167118441862</v>
      </c>
      <c r="H29" s="102">
        <v>133710036.06</v>
      </c>
      <c r="I29" s="28">
        <v>133709565.26000001</v>
      </c>
      <c r="J29" s="20">
        <f t="shared" ref="J29:J57" si="39">IF(H29&gt;0,I29/H29*100,"-")</f>
        <v>99.999647894792446</v>
      </c>
      <c r="K29" s="102">
        <v>103464841.97</v>
      </c>
      <c r="L29" s="28">
        <v>103464841.97</v>
      </c>
      <c r="M29" s="20">
        <f t="shared" ref="M29:M62" si="40">IF(K29&gt;0,L29/K29*100,"-")</f>
        <v>100</v>
      </c>
      <c r="N29" s="102">
        <v>149967915.46000001</v>
      </c>
      <c r="O29" s="28">
        <v>149966473.25999999</v>
      </c>
      <c r="P29" s="20">
        <f t="shared" si="38"/>
        <v>99.999038327634551</v>
      </c>
      <c r="Q29" s="13">
        <f t="shared" si="23"/>
        <v>44.945773467168436</v>
      </c>
      <c r="R29" s="13">
        <f t="shared" si="23"/>
        <v>44.944379563720105</v>
      </c>
    </row>
    <row r="30" spans="1:18" x14ac:dyDescent="0.3">
      <c r="A30" s="5" t="s">
        <v>43</v>
      </c>
      <c r="B30" s="102">
        <v>0</v>
      </c>
      <c r="C30" s="28">
        <v>0</v>
      </c>
      <c r="D30" s="20" t="str">
        <f t="shared" si="34"/>
        <v>-</v>
      </c>
      <c r="E30" s="102">
        <v>0</v>
      </c>
      <c r="F30" s="28">
        <v>0</v>
      </c>
      <c r="G30" s="20" t="str">
        <f t="shared" si="35"/>
        <v>-</v>
      </c>
      <c r="H30" s="102">
        <v>0</v>
      </c>
      <c r="I30" s="28">
        <v>0</v>
      </c>
      <c r="J30" s="20" t="str">
        <f t="shared" si="39"/>
        <v>-</v>
      </c>
      <c r="K30" s="102">
        <v>0</v>
      </c>
      <c r="L30" s="28">
        <v>0</v>
      </c>
      <c r="M30" s="20" t="str">
        <f t="shared" si="40"/>
        <v>-</v>
      </c>
      <c r="N30" s="102">
        <v>0</v>
      </c>
      <c r="O30" s="28">
        <v>0</v>
      </c>
      <c r="P30" s="20" t="str">
        <f t="shared" si="38"/>
        <v>-</v>
      </c>
      <c r="Q30" s="13" t="str">
        <f t="shared" si="23"/>
        <v>-</v>
      </c>
      <c r="R30" s="13" t="str">
        <f t="shared" si="23"/>
        <v>-</v>
      </c>
    </row>
    <row r="31" spans="1:18" x14ac:dyDescent="0.3">
      <c r="A31" s="5" t="s">
        <v>44</v>
      </c>
      <c r="B31" s="102">
        <v>743947.15</v>
      </c>
      <c r="C31" s="28">
        <v>317765.14</v>
      </c>
      <c r="D31" s="20">
        <f t="shared" si="34"/>
        <v>42.713402423814649</v>
      </c>
      <c r="E31" s="102">
        <v>385000</v>
      </c>
      <c r="F31" s="28">
        <v>15990.05</v>
      </c>
      <c r="G31" s="20">
        <f t="shared" si="35"/>
        <v>4.15325974025974</v>
      </c>
      <c r="H31" s="102">
        <v>226327.66</v>
      </c>
      <c r="I31" s="28">
        <v>138741.82</v>
      </c>
      <c r="J31" s="20">
        <f t="shared" si="39"/>
        <v>61.301309791299929</v>
      </c>
      <c r="K31" s="102">
        <v>365178.06</v>
      </c>
      <c r="L31" s="28">
        <v>280883.27</v>
      </c>
      <c r="M31" s="20">
        <f t="shared" si="40"/>
        <v>76.916797794478668</v>
      </c>
      <c r="N31" s="102">
        <v>375529.5</v>
      </c>
      <c r="O31" s="28">
        <v>115244.44</v>
      </c>
      <c r="P31" s="20">
        <f t="shared" si="38"/>
        <v>30.68851847857492</v>
      </c>
      <c r="Q31" s="13">
        <f t="shared" si="23"/>
        <v>2.8346281263447111</v>
      </c>
      <c r="R31" s="13">
        <f t="shared" si="23"/>
        <v>-58.970699821317233</v>
      </c>
    </row>
    <row r="32" spans="1:18" x14ac:dyDescent="0.3">
      <c r="A32" s="5" t="s">
        <v>45</v>
      </c>
      <c r="B32" s="102">
        <v>1637990.04</v>
      </c>
      <c r="C32" s="28">
        <v>1267967.3</v>
      </c>
      <c r="D32" s="20">
        <f t="shared" si="34"/>
        <v>77.409951772356322</v>
      </c>
      <c r="E32" s="102">
        <v>3648154.99</v>
      </c>
      <c r="F32" s="28">
        <v>1721594.21</v>
      </c>
      <c r="G32" s="20">
        <f t="shared" si="35"/>
        <v>47.190818776041091</v>
      </c>
      <c r="H32" s="102">
        <v>55543199.75</v>
      </c>
      <c r="I32" s="28">
        <v>10799786.25</v>
      </c>
      <c r="J32" s="20">
        <f t="shared" si="39"/>
        <v>19.443939669680265</v>
      </c>
      <c r="K32" s="102">
        <v>3169395.59</v>
      </c>
      <c r="L32" s="28">
        <v>2493081.94</v>
      </c>
      <c r="M32" s="20">
        <f t="shared" si="40"/>
        <v>78.661115951133127</v>
      </c>
      <c r="N32" s="102">
        <v>4823768.1500000004</v>
      </c>
      <c r="O32" s="28">
        <v>3763161.45</v>
      </c>
      <c r="P32" s="20">
        <f t="shared" si="38"/>
        <v>78.012900557834641</v>
      </c>
      <c r="Q32" s="13">
        <f t="shared" si="23"/>
        <v>52.198361265467668</v>
      </c>
      <c r="R32" s="13">
        <f t="shared" si="23"/>
        <v>50.944154286401044</v>
      </c>
    </row>
    <row r="33" spans="1:18" x14ac:dyDescent="0.3">
      <c r="A33" s="5" t="s">
        <v>46</v>
      </c>
      <c r="B33" s="102">
        <v>0</v>
      </c>
      <c r="C33" s="28">
        <v>0</v>
      </c>
      <c r="D33" s="20" t="str">
        <f t="shared" si="34"/>
        <v>-</v>
      </c>
      <c r="E33" s="102">
        <v>0</v>
      </c>
      <c r="F33" s="28">
        <v>0</v>
      </c>
      <c r="G33" s="20" t="str">
        <f t="shared" si="35"/>
        <v>-</v>
      </c>
      <c r="H33" s="102">
        <v>0</v>
      </c>
      <c r="I33" s="28">
        <v>0</v>
      </c>
      <c r="J33" s="20" t="str">
        <f t="shared" si="39"/>
        <v>-</v>
      </c>
      <c r="K33" s="102">
        <v>0</v>
      </c>
      <c r="L33" s="28">
        <v>0</v>
      </c>
      <c r="M33" s="20" t="str">
        <f t="shared" si="40"/>
        <v>-</v>
      </c>
      <c r="N33" s="102">
        <v>0</v>
      </c>
      <c r="O33" s="28">
        <v>0</v>
      </c>
      <c r="P33" s="20" t="str">
        <f t="shared" si="38"/>
        <v>-</v>
      </c>
      <c r="Q33" s="13" t="str">
        <f t="shared" si="23"/>
        <v>-</v>
      </c>
      <c r="R33" s="13" t="str">
        <f t="shared" si="23"/>
        <v>-</v>
      </c>
    </row>
    <row r="34" spans="1:18" x14ac:dyDescent="0.3">
      <c r="A34" s="5" t="s">
        <v>47</v>
      </c>
      <c r="B34" s="102">
        <v>128903794.27</v>
      </c>
      <c r="C34" s="28">
        <v>15200389.050000001</v>
      </c>
      <c r="D34" s="20">
        <f t="shared" si="34"/>
        <v>11.792041604424373</v>
      </c>
      <c r="E34" s="102">
        <v>75674160.75</v>
      </c>
      <c r="F34" s="28">
        <v>35023649.829999998</v>
      </c>
      <c r="G34" s="20">
        <f t="shared" si="35"/>
        <v>46.282178068291287</v>
      </c>
      <c r="H34" s="102">
        <v>39038810.060000002</v>
      </c>
      <c r="I34" s="28">
        <v>26376166.079999998</v>
      </c>
      <c r="J34" s="20">
        <f t="shared" si="39"/>
        <v>67.563960170562638</v>
      </c>
      <c r="K34" s="102">
        <v>69307767.189999998</v>
      </c>
      <c r="L34" s="28">
        <v>56757366.619999997</v>
      </c>
      <c r="M34" s="20">
        <f t="shared" si="40"/>
        <v>81.891783448174877</v>
      </c>
      <c r="N34" s="102">
        <v>76693757.189999998</v>
      </c>
      <c r="O34" s="28">
        <v>49627856.299999997</v>
      </c>
      <c r="P34" s="20">
        <f t="shared" si="38"/>
        <v>64.709121209243492</v>
      </c>
      <c r="Q34" s="13">
        <f t="shared" si="23"/>
        <v>10.656799806798105</v>
      </c>
      <c r="R34" s="13">
        <f t="shared" si="23"/>
        <v>-12.561383208162667</v>
      </c>
    </row>
    <row r="35" spans="1:18" x14ac:dyDescent="0.3">
      <c r="A35" s="5" t="s">
        <v>48</v>
      </c>
      <c r="B35" s="102">
        <v>414331666.01999998</v>
      </c>
      <c r="C35" s="28">
        <v>110174967.06</v>
      </c>
      <c r="D35" s="20">
        <f t="shared" si="34"/>
        <v>26.591008145315598</v>
      </c>
      <c r="E35" s="102">
        <v>275041775.36000001</v>
      </c>
      <c r="F35" s="28">
        <v>80276769.989999995</v>
      </c>
      <c r="G35" s="20">
        <f t="shared" si="35"/>
        <v>29.187118896729906</v>
      </c>
      <c r="H35" s="102">
        <v>227891151.46000001</v>
      </c>
      <c r="I35" s="28">
        <v>61328842.140000001</v>
      </c>
      <c r="J35" s="20">
        <f t="shared" si="39"/>
        <v>26.911462664123921</v>
      </c>
      <c r="K35" s="102">
        <v>454022681.80000001</v>
      </c>
      <c r="L35" s="28">
        <v>114874705.54000001</v>
      </c>
      <c r="M35" s="20">
        <f t="shared" si="40"/>
        <v>25.301534514657369</v>
      </c>
      <c r="N35" s="102">
        <v>328097445.63</v>
      </c>
      <c r="O35" s="28">
        <v>108884874.73</v>
      </c>
      <c r="P35" s="20">
        <f t="shared" si="38"/>
        <v>33.186748687093093</v>
      </c>
      <c r="Q35" s="13">
        <f t="shared" si="23"/>
        <v>-27.735450500129616</v>
      </c>
      <c r="R35" s="13">
        <f t="shared" si="23"/>
        <v>-5.2142295223680151</v>
      </c>
    </row>
    <row r="36" spans="1:18" x14ac:dyDescent="0.3">
      <c r="A36" s="5" t="s">
        <v>49</v>
      </c>
      <c r="B36" s="102">
        <v>71035310.5</v>
      </c>
      <c r="C36" s="28">
        <v>37442138.450000003</v>
      </c>
      <c r="D36" s="20">
        <f t="shared" si="34"/>
        <v>52.709192353005903</v>
      </c>
      <c r="E36" s="102">
        <v>94899083.569999993</v>
      </c>
      <c r="F36" s="28">
        <v>40440497.469999999</v>
      </c>
      <c r="G36" s="20">
        <f t="shared" si="35"/>
        <v>42.614212855037799</v>
      </c>
      <c r="H36" s="102">
        <v>153725830.97999999</v>
      </c>
      <c r="I36" s="28">
        <v>111541420.23</v>
      </c>
      <c r="J36" s="20">
        <f t="shared" si="39"/>
        <v>72.558671186829855</v>
      </c>
      <c r="K36" s="102">
        <v>137461954.25999999</v>
      </c>
      <c r="L36" s="28">
        <v>35052154.759999998</v>
      </c>
      <c r="M36" s="20">
        <f t="shared" si="40"/>
        <v>25.499531814964026</v>
      </c>
      <c r="N36" s="102">
        <v>217838425.03</v>
      </c>
      <c r="O36" s="28">
        <v>129198394.79000001</v>
      </c>
      <c r="P36" s="20">
        <f t="shared" si="38"/>
        <v>59.309276943315773</v>
      </c>
      <c r="Q36" s="13">
        <f t="shared" si="23"/>
        <v>58.471794033986555</v>
      </c>
      <c r="R36" s="13">
        <f t="shared" si="23"/>
        <v>268.5890230561107</v>
      </c>
    </row>
    <row r="37" spans="1:18" x14ac:dyDescent="0.3">
      <c r="A37" s="5" t="s">
        <v>50</v>
      </c>
      <c r="B37" s="102">
        <v>1612000</v>
      </c>
      <c r="C37" s="28">
        <v>4941.05</v>
      </c>
      <c r="D37" s="20">
        <f t="shared" si="34"/>
        <v>0.30651674937965262</v>
      </c>
      <c r="E37" s="102">
        <v>664187.38</v>
      </c>
      <c r="F37" s="28">
        <v>0</v>
      </c>
      <c r="G37" s="20">
        <f t="shared" si="35"/>
        <v>0</v>
      </c>
      <c r="H37" s="102">
        <v>12933.81</v>
      </c>
      <c r="I37" s="28">
        <v>6639.71</v>
      </c>
      <c r="J37" s="20">
        <f t="shared" si="39"/>
        <v>51.336071892195726</v>
      </c>
      <c r="K37" s="102">
        <v>1481238.58</v>
      </c>
      <c r="L37" s="28">
        <v>1348397.17</v>
      </c>
      <c r="M37" s="20">
        <f t="shared" si="40"/>
        <v>91.031734401624874</v>
      </c>
      <c r="N37" s="102">
        <v>1326601.8999999999</v>
      </c>
      <c r="O37" s="28">
        <v>1159069.8</v>
      </c>
      <c r="P37" s="20">
        <f t="shared" si="38"/>
        <v>87.371335741340346</v>
      </c>
      <c r="Q37" s="13">
        <f t="shared" si="23"/>
        <v>-10.439687575515364</v>
      </c>
      <c r="R37" s="13">
        <f t="shared" si="23"/>
        <v>-14.040920154111561</v>
      </c>
    </row>
    <row r="38" spans="1:18" x14ac:dyDescent="0.3">
      <c r="A38" s="5" t="s">
        <v>51</v>
      </c>
      <c r="B38" s="102">
        <v>129382499</v>
      </c>
      <c r="C38" s="28">
        <v>129382499</v>
      </c>
      <c r="D38" s="20">
        <f t="shared" si="34"/>
        <v>100</v>
      </c>
      <c r="E38" s="102">
        <v>0</v>
      </c>
      <c r="F38" s="28">
        <v>0</v>
      </c>
      <c r="G38" s="20" t="str">
        <f t="shared" si="35"/>
        <v>-</v>
      </c>
      <c r="H38" s="102">
        <v>352411.2</v>
      </c>
      <c r="I38" s="28">
        <v>0</v>
      </c>
      <c r="J38" s="20">
        <f t="shared" si="39"/>
        <v>0</v>
      </c>
      <c r="K38" s="102">
        <v>68094.28</v>
      </c>
      <c r="L38" s="28">
        <v>22343.75</v>
      </c>
      <c r="M38" s="20">
        <f t="shared" si="40"/>
        <v>32.812961676076171</v>
      </c>
      <c r="N38" s="102">
        <v>0</v>
      </c>
      <c r="O38" s="28">
        <v>0</v>
      </c>
      <c r="P38" s="20" t="str">
        <f t="shared" si="38"/>
        <v>-</v>
      </c>
      <c r="Q38" s="13">
        <f t="shared" si="23"/>
        <v>-100</v>
      </c>
      <c r="R38" s="13">
        <f t="shared" si="23"/>
        <v>-100</v>
      </c>
    </row>
    <row r="39" spans="1:18" x14ac:dyDescent="0.3">
      <c r="A39" s="5" t="s">
        <v>261</v>
      </c>
      <c r="B39" s="102">
        <v>0</v>
      </c>
      <c r="C39" s="28">
        <v>0</v>
      </c>
      <c r="D39" s="20" t="str">
        <f t="shared" si="34"/>
        <v>-</v>
      </c>
      <c r="E39" s="102">
        <v>0</v>
      </c>
      <c r="F39" s="28">
        <v>0</v>
      </c>
      <c r="G39" s="20" t="str">
        <f t="shared" si="35"/>
        <v>-</v>
      </c>
      <c r="H39" s="102">
        <v>0</v>
      </c>
      <c r="I39" s="28">
        <v>0</v>
      </c>
      <c r="J39" s="20" t="str">
        <f t="shared" si="39"/>
        <v>-</v>
      </c>
      <c r="K39" s="102">
        <v>0</v>
      </c>
      <c r="L39" s="28">
        <v>0</v>
      </c>
      <c r="M39" s="20" t="str">
        <f t="shared" si="40"/>
        <v>-</v>
      </c>
      <c r="N39" s="102">
        <v>0</v>
      </c>
      <c r="O39" s="28">
        <v>0</v>
      </c>
      <c r="P39" s="20" t="str">
        <f t="shared" si="38"/>
        <v>-</v>
      </c>
      <c r="Q39" s="13" t="str">
        <f t="shared" si="23"/>
        <v>-</v>
      </c>
      <c r="R39" s="13" t="str">
        <f t="shared" si="23"/>
        <v>-</v>
      </c>
    </row>
    <row r="40" spans="1:18" x14ac:dyDescent="0.3">
      <c r="A40" s="5" t="s">
        <v>52</v>
      </c>
      <c r="B40" s="102">
        <v>578080.62</v>
      </c>
      <c r="C40" s="28">
        <v>0</v>
      </c>
      <c r="D40" s="20">
        <f t="shared" si="34"/>
        <v>0</v>
      </c>
      <c r="E40" s="102">
        <v>0</v>
      </c>
      <c r="F40" s="28">
        <v>0</v>
      </c>
      <c r="G40" s="20" t="str">
        <f t="shared" si="35"/>
        <v>-</v>
      </c>
      <c r="H40" s="102">
        <v>0</v>
      </c>
      <c r="I40" s="28">
        <v>0</v>
      </c>
      <c r="J40" s="20" t="str">
        <f t="shared" si="39"/>
        <v>-</v>
      </c>
      <c r="K40" s="102">
        <v>1715865</v>
      </c>
      <c r="L40" s="28">
        <v>0</v>
      </c>
      <c r="M40" s="20">
        <f t="shared" si="40"/>
        <v>0</v>
      </c>
      <c r="N40" s="102">
        <v>3449807.82</v>
      </c>
      <c r="O40" s="28">
        <v>0</v>
      </c>
      <c r="P40" s="20">
        <f t="shared" si="38"/>
        <v>0</v>
      </c>
      <c r="Q40" s="13">
        <f t="shared" si="23"/>
        <v>101.05356889965117</v>
      </c>
      <c r="R40" s="13" t="str">
        <f t="shared" si="23"/>
        <v>-</v>
      </c>
    </row>
    <row r="41" spans="1:18" x14ac:dyDescent="0.3">
      <c r="A41" s="5" t="s">
        <v>53</v>
      </c>
      <c r="B41" s="102">
        <v>0</v>
      </c>
      <c r="C41" s="28">
        <v>0</v>
      </c>
      <c r="D41" s="20" t="str">
        <f t="shared" si="34"/>
        <v>-</v>
      </c>
      <c r="E41" s="102">
        <v>0</v>
      </c>
      <c r="F41" s="28">
        <v>0</v>
      </c>
      <c r="G41" s="20" t="str">
        <f t="shared" si="35"/>
        <v>-</v>
      </c>
      <c r="H41" s="102">
        <v>230512616.84</v>
      </c>
      <c r="I41" s="102">
        <v>230512616.84</v>
      </c>
      <c r="J41" s="20">
        <f t="shared" si="39"/>
        <v>100</v>
      </c>
      <c r="K41" s="102">
        <v>264286345.53</v>
      </c>
      <c r="L41" s="102">
        <v>264286345.53</v>
      </c>
      <c r="M41" s="20">
        <f t="shared" si="40"/>
        <v>100</v>
      </c>
      <c r="N41" s="102">
        <v>221792627.27000001</v>
      </c>
      <c r="O41" s="102">
        <v>221792627.27000001</v>
      </c>
      <c r="P41" s="20">
        <f t="shared" si="38"/>
        <v>100</v>
      </c>
      <c r="Q41" s="13">
        <f t="shared" si="23"/>
        <v>-16.078665802723577</v>
      </c>
      <c r="R41" s="13">
        <f t="shared" si="23"/>
        <v>-16.078665802723577</v>
      </c>
    </row>
    <row r="42" spans="1:18" x14ac:dyDescent="0.3">
      <c r="A42" s="5" t="s">
        <v>54</v>
      </c>
      <c r="B42" s="102">
        <v>40787874.609999999</v>
      </c>
      <c r="C42" s="28">
        <v>0</v>
      </c>
      <c r="D42" s="20">
        <f t="shared" si="34"/>
        <v>0</v>
      </c>
      <c r="E42" s="102">
        <v>42963745.600000001</v>
      </c>
      <c r="F42" s="28">
        <v>0</v>
      </c>
      <c r="G42" s="20">
        <f t="shared" si="35"/>
        <v>0</v>
      </c>
      <c r="H42" s="102">
        <v>45880791.200000003</v>
      </c>
      <c r="I42" s="102">
        <v>45880791.200000003</v>
      </c>
      <c r="J42" s="20">
        <f t="shared" si="39"/>
        <v>100</v>
      </c>
      <c r="K42" s="102">
        <v>49096833.710000001</v>
      </c>
      <c r="L42" s="102">
        <v>49096833.710000001</v>
      </c>
      <c r="M42" s="20">
        <f t="shared" si="40"/>
        <v>100</v>
      </c>
      <c r="N42" s="102">
        <v>52642520.509999998</v>
      </c>
      <c r="O42" s="102">
        <v>52642520.509999998</v>
      </c>
      <c r="P42" s="20">
        <f t="shared" si="38"/>
        <v>100</v>
      </c>
      <c r="Q42" s="13">
        <f t="shared" si="23"/>
        <v>7.2218237553633173</v>
      </c>
      <c r="R42" s="13">
        <f t="shared" si="23"/>
        <v>7.2218237553633173</v>
      </c>
    </row>
    <row r="43" spans="1:18" x14ac:dyDescent="0.3">
      <c r="A43" s="5" t="s">
        <v>55</v>
      </c>
      <c r="B43" s="102">
        <v>0</v>
      </c>
      <c r="C43" s="28">
        <v>0</v>
      </c>
      <c r="D43" s="20" t="str">
        <f t="shared" si="34"/>
        <v>-</v>
      </c>
      <c r="E43" s="102">
        <v>0</v>
      </c>
      <c r="F43" s="28">
        <v>0</v>
      </c>
      <c r="G43" s="20" t="str">
        <f t="shared" si="35"/>
        <v>-</v>
      </c>
      <c r="H43" s="102">
        <v>0</v>
      </c>
      <c r="I43" s="28">
        <v>0</v>
      </c>
      <c r="J43" s="20" t="str">
        <f t="shared" si="39"/>
        <v>-</v>
      </c>
      <c r="K43" s="102">
        <v>0</v>
      </c>
      <c r="L43" s="28">
        <v>0</v>
      </c>
      <c r="M43" s="20" t="str">
        <f t="shared" si="40"/>
        <v>-</v>
      </c>
      <c r="N43" s="102">
        <v>0</v>
      </c>
      <c r="O43" s="28">
        <v>0</v>
      </c>
      <c r="P43" s="20" t="str">
        <f t="shared" si="38"/>
        <v>-</v>
      </c>
      <c r="Q43" s="13" t="str">
        <f t="shared" si="23"/>
        <v>-</v>
      </c>
      <c r="R43" s="13" t="str">
        <f t="shared" si="23"/>
        <v>-</v>
      </c>
    </row>
    <row r="44" spans="1:18" x14ac:dyDescent="0.3">
      <c r="A44" s="5" t="s">
        <v>56</v>
      </c>
      <c r="B44" s="102">
        <v>192881091.25</v>
      </c>
      <c r="C44" s="28">
        <v>0</v>
      </c>
      <c r="D44" s="20">
        <f t="shared" si="34"/>
        <v>0</v>
      </c>
      <c r="E44" s="102">
        <v>204158982.88</v>
      </c>
      <c r="F44" s="28">
        <v>0</v>
      </c>
      <c r="G44" s="20">
        <f t="shared" si="35"/>
        <v>0</v>
      </c>
      <c r="H44" s="102">
        <f>143908801.09+6087398.54</f>
        <v>149996199.63</v>
      </c>
      <c r="I44" s="102">
        <f>143908801.09+6087398.54</f>
        <v>149996199.63</v>
      </c>
      <c r="J44" s="20">
        <f t="shared" si="39"/>
        <v>100</v>
      </c>
      <c r="K44" s="102">
        <f>70655869.37+2570275.69</f>
        <v>73226145.060000002</v>
      </c>
      <c r="L44" s="102">
        <f>70655869.37+2570275.69</f>
        <v>73226145.060000002</v>
      </c>
      <c r="M44" s="20">
        <f t="shared" si="40"/>
        <v>100</v>
      </c>
      <c r="N44" s="102">
        <v>29345695.969999999</v>
      </c>
      <c r="O44" s="102">
        <v>29345695.969999999</v>
      </c>
      <c r="P44" s="20">
        <f t="shared" si="38"/>
        <v>100</v>
      </c>
      <c r="Q44" s="13">
        <f t="shared" si="23"/>
        <v>-59.924565268382302</v>
      </c>
      <c r="R44" s="13">
        <f t="shared" si="23"/>
        <v>-59.924565268382302</v>
      </c>
    </row>
    <row r="45" spans="1:18" x14ac:dyDescent="0.3">
      <c r="A45" s="5" t="s">
        <v>57</v>
      </c>
      <c r="B45" s="102">
        <v>0</v>
      </c>
      <c r="C45" s="28">
        <v>0</v>
      </c>
      <c r="D45" s="20" t="str">
        <f t="shared" si="34"/>
        <v>-</v>
      </c>
      <c r="E45" s="102">
        <v>0</v>
      </c>
      <c r="F45" s="28">
        <v>0</v>
      </c>
      <c r="G45" s="20" t="str">
        <f t="shared" si="35"/>
        <v>-</v>
      </c>
      <c r="H45" s="102">
        <v>0</v>
      </c>
      <c r="I45" s="28">
        <v>0</v>
      </c>
      <c r="J45" s="20" t="str">
        <f t="shared" si="39"/>
        <v>-</v>
      </c>
      <c r="K45" s="102">
        <v>0</v>
      </c>
      <c r="L45" s="28">
        <v>0</v>
      </c>
      <c r="M45" s="20" t="str">
        <f t="shared" si="40"/>
        <v>-</v>
      </c>
      <c r="N45" s="102">
        <v>0</v>
      </c>
      <c r="O45" s="28">
        <v>0</v>
      </c>
      <c r="P45" s="20" t="str">
        <f t="shared" si="38"/>
        <v>-</v>
      </c>
      <c r="Q45" s="13" t="str">
        <f t="shared" si="23"/>
        <v>-</v>
      </c>
      <c r="R45" s="13" t="str">
        <f t="shared" si="23"/>
        <v>-</v>
      </c>
    </row>
    <row r="46" spans="1:18" x14ac:dyDescent="0.3">
      <c r="A46" s="5" t="s">
        <v>58</v>
      </c>
      <c r="B46" s="102">
        <v>0</v>
      </c>
      <c r="C46" s="28">
        <v>0</v>
      </c>
      <c r="D46" s="20" t="str">
        <f t="shared" si="34"/>
        <v>-</v>
      </c>
      <c r="E46" s="102">
        <v>0</v>
      </c>
      <c r="F46" s="28">
        <v>0</v>
      </c>
      <c r="G46" s="20" t="str">
        <f t="shared" si="35"/>
        <v>-</v>
      </c>
      <c r="H46" s="102">
        <v>0</v>
      </c>
      <c r="I46" s="28">
        <v>0</v>
      </c>
      <c r="J46" s="20" t="str">
        <f t="shared" si="39"/>
        <v>-</v>
      </c>
      <c r="K46" s="102">
        <v>0</v>
      </c>
      <c r="L46" s="28">
        <v>0</v>
      </c>
      <c r="M46" s="20" t="str">
        <f t="shared" si="40"/>
        <v>-</v>
      </c>
      <c r="N46" s="102">
        <v>0</v>
      </c>
      <c r="O46" s="28">
        <v>0</v>
      </c>
      <c r="P46" s="20" t="str">
        <f t="shared" si="38"/>
        <v>-</v>
      </c>
      <c r="Q46" s="13" t="str">
        <f t="shared" si="23"/>
        <v>-</v>
      </c>
      <c r="R46" s="13" t="str">
        <f t="shared" si="23"/>
        <v>-</v>
      </c>
    </row>
    <row r="47" spans="1:18" x14ac:dyDescent="0.3">
      <c r="A47" s="5" t="s">
        <v>59</v>
      </c>
      <c r="B47" s="101">
        <v>0</v>
      </c>
      <c r="C47" s="27">
        <v>0</v>
      </c>
      <c r="D47" s="20" t="str">
        <f t="shared" si="34"/>
        <v>-</v>
      </c>
      <c r="E47" s="101">
        <v>0</v>
      </c>
      <c r="F47" s="27">
        <v>0</v>
      </c>
      <c r="G47" s="20" t="str">
        <f t="shared" si="35"/>
        <v>-</v>
      </c>
      <c r="H47" s="101">
        <v>0</v>
      </c>
      <c r="I47" s="27">
        <v>0</v>
      </c>
      <c r="J47" s="20" t="str">
        <f t="shared" si="39"/>
        <v>-</v>
      </c>
      <c r="K47" s="101">
        <v>0</v>
      </c>
      <c r="L47" s="27">
        <v>0</v>
      </c>
      <c r="M47" s="20" t="str">
        <f t="shared" si="40"/>
        <v>-</v>
      </c>
      <c r="N47" s="101">
        <v>0</v>
      </c>
      <c r="O47" s="27">
        <v>0</v>
      </c>
      <c r="P47" s="20" t="str">
        <f t="shared" si="38"/>
        <v>-</v>
      </c>
      <c r="Q47" s="13" t="str">
        <f t="shared" si="23"/>
        <v>-</v>
      </c>
      <c r="R47" s="13" t="str">
        <f t="shared" si="23"/>
        <v>-</v>
      </c>
    </row>
    <row r="48" spans="1:18" x14ac:dyDescent="0.3">
      <c r="A48" s="5" t="s">
        <v>60</v>
      </c>
      <c r="B48" s="102">
        <v>1978904545.22</v>
      </c>
      <c r="C48" s="28">
        <v>0</v>
      </c>
      <c r="D48" s="20">
        <f t="shared" si="34"/>
        <v>0</v>
      </c>
      <c r="E48" s="102">
        <v>1876679989.3499999</v>
      </c>
      <c r="F48" s="28">
        <v>0</v>
      </c>
      <c r="G48" s="20">
        <f t="shared" si="35"/>
        <v>0</v>
      </c>
      <c r="H48" s="102">
        <v>1598753317.6900001</v>
      </c>
      <c r="I48" s="28">
        <v>572393574.41999996</v>
      </c>
      <c r="J48" s="20">
        <f t="shared" si="39"/>
        <v>35.802494861873846</v>
      </c>
      <c r="K48" s="102">
        <v>1550077784.4100001</v>
      </c>
      <c r="L48" s="28">
        <v>572393574.41999996</v>
      </c>
      <c r="M48" s="20">
        <f t="shared" si="40"/>
        <v>36.92676459058265</v>
      </c>
      <c r="N48" s="102">
        <v>1914609741.1300001</v>
      </c>
      <c r="O48" s="28">
        <v>0</v>
      </c>
      <c r="P48" s="20">
        <f t="shared" si="38"/>
        <v>0</v>
      </c>
      <c r="Q48" s="13">
        <f t="shared" si="23"/>
        <v>23.517010590455655</v>
      </c>
      <c r="R48" s="13">
        <f t="shared" si="23"/>
        <v>-100</v>
      </c>
    </row>
    <row r="49" spans="1:18" x14ac:dyDescent="0.3">
      <c r="A49" s="5" t="s">
        <v>61</v>
      </c>
      <c r="B49" s="102">
        <v>83598462.730000004</v>
      </c>
      <c r="C49" s="28">
        <v>0</v>
      </c>
      <c r="D49" s="20">
        <f t="shared" si="34"/>
        <v>0</v>
      </c>
      <c r="E49" s="102">
        <v>2578911.23</v>
      </c>
      <c r="F49" s="28">
        <v>0</v>
      </c>
      <c r="G49" s="20">
        <f t="shared" si="35"/>
        <v>0</v>
      </c>
      <c r="H49" s="102">
        <v>5732324.7599999998</v>
      </c>
      <c r="I49" s="28">
        <v>3028</v>
      </c>
      <c r="J49" s="20">
        <f t="shared" si="39"/>
        <v>5.2823245834382901E-2</v>
      </c>
      <c r="K49" s="102">
        <v>517241.44</v>
      </c>
      <c r="L49" s="28">
        <v>3028</v>
      </c>
      <c r="M49" s="20">
        <f t="shared" si="40"/>
        <v>0.58541326464484367</v>
      </c>
      <c r="N49" s="102">
        <v>360255.08</v>
      </c>
      <c r="O49" s="28">
        <v>0</v>
      </c>
      <c r="P49" s="20">
        <f t="shared" si="38"/>
        <v>0</v>
      </c>
      <c r="Q49" s="13">
        <f t="shared" si="23"/>
        <v>-30.350692705518725</v>
      </c>
      <c r="R49" s="13">
        <f t="shared" si="23"/>
        <v>-100</v>
      </c>
    </row>
    <row r="50" spans="1:18" x14ac:dyDescent="0.3">
      <c r="A50" s="5" t="s">
        <v>62</v>
      </c>
      <c r="B50" s="101">
        <f t="shared" ref="B50:C50" si="41">SUM(B23:B32)</f>
        <v>10443851858.009998</v>
      </c>
      <c r="C50" s="27">
        <f t="shared" si="41"/>
        <v>8916300259.3600006</v>
      </c>
      <c r="D50" s="20">
        <f t="shared" si="34"/>
        <v>85.373676116648184</v>
      </c>
      <c r="E50" s="101">
        <f t="shared" ref="E50:F50" si="42">SUM(E23:E32)</f>
        <v>10585342484.739998</v>
      </c>
      <c r="F50" s="27">
        <f t="shared" si="42"/>
        <v>9122343942.8799973</v>
      </c>
      <c r="G50" s="20">
        <f t="shared" si="35"/>
        <v>86.179015521046367</v>
      </c>
      <c r="H50" s="101">
        <f>SUM(H23:H32)</f>
        <v>10576218646.799999</v>
      </c>
      <c r="I50" s="27">
        <f t="shared" ref="I50" si="43">SUM(I23:I32)</f>
        <v>8894544187.9300003</v>
      </c>
      <c r="J50" s="20">
        <f t="shared" si="39"/>
        <v>84.099473403201472</v>
      </c>
      <c r="K50" s="101">
        <f>SUM(K23:K32)</f>
        <v>10575978328.189999</v>
      </c>
      <c r="L50" s="27">
        <f t="shared" ref="L50" si="44">SUM(L23:L32)</f>
        <v>9479316696.0600014</v>
      </c>
      <c r="M50" s="20">
        <f t="shared" si="40"/>
        <v>89.630636541615502</v>
      </c>
      <c r="N50" s="101">
        <f t="shared" ref="N50:O50" si="45">SUM(N23:N32)</f>
        <v>11256658995.559998</v>
      </c>
      <c r="O50" s="27">
        <f t="shared" si="45"/>
        <v>9971920160.4900017</v>
      </c>
      <c r="P50" s="20">
        <f t="shared" si="38"/>
        <v>88.586854806770461</v>
      </c>
      <c r="Q50" s="13">
        <f t="shared" si="23"/>
        <v>6.4361011931696339</v>
      </c>
      <c r="R50" s="13">
        <f t="shared" si="23"/>
        <v>5.1966136402505185</v>
      </c>
    </row>
    <row r="51" spans="1:18" x14ac:dyDescent="0.3">
      <c r="A51" s="5" t="s">
        <v>63</v>
      </c>
      <c r="B51" s="101">
        <f>SUM(B33:B37)</f>
        <v>615882770.78999996</v>
      </c>
      <c r="C51" s="27">
        <f t="shared" ref="C51" si="46">SUM(C33:C37)</f>
        <v>162822435.61000001</v>
      </c>
      <c r="D51" s="20">
        <f t="shared" si="34"/>
        <v>26.437244769998319</v>
      </c>
      <c r="E51" s="101">
        <f>SUM(E33:E37)</f>
        <v>446279207.06</v>
      </c>
      <c r="F51" s="27">
        <f t="shared" ref="F51" si="47">SUM(F33:F37)</f>
        <v>155740917.28999999</v>
      </c>
      <c r="G51" s="20">
        <f t="shared" si="35"/>
        <v>34.897641392703605</v>
      </c>
      <c r="H51" s="101">
        <f>SUM(H33:H37)</f>
        <v>420668726.31</v>
      </c>
      <c r="I51" s="27">
        <f t="shared" ref="I51" si="48">SUM(I33:I37)</f>
        <v>199253068.16</v>
      </c>
      <c r="J51" s="20">
        <f t="shared" si="39"/>
        <v>47.365790632405144</v>
      </c>
      <c r="K51" s="101">
        <f>SUM(K33:K37)</f>
        <v>662273641.83000004</v>
      </c>
      <c r="L51" s="27">
        <f t="shared" ref="L51" si="49">SUM(L33:L37)</f>
        <v>208032624.08999997</v>
      </c>
      <c r="M51" s="20">
        <f t="shared" si="40"/>
        <v>31.411883389343792</v>
      </c>
      <c r="N51" s="101">
        <f>SUM(N33:N37)</f>
        <v>623956229.75</v>
      </c>
      <c r="O51" s="27">
        <f t="shared" ref="O51" si="50">SUM(O33:O37)</f>
        <v>288870195.62</v>
      </c>
      <c r="P51" s="20">
        <f t="shared" si="38"/>
        <v>46.296548034425648</v>
      </c>
      <c r="Q51" s="13">
        <f t="shared" si="23"/>
        <v>-5.7857371424478004</v>
      </c>
      <c r="R51" s="13">
        <f t="shared" si="23"/>
        <v>38.858122317885915</v>
      </c>
    </row>
    <row r="52" spans="1:18" x14ac:dyDescent="0.3">
      <c r="A52" s="5" t="s">
        <v>64</v>
      </c>
      <c r="B52" s="101">
        <f t="shared" ref="B52:C52" si="51">SUM(B38:B41)</f>
        <v>129960579.62</v>
      </c>
      <c r="C52" s="27">
        <f t="shared" si="51"/>
        <v>129382499</v>
      </c>
      <c r="D52" s="20">
        <f t="shared" si="34"/>
        <v>99.555187717929314</v>
      </c>
      <c r="E52" s="101">
        <f t="shared" ref="E52:F52" si="52">SUM(E38:E41)</f>
        <v>0</v>
      </c>
      <c r="F52" s="27">
        <f t="shared" si="52"/>
        <v>0</v>
      </c>
      <c r="G52" s="20" t="str">
        <f t="shared" si="35"/>
        <v>-</v>
      </c>
      <c r="H52" s="101">
        <f t="shared" ref="H52:I52" si="53">SUM(H38:H41)</f>
        <v>230865028.03999999</v>
      </c>
      <c r="I52" s="27">
        <f t="shared" si="53"/>
        <v>230512616.84</v>
      </c>
      <c r="J52" s="20">
        <f t="shared" si="39"/>
        <v>99.847351847531058</v>
      </c>
      <c r="K52" s="101">
        <f t="shared" ref="K52:L52" si="54">SUM(K38:K41)</f>
        <v>266070304.81</v>
      </c>
      <c r="L52" s="27">
        <f t="shared" si="54"/>
        <v>264308689.28</v>
      </c>
      <c r="M52" s="20">
        <f t="shared" si="40"/>
        <v>99.337913514528438</v>
      </c>
      <c r="N52" s="101">
        <f t="shared" ref="N52:O52" si="55">SUM(N38:N41)</f>
        <v>225242435.09</v>
      </c>
      <c r="O52" s="27">
        <f t="shared" si="55"/>
        <v>221792627.27000001</v>
      </c>
      <c r="P52" s="20">
        <f t="shared" si="38"/>
        <v>98.468402360051925</v>
      </c>
      <c r="Q52" s="13">
        <f t="shared" si="23"/>
        <v>-15.344767522687306</v>
      </c>
      <c r="R52" s="13">
        <f t="shared" si="23"/>
        <v>-16.085760224462348</v>
      </c>
    </row>
    <row r="53" spans="1:18" x14ac:dyDescent="0.3">
      <c r="A53" s="5" t="s">
        <v>65</v>
      </c>
      <c r="B53" s="101">
        <f>SUM(B42:B46)</f>
        <v>233668965.86000001</v>
      </c>
      <c r="C53" s="29">
        <v>158223364.66</v>
      </c>
      <c r="D53" s="20">
        <f t="shared" si="34"/>
        <v>67.712613901324687</v>
      </c>
      <c r="E53" s="101">
        <f>SUM(E42:E46)</f>
        <v>247122728.47999999</v>
      </c>
      <c r="F53" s="29">
        <v>222563636.72</v>
      </c>
      <c r="G53" s="20">
        <f t="shared" si="35"/>
        <v>90.061985835516708</v>
      </c>
      <c r="H53" s="101">
        <f>SUM(H42:H46)</f>
        <v>195876990.82999998</v>
      </c>
      <c r="I53" s="101">
        <f>SUM(I42:I46)</f>
        <v>195876990.82999998</v>
      </c>
      <c r="J53" s="20">
        <f t="shared" si="39"/>
        <v>100</v>
      </c>
      <c r="K53" s="101">
        <f>SUM(K42:K46)</f>
        <v>122322978.77000001</v>
      </c>
      <c r="L53" s="101">
        <f>SUM(L42:L46)</f>
        <v>122322978.77000001</v>
      </c>
      <c r="M53" s="20">
        <f t="shared" si="40"/>
        <v>100</v>
      </c>
      <c r="N53" s="101">
        <f>SUM(N42:N46)</f>
        <v>81988216.479999989</v>
      </c>
      <c r="O53" s="101">
        <f>SUM(O42:O46)</f>
        <v>81988216.479999989</v>
      </c>
      <c r="P53" s="20">
        <f t="shared" si="38"/>
        <v>100</v>
      </c>
      <c r="Q53" s="13">
        <f t="shared" si="23"/>
        <v>-32.973986323403864</v>
      </c>
      <c r="R53" s="13">
        <f t="shared" si="23"/>
        <v>-32.973986323403864</v>
      </c>
    </row>
    <row r="54" spans="1:18" x14ac:dyDescent="0.3">
      <c r="A54" s="5" t="s">
        <v>66</v>
      </c>
      <c r="B54" s="101">
        <f t="shared" ref="B54:C54" si="56">B47</f>
        <v>0</v>
      </c>
      <c r="C54" s="27">
        <f t="shared" si="56"/>
        <v>0</v>
      </c>
      <c r="D54" s="20" t="str">
        <f t="shared" si="34"/>
        <v>-</v>
      </c>
      <c r="E54" s="101">
        <f t="shared" ref="E54:F54" si="57">E47</f>
        <v>0</v>
      </c>
      <c r="F54" s="27">
        <f t="shared" si="57"/>
        <v>0</v>
      </c>
      <c r="G54" s="20" t="str">
        <f t="shared" si="35"/>
        <v>-</v>
      </c>
      <c r="H54" s="101">
        <f t="shared" ref="H54:I54" si="58">H47</f>
        <v>0</v>
      </c>
      <c r="I54" s="27">
        <f t="shared" si="58"/>
        <v>0</v>
      </c>
      <c r="J54" s="20" t="str">
        <f t="shared" si="39"/>
        <v>-</v>
      </c>
      <c r="K54" s="101">
        <f t="shared" ref="K54:L54" si="59">K47</f>
        <v>0</v>
      </c>
      <c r="L54" s="27">
        <f t="shared" si="59"/>
        <v>0</v>
      </c>
      <c r="M54" s="20" t="str">
        <f t="shared" si="40"/>
        <v>-</v>
      </c>
      <c r="N54" s="101">
        <f t="shared" ref="N54:O54" si="60">N47</f>
        <v>0</v>
      </c>
      <c r="O54" s="27">
        <f t="shared" si="60"/>
        <v>0</v>
      </c>
      <c r="P54" s="20" t="str">
        <f t="shared" si="38"/>
        <v>-</v>
      </c>
      <c r="Q54" s="13" t="str">
        <f t="shared" si="23"/>
        <v>-</v>
      </c>
      <c r="R54" s="13" t="str">
        <f t="shared" si="23"/>
        <v>-</v>
      </c>
    </row>
    <row r="55" spans="1:18" x14ac:dyDescent="0.3">
      <c r="A55" s="5" t="s">
        <v>67</v>
      </c>
      <c r="B55" s="101">
        <f>SUM(B48:B49)</f>
        <v>2062503007.95</v>
      </c>
      <c r="C55" s="29">
        <v>895203364.51999998</v>
      </c>
      <c r="D55" s="20">
        <f t="shared" si="34"/>
        <v>43.403736191869925</v>
      </c>
      <c r="E55" s="101">
        <f>SUM(E48:E49)</f>
        <v>1879258900.5799999</v>
      </c>
      <c r="F55" s="29">
        <v>745737642.71000004</v>
      </c>
      <c r="G55" s="20">
        <f t="shared" si="35"/>
        <v>39.682538817820223</v>
      </c>
      <c r="H55" s="101">
        <f>SUM(H48:H49)</f>
        <v>1604485642.45</v>
      </c>
      <c r="I55" s="101">
        <f>SUM(I48:I49)</f>
        <v>572396602.41999996</v>
      </c>
      <c r="J55" s="20">
        <f t="shared" si="39"/>
        <v>35.674772480105709</v>
      </c>
      <c r="K55" s="101">
        <f>SUM(K48:K49)</f>
        <v>1550595025.8500001</v>
      </c>
      <c r="L55" s="29">
        <v>1181149049.0599999</v>
      </c>
      <c r="M55" s="20">
        <f t="shared" si="40"/>
        <v>76.173922227857105</v>
      </c>
      <c r="N55" s="101">
        <f>SUM(N48:N49)</f>
        <v>1914969996.21</v>
      </c>
      <c r="O55" s="29">
        <v>1314459365.8299999</v>
      </c>
      <c r="P55" s="20">
        <f t="shared" si="38"/>
        <v>68.641251217068842</v>
      </c>
      <c r="Q55" s="13">
        <f t="shared" si="23"/>
        <v>23.499041612122923</v>
      </c>
      <c r="R55" s="13">
        <f t="shared" si="23"/>
        <v>11.286494018353821</v>
      </c>
    </row>
    <row r="56" spans="1:18" x14ac:dyDescent="0.3">
      <c r="A56" s="5" t="s">
        <v>68</v>
      </c>
      <c r="B56" s="19">
        <f t="shared" ref="B56:C56" si="61">SUM(B50:B55)</f>
        <v>13485867182.230001</v>
      </c>
      <c r="C56" s="19">
        <f t="shared" si="61"/>
        <v>10261931923.150002</v>
      </c>
      <c r="D56" s="20">
        <f t="shared" si="34"/>
        <v>76.093971447916218</v>
      </c>
      <c r="E56" s="19">
        <f t="shared" ref="E56:F56" si="62">SUM(E50:E55)</f>
        <v>13158003320.859997</v>
      </c>
      <c r="F56" s="19">
        <f t="shared" si="62"/>
        <v>10246386139.599998</v>
      </c>
      <c r="G56" s="20">
        <f t="shared" si="35"/>
        <v>77.871892032098245</v>
      </c>
      <c r="H56" s="24">
        <f t="shared" ref="H56:I56" si="63">SUM(H50:H55)</f>
        <v>13028115034.43</v>
      </c>
      <c r="I56" s="19">
        <f t="shared" si="63"/>
        <v>10092583466.18</v>
      </c>
      <c r="J56" s="20">
        <f t="shared" si="39"/>
        <v>77.467718388330653</v>
      </c>
      <c r="K56" s="24">
        <f t="shared" ref="K56:L56" si="64">SUM(K50:K55)</f>
        <v>13177240279.449999</v>
      </c>
      <c r="L56" s="19">
        <f t="shared" si="64"/>
        <v>11255130037.260002</v>
      </c>
      <c r="M56" s="20">
        <f t="shared" si="40"/>
        <v>85.413408259789108</v>
      </c>
      <c r="N56" s="24">
        <f t="shared" ref="N56:O56" si="65">SUM(N50:N55)</f>
        <v>14102815873.089996</v>
      </c>
      <c r="O56" s="19">
        <f t="shared" si="65"/>
        <v>11879030565.690002</v>
      </c>
      <c r="P56" s="20">
        <f t="shared" si="38"/>
        <v>84.231622057526366</v>
      </c>
      <c r="Q56" s="13">
        <f t="shared" si="23"/>
        <v>7.0240473271435917</v>
      </c>
      <c r="R56" s="13">
        <f t="shared" si="23"/>
        <v>5.5432547324161021</v>
      </c>
    </row>
    <row r="57" spans="1:18" x14ac:dyDescent="0.3">
      <c r="A57" s="14" t="s">
        <v>69</v>
      </c>
      <c r="B57" s="15">
        <f t="shared" ref="B57:C57" si="66">B56-B55</f>
        <v>11423364174.280001</v>
      </c>
      <c r="C57" s="15">
        <f t="shared" si="66"/>
        <v>9366728558.6300011</v>
      </c>
      <c r="D57" s="21">
        <f t="shared" si="34"/>
        <v>81.99623522218991</v>
      </c>
      <c r="E57" s="15">
        <f t="shared" ref="E57:F57" si="67">E56-E55</f>
        <v>11278744420.279997</v>
      </c>
      <c r="F57" s="15">
        <f t="shared" si="67"/>
        <v>9500648496.8899994</v>
      </c>
      <c r="G57" s="21">
        <f t="shared" si="35"/>
        <v>84.234983459747056</v>
      </c>
      <c r="H57" s="25">
        <f t="shared" ref="H57:I57" si="68">H56-H55</f>
        <v>11423629391.98</v>
      </c>
      <c r="I57" s="15">
        <f t="shared" si="68"/>
        <v>9520186863.7600002</v>
      </c>
      <c r="J57" s="21">
        <f t="shared" si="39"/>
        <v>83.337672617808153</v>
      </c>
      <c r="K57" s="25">
        <f t="shared" ref="K57:L57" si="69">K56-K55</f>
        <v>11626645253.599998</v>
      </c>
      <c r="L57" s="15">
        <f t="shared" si="69"/>
        <v>10073980988.200003</v>
      </c>
      <c r="M57" s="21">
        <f t="shared" si="40"/>
        <v>86.645638259933676</v>
      </c>
      <c r="N57" s="25">
        <f t="shared" ref="N57:O57" si="70">N56-N55</f>
        <v>12187845876.879997</v>
      </c>
      <c r="O57" s="15">
        <f t="shared" si="70"/>
        <v>10564571199.860003</v>
      </c>
      <c r="P57" s="21">
        <f t="shared" si="38"/>
        <v>86.6812011456487</v>
      </c>
      <c r="Q57" s="16">
        <f t="shared" si="23"/>
        <v>4.826849112870562</v>
      </c>
      <c r="R57" s="16">
        <f t="shared" si="23"/>
        <v>4.8698743052487856</v>
      </c>
    </row>
    <row r="58" spans="1:18" x14ac:dyDescent="0.3">
      <c r="A58" s="5" t="s">
        <v>70</v>
      </c>
      <c r="B58" s="19">
        <f>B14-B50</f>
        <v>483125292.55999947</v>
      </c>
      <c r="C58" s="19">
        <f>C14-C50</f>
        <v>-327487198.26000023</v>
      </c>
      <c r="D58" s="22"/>
      <c r="E58" s="19">
        <f>E14-E50</f>
        <v>260224560.94000244</v>
      </c>
      <c r="F58" s="19">
        <f>F14-F50</f>
        <v>-556604344.46999645</v>
      </c>
      <c r="G58" s="22"/>
      <c r="H58" s="19">
        <f>H14-H50</f>
        <v>545036765.50000191</v>
      </c>
      <c r="I58" s="19">
        <f>I14-I50</f>
        <v>37797564.049999237</v>
      </c>
      <c r="J58" s="22"/>
      <c r="K58" s="19">
        <f>K14-K50</f>
        <v>688662276.38999939</v>
      </c>
      <c r="L58" s="19">
        <f>L14-L50</f>
        <v>270109779.78999901</v>
      </c>
      <c r="M58" s="22"/>
      <c r="N58" s="19">
        <f>N14-N50</f>
        <v>504212900.43000221</v>
      </c>
      <c r="O58" s="19">
        <f>O14-O50</f>
        <v>302905980.73999977</v>
      </c>
      <c r="P58" s="22"/>
      <c r="Q58" s="13">
        <f t="shared" si="23"/>
        <v>-26.783720015402849</v>
      </c>
      <c r="R58" s="13">
        <f t="shared" si="23"/>
        <v>12.1418043343335</v>
      </c>
    </row>
    <row r="59" spans="1:18" x14ac:dyDescent="0.3">
      <c r="A59" s="5" t="s">
        <v>71</v>
      </c>
      <c r="B59" s="19">
        <f>B15-B51</f>
        <v>-281093130.04999995</v>
      </c>
      <c r="C59" s="19">
        <f>C15-C51</f>
        <v>-28659498.840000018</v>
      </c>
      <c r="D59" s="22"/>
      <c r="E59" s="19">
        <f>E15-E51</f>
        <v>-190580461.22</v>
      </c>
      <c r="F59" s="19">
        <f>F15-F51</f>
        <v>-929890.73999997973</v>
      </c>
      <c r="G59" s="22"/>
      <c r="H59" s="19">
        <f>H15-H51</f>
        <v>-194397068.56</v>
      </c>
      <c r="I59" s="19">
        <f>I15-I51</f>
        <v>-117238019.75</v>
      </c>
      <c r="J59" s="22"/>
      <c r="K59" s="19">
        <f>K15-K51</f>
        <v>-264128914.78000003</v>
      </c>
      <c r="L59" s="19">
        <f>L15-L51</f>
        <v>-156852020.25999999</v>
      </c>
      <c r="M59" s="22"/>
      <c r="N59" s="19">
        <f>N15-N51</f>
        <v>-355606908.38999999</v>
      </c>
      <c r="O59" s="19">
        <f>O15-O51</f>
        <v>-231069437.83000001</v>
      </c>
      <c r="P59" s="22"/>
      <c r="Q59" s="13" t="str">
        <f t="shared" si="23"/>
        <v>-</v>
      </c>
      <c r="R59" s="13" t="str">
        <f t="shared" si="23"/>
        <v>-</v>
      </c>
    </row>
    <row r="60" spans="1:18" x14ac:dyDescent="0.3">
      <c r="A60" s="5" t="s">
        <v>366</v>
      </c>
      <c r="B60" s="19">
        <f>SUM(B14:B16)-SUM(B50:B52)</f>
        <v>74212287.629997253</v>
      </c>
      <c r="C60" s="19">
        <f>SUM(C14:C16)-SUM(C50:C52)</f>
        <v>-483766378.26000023</v>
      </c>
      <c r="D60" s="22"/>
      <c r="E60" s="19">
        <f>SUM(E14:E16)-SUM(E50:E52)</f>
        <v>72245305.940002441</v>
      </c>
      <c r="F60" s="19">
        <f>SUM(F14:F16)-SUM(F50:F52)</f>
        <v>-555623970.20999718</v>
      </c>
      <c r="G60" s="22"/>
      <c r="H60" s="19">
        <f>SUM(H14:H16)-SUM(H50:H52)</f>
        <v>355751420.0700016</v>
      </c>
      <c r="I60" s="19">
        <f>SUM(I14:I16)-SUM(I50:I52)</f>
        <v>-77214881.780000687</v>
      </c>
      <c r="J60" s="22"/>
      <c r="K60" s="19">
        <f>SUM(K14:K16)-SUM(K50:K52)</f>
        <v>546471148.47999954</v>
      </c>
      <c r="L60" s="19">
        <f>SUM(L14:L16)-SUM(L50:L52)</f>
        <v>225555365.84999847</v>
      </c>
      <c r="M60" s="22"/>
      <c r="N60" s="19">
        <f>SUM(N14:N16)-SUM(N50:N52)</f>
        <v>261555568.2100029</v>
      </c>
      <c r="O60" s="19">
        <f>SUM(O14:O16)-SUM(O50:O52)</f>
        <v>165938371.18000031</v>
      </c>
      <c r="P60" s="22"/>
      <c r="Q60" s="13">
        <f t="shared" si="23"/>
        <v>-52.137350903608478</v>
      </c>
      <c r="R60" s="13">
        <f t="shared" si="23"/>
        <v>-26.431202133158465</v>
      </c>
    </row>
    <row r="61" spans="1:18" x14ac:dyDescent="0.3">
      <c r="A61" s="5" t="s">
        <v>367</v>
      </c>
      <c r="B61" s="28">
        <f>B21-B57</f>
        <v>-136445518.09000397</v>
      </c>
      <c r="C61" s="28">
        <f>C21-C57</f>
        <v>-641989742.92000008</v>
      </c>
      <c r="D61" s="110"/>
      <c r="E61" s="28">
        <f>E21-E57</f>
        <v>-173779896.5399971</v>
      </c>
      <c r="F61" s="28">
        <f>F21-F57</f>
        <v>-778187606.9299984</v>
      </c>
      <c r="G61" s="110"/>
      <c r="H61" s="28">
        <f>H21-H57</f>
        <v>201389429.24000168</v>
      </c>
      <c r="I61" s="28">
        <f>I21-I57</f>
        <v>-231576872.61000061</v>
      </c>
      <c r="J61" s="110"/>
      <c r="K61" s="28">
        <f>K21-K57</f>
        <v>465663169.70999908</v>
      </c>
      <c r="L61" s="28">
        <f>L21-L57</f>
        <v>144747387.07999802</v>
      </c>
      <c r="M61" s="110"/>
      <c r="N61" s="28">
        <f>N21-N57</f>
        <v>179567351.73000336</v>
      </c>
      <c r="O61" s="28">
        <f>O21-O57</f>
        <v>83950154.700000763</v>
      </c>
      <c r="P61" s="110"/>
    </row>
    <row r="62" spans="1:18" x14ac:dyDescent="0.3">
      <c r="A62" s="5" t="s">
        <v>368</v>
      </c>
      <c r="C62" s="6">
        <f>SUM(C14:C16)/SUM(B14:B16)*100</f>
        <v>77.457479287445977</v>
      </c>
      <c r="D62" s="110"/>
      <c r="F62" s="6">
        <f>SUM(F14:F16)/SUM(E14:E16)*100</f>
        <v>78.553362461341678</v>
      </c>
      <c r="G62" s="110"/>
      <c r="I62" s="6">
        <f>SUM(I14:I16)/SUM(H14:H16)*100</f>
        <v>79.829860928695012</v>
      </c>
      <c r="J62" s="110"/>
      <c r="L62" s="6">
        <f>SUM(L14:L16)/SUM(K14:K16)*100</f>
        <v>84.452641562953787</v>
      </c>
      <c r="M62" s="110"/>
      <c r="O62" s="6">
        <f>SUM(O14:O16)/SUM(N14:N16)*100</f>
        <v>86.101443832461101</v>
      </c>
      <c r="P62" s="110"/>
    </row>
    <row r="63" spans="1:18" x14ac:dyDescent="0.3">
      <c r="A63" s="5" t="s">
        <v>369</v>
      </c>
      <c r="C63" s="6">
        <f>SUM(C50:C52)/SUM(B50:B52)*100</f>
        <v>82.294513143135504</v>
      </c>
      <c r="D63" s="110"/>
      <c r="F63" s="6">
        <f>SUM(F50:F52)/SUM(E50:E52)*100</f>
        <v>84.104450998954803</v>
      </c>
      <c r="G63" s="110"/>
      <c r="I63" s="6">
        <f>SUM(I50:I52)/SUM(H50:H52)*100</f>
        <v>83.046985182670753</v>
      </c>
      <c r="J63" s="110"/>
      <c r="L63" s="6">
        <f>SUM(L50:L52)/SUM(K50:K52)*100</f>
        <v>86.503644210341463</v>
      </c>
      <c r="M63" s="110"/>
      <c r="O63" s="6">
        <f>SUM(O50:O52)/SUM(N50:N52)*100</f>
        <v>86.590998155133121</v>
      </c>
      <c r="P63" s="110"/>
    </row>
  </sheetData>
  <mergeCells count="6">
    <mergeCell ref="Q1:R1"/>
    <mergeCell ref="B1:D1"/>
    <mergeCell ref="E1:G1"/>
    <mergeCell ref="N1:P1"/>
    <mergeCell ref="H1:J1"/>
    <mergeCell ref="K1:M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showGridLines="0" tabSelected="1" workbookViewId="0">
      <selection activeCell="I2" sqref="I2"/>
    </sheetView>
  </sheetViews>
  <sheetFormatPr defaultRowHeight="14.4" x14ac:dyDescent="0.3"/>
  <cols>
    <col min="1" max="2" width="10.33203125" bestFit="1" customWidth="1"/>
    <col min="3" max="3" width="50.6640625" bestFit="1" customWidth="1"/>
    <col min="4" max="4" width="7.44140625" customWidth="1"/>
    <col min="5" max="9" width="7.5546875" customWidth="1"/>
  </cols>
  <sheetData>
    <row r="1" spans="1:9" ht="23.25" customHeight="1" x14ac:dyDescent="0.3">
      <c r="A1" s="74" t="s">
        <v>308</v>
      </c>
      <c r="B1" s="74" t="s">
        <v>309</v>
      </c>
      <c r="C1" s="74" t="s">
        <v>319</v>
      </c>
      <c r="D1" s="42" t="s">
        <v>210</v>
      </c>
      <c r="E1" s="42">
        <v>2016</v>
      </c>
      <c r="F1" s="42">
        <v>2017</v>
      </c>
      <c r="G1" s="42">
        <v>2018</v>
      </c>
      <c r="H1" s="42">
        <v>2019</v>
      </c>
      <c r="I1" s="42">
        <v>2020</v>
      </c>
    </row>
    <row r="2" spans="1:9" ht="29.25" customHeight="1" x14ac:dyDescent="0.3">
      <c r="A2" s="75" t="s">
        <v>310</v>
      </c>
      <c r="B2" s="75" t="s">
        <v>77</v>
      </c>
      <c r="C2" s="77" t="s">
        <v>318</v>
      </c>
      <c r="D2" s="89" t="s">
        <v>325</v>
      </c>
      <c r="E2" s="82">
        <f>Piano_indicatori!D3</f>
        <v>8.89</v>
      </c>
      <c r="F2" s="82">
        <f>Piano_indicatori!E3</f>
        <v>9.7799999999999994</v>
      </c>
      <c r="G2" s="82">
        <f>Piano_indicatori!F3</f>
        <v>7.48</v>
      </c>
      <c r="H2" s="82">
        <f>Piano_indicatori!G3</f>
        <v>6.58</v>
      </c>
      <c r="I2" s="82">
        <f>Piano_indicatori!H3</f>
        <v>6.24</v>
      </c>
    </row>
    <row r="3" spans="1:9" ht="29.25" customHeight="1" x14ac:dyDescent="0.3">
      <c r="A3" s="76" t="s">
        <v>311</v>
      </c>
      <c r="B3" s="76" t="s">
        <v>94</v>
      </c>
      <c r="C3" s="78" t="s">
        <v>95</v>
      </c>
      <c r="D3" s="90" t="s">
        <v>326</v>
      </c>
      <c r="E3" s="83">
        <f>Piano_indicatori!D12</f>
        <v>68.900000000000006</v>
      </c>
      <c r="F3" s="83">
        <f>Piano_indicatori!E12</f>
        <v>60.41</v>
      </c>
      <c r="G3" s="83">
        <f>Piano_indicatori!F12</f>
        <v>55.63</v>
      </c>
      <c r="H3" s="83">
        <f>Piano_indicatori!G12</f>
        <v>62.87</v>
      </c>
      <c r="I3" s="83">
        <f>Piano_indicatori!H12</f>
        <v>59.2</v>
      </c>
    </row>
    <row r="4" spans="1:9" ht="29.25" customHeight="1" x14ac:dyDescent="0.3">
      <c r="A4" s="75" t="s">
        <v>312</v>
      </c>
      <c r="B4" s="75" t="s">
        <v>99</v>
      </c>
      <c r="C4" s="79" t="s">
        <v>321</v>
      </c>
      <c r="D4" s="89" t="s">
        <v>327</v>
      </c>
      <c r="E4" s="84">
        <f>Piano_indicatori!D15</f>
        <v>0</v>
      </c>
      <c r="F4" s="84">
        <f>Piano_indicatori!E15</f>
        <v>0</v>
      </c>
      <c r="G4" s="84">
        <f>Piano_indicatori!F15</f>
        <v>0</v>
      </c>
      <c r="H4" s="84">
        <f>Piano_indicatori!G15</f>
        <v>0</v>
      </c>
      <c r="I4" s="84">
        <f>Piano_indicatori!H15</f>
        <v>0</v>
      </c>
    </row>
    <row r="5" spans="1:9" ht="29.25" customHeight="1" x14ac:dyDescent="0.3">
      <c r="A5" s="76" t="s">
        <v>313</v>
      </c>
      <c r="B5" s="76" t="s">
        <v>164</v>
      </c>
      <c r="C5" s="80" t="s">
        <v>322</v>
      </c>
      <c r="D5" s="91" t="s">
        <v>328</v>
      </c>
      <c r="E5" s="85">
        <f>Piano_indicatori!D51</f>
        <v>3.96</v>
      </c>
      <c r="F5" s="85">
        <f>Piano_indicatori!E51</f>
        <v>3.32</v>
      </c>
      <c r="G5" s="85">
        <f>Piano_indicatori!F51</f>
        <v>2.93</v>
      </c>
      <c r="H5" s="85">
        <f>Piano_indicatori!G51</f>
        <v>1.98</v>
      </c>
      <c r="I5" s="85">
        <f>Piano_indicatori!H51</f>
        <v>1.97</v>
      </c>
    </row>
    <row r="6" spans="1:9" ht="29.25" customHeight="1" x14ac:dyDescent="0.3">
      <c r="A6" s="75" t="s">
        <v>314</v>
      </c>
      <c r="B6" s="75" t="s">
        <v>184</v>
      </c>
      <c r="C6" s="93" t="s">
        <v>185</v>
      </c>
      <c r="D6" s="92" t="s">
        <v>329</v>
      </c>
      <c r="E6" s="86">
        <f>Piano_indicatori!D62</f>
        <v>3.54</v>
      </c>
      <c r="F6" s="86">
        <f>Piano_indicatori!E62</f>
        <v>3.88</v>
      </c>
      <c r="G6" s="86">
        <f>Piano_indicatori!F62</f>
        <v>2.92</v>
      </c>
      <c r="H6" s="86">
        <f>Piano_indicatori!G62</f>
        <v>2.89</v>
      </c>
      <c r="I6" s="86">
        <f>Piano_indicatori!H62</f>
        <v>2.77</v>
      </c>
    </row>
    <row r="7" spans="1:9" ht="29.25" customHeight="1" x14ac:dyDescent="0.3">
      <c r="A7" s="76" t="s">
        <v>315</v>
      </c>
      <c r="B7" s="76" t="s">
        <v>187</v>
      </c>
      <c r="C7" s="80" t="s">
        <v>188</v>
      </c>
      <c r="D7" s="90" t="s">
        <v>330</v>
      </c>
      <c r="E7" s="87">
        <f>Piano_indicatori!D65</f>
        <v>0.03</v>
      </c>
      <c r="F7" s="87">
        <f>Piano_indicatori!E65</f>
        <v>0.03</v>
      </c>
      <c r="G7" s="87">
        <f>Piano_indicatori!F65</f>
        <v>0.56999999999999995</v>
      </c>
      <c r="H7" s="87">
        <f>Piano_indicatori!G65</f>
        <v>0</v>
      </c>
      <c r="I7" s="87">
        <f>Piano_indicatori!H65</f>
        <v>0</v>
      </c>
    </row>
    <row r="8" spans="1:9" ht="29.25" customHeight="1" x14ac:dyDescent="0.3">
      <c r="A8" s="75" t="s">
        <v>316</v>
      </c>
      <c r="B8" s="75" t="s">
        <v>320</v>
      </c>
      <c r="C8" s="79" t="s">
        <v>323</v>
      </c>
      <c r="D8" s="89" t="s">
        <v>331</v>
      </c>
      <c r="E8" s="84">
        <f>Piano_indicatori!D66+Piano_indicatori!D67</f>
        <v>0.1</v>
      </c>
      <c r="F8" s="84">
        <f>Piano_indicatori!E66+Piano_indicatori!E67</f>
        <v>0.1</v>
      </c>
      <c r="G8" s="84">
        <f>Piano_indicatori!F66+Piano_indicatori!F67</f>
        <v>0</v>
      </c>
      <c r="H8" s="84">
        <f>Piano_indicatori!G66+Piano_indicatori!G67</f>
        <v>0</v>
      </c>
      <c r="I8" s="84">
        <f>Piano_indicatori!H66+Piano_indicatori!H67</f>
        <v>0</v>
      </c>
    </row>
    <row r="9" spans="1:9" ht="29.25" customHeight="1" x14ac:dyDescent="0.3">
      <c r="A9" s="76" t="s">
        <v>317</v>
      </c>
      <c r="B9" s="76"/>
      <c r="C9" s="81" t="s">
        <v>324</v>
      </c>
      <c r="D9" s="91" t="s">
        <v>332</v>
      </c>
      <c r="E9" s="88">
        <f>Piano_indicatori!D77</f>
        <v>73.243887623332327</v>
      </c>
      <c r="F9" s="88">
        <f>Piano_indicatori!E77</f>
        <v>68.510371146147847</v>
      </c>
      <c r="G9" s="88">
        <f>Piano_indicatori!F77</f>
        <v>67.015050584427499</v>
      </c>
      <c r="H9" s="88">
        <f>Piano_indicatori!G77</f>
        <v>71.495366856468479</v>
      </c>
      <c r="I9" s="88">
        <f>Piano_indicatori!H77</f>
        <v>71.052977249752701</v>
      </c>
    </row>
  </sheetData>
  <conditionalFormatting sqref="E2:G2 I2">
    <cfRule type="cellIs" dxfId="23" priority="16" operator="greaterThan">
      <formula>48</formula>
    </cfRule>
  </conditionalFormatting>
  <conditionalFormatting sqref="E3:G3 I3">
    <cfRule type="cellIs" dxfId="22" priority="15" operator="lessThan">
      <formula>22</formula>
    </cfRule>
  </conditionalFormatting>
  <conditionalFormatting sqref="E4:G4 I4">
    <cfRule type="cellIs" dxfId="21" priority="14" operator="greaterThan">
      <formula>0</formula>
    </cfRule>
  </conditionalFormatting>
  <conditionalFormatting sqref="E5:G5 I5">
    <cfRule type="cellIs" dxfId="20" priority="13" operator="greaterThan">
      <formula>16</formula>
    </cfRule>
  </conditionalFormatting>
  <conditionalFormatting sqref="E6:G6 I6">
    <cfRule type="cellIs" dxfId="19" priority="12" operator="greaterThan">
      <formula>1.2</formula>
    </cfRule>
  </conditionalFormatting>
  <conditionalFormatting sqref="E7:G7 I7">
    <cfRule type="cellIs" dxfId="18" priority="11" operator="greaterThan">
      <formula>1</formula>
    </cfRule>
  </conditionalFormatting>
  <conditionalFormatting sqref="E8:G8 I8">
    <cfRule type="cellIs" dxfId="17" priority="10" operator="greaterThan">
      <formula>0.6</formula>
    </cfRule>
  </conditionalFormatting>
  <conditionalFormatting sqref="E9:G9 I9">
    <cfRule type="cellIs" dxfId="16" priority="9" operator="lessThan">
      <formula>47</formula>
    </cfRule>
  </conditionalFormatting>
  <conditionalFormatting sqref="H2">
    <cfRule type="cellIs" dxfId="15" priority="8" operator="greaterThan">
      <formula>48</formula>
    </cfRule>
  </conditionalFormatting>
  <conditionalFormatting sqref="H3">
    <cfRule type="cellIs" dxfId="13" priority="7" operator="lessThan">
      <formula>22</formula>
    </cfRule>
  </conditionalFormatting>
  <conditionalFormatting sqref="H4">
    <cfRule type="cellIs" dxfId="11" priority="6" operator="greaterThan">
      <formula>0</formula>
    </cfRule>
  </conditionalFormatting>
  <conditionalFormatting sqref="H5">
    <cfRule type="cellIs" dxfId="9" priority="5" operator="greaterThan">
      <formula>16</formula>
    </cfRule>
  </conditionalFormatting>
  <conditionalFormatting sqref="H6">
    <cfRule type="cellIs" dxfId="7" priority="4" operator="greaterThan">
      <formula>1.2</formula>
    </cfRule>
  </conditionalFormatting>
  <conditionalFormatting sqref="H7">
    <cfRule type="cellIs" dxfId="5" priority="3" operator="greaterThan">
      <formula>1</formula>
    </cfRule>
  </conditionalFormatting>
  <conditionalFormatting sqref="H8">
    <cfRule type="cellIs" dxfId="3" priority="2" operator="greaterThan">
      <formula>0.6</formula>
    </cfRule>
  </conditionalFormatting>
  <conditionalFormatting sqref="H9">
    <cfRule type="cellIs" dxfId="1" priority="1" operator="lessThan">
      <formula>47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workbookViewId="0">
      <selection activeCell="B3" sqref="B3"/>
    </sheetView>
  </sheetViews>
  <sheetFormatPr defaultRowHeight="14.4" x14ac:dyDescent="0.3"/>
  <cols>
    <col min="2" max="2" width="12.33203125" bestFit="1" customWidth="1"/>
    <col min="4" max="4" width="10.33203125" customWidth="1"/>
  </cols>
  <sheetData>
    <row r="1" spans="1:20" ht="43.2" x14ac:dyDescent="0.3">
      <c r="A1" s="104" t="s">
        <v>362</v>
      </c>
      <c r="B1" s="104" t="s">
        <v>361</v>
      </c>
      <c r="C1" s="104" t="s">
        <v>232</v>
      </c>
      <c r="D1" s="104" t="s">
        <v>346</v>
      </c>
      <c r="E1" s="109" t="s">
        <v>347</v>
      </c>
      <c r="F1" s="109" t="s">
        <v>348</v>
      </c>
    </row>
    <row r="2" spans="1:20" x14ac:dyDescent="0.3">
      <c r="A2" s="31">
        <v>2021</v>
      </c>
      <c r="B2" s="95">
        <v>4274945</v>
      </c>
      <c r="C2" s="105">
        <f>B2/B3*100-100</f>
        <v>-0.84134015986668942</v>
      </c>
    </row>
    <row r="3" spans="1:20" x14ac:dyDescent="0.3">
      <c r="A3" s="31">
        <v>2020</v>
      </c>
      <c r="B3" s="95">
        <v>4311217</v>
      </c>
      <c r="C3" s="105">
        <f>B3/B4*100-100</f>
        <v>-0.40077947310483353</v>
      </c>
      <c r="D3" s="95">
        <v>-38776</v>
      </c>
      <c r="E3" s="95">
        <v>2504</v>
      </c>
      <c r="F3" s="1">
        <f t="shared" ref="F3:F8" si="0">B2-B3-D3-E3</f>
        <v>0</v>
      </c>
    </row>
    <row r="4" spans="1:20" x14ac:dyDescent="0.3">
      <c r="A4" s="31">
        <v>2019</v>
      </c>
      <c r="B4" s="95">
        <v>4328565</v>
      </c>
      <c r="C4" s="105">
        <f>B4/B5*100-100</f>
        <v>-0.49072268375147132</v>
      </c>
      <c r="D4" s="95">
        <v>-25165</v>
      </c>
      <c r="E4" s="1">
        <v>7817</v>
      </c>
      <c r="F4" s="1">
        <f t="shared" si="0"/>
        <v>0</v>
      </c>
      <c r="K4" s="112"/>
      <c r="L4" s="113"/>
      <c r="M4" s="113"/>
      <c r="N4" s="113"/>
      <c r="O4" s="113"/>
      <c r="P4" s="113"/>
      <c r="Q4" s="113"/>
      <c r="R4" s="113"/>
      <c r="S4" s="113"/>
      <c r="T4" s="113"/>
    </row>
    <row r="5" spans="1:20" x14ac:dyDescent="0.3">
      <c r="A5" s="31">
        <v>2018</v>
      </c>
      <c r="B5" s="95">
        <v>4349911</v>
      </c>
      <c r="C5" s="105">
        <f t="shared" ref="C5:C7" si="1">B5/B6*100-100</f>
        <v>-0.46762866481114429</v>
      </c>
      <c r="D5" s="95">
        <v>-24766</v>
      </c>
      <c r="E5" s="95">
        <v>3420</v>
      </c>
      <c r="F5" s="1">
        <f t="shared" si="0"/>
        <v>0</v>
      </c>
      <c r="K5" s="112"/>
      <c r="L5" s="113"/>
      <c r="M5" s="113"/>
      <c r="N5" s="113"/>
      <c r="O5" s="113"/>
      <c r="P5" s="113"/>
      <c r="Q5" s="113"/>
      <c r="R5" s="113"/>
      <c r="S5" s="113"/>
      <c r="T5" s="113"/>
    </row>
    <row r="6" spans="1:20" x14ac:dyDescent="0.3">
      <c r="A6" s="31">
        <v>2017</v>
      </c>
      <c r="B6" s="95">
        <v>4370348</v>
      </c>
      <c r="C6" s="105">
        <f t="shared" si="1"/>
        <v>-0.31654390079343386</v>
      </c>
      <c r="D6" s="95">
        <v>-22711</v>
      </c>
      <c r="E6" s="95">
        <v>2274</v>
      </c>
      <c r="F6" s="1">
        <f t="shared" si="0"/>
        <v>0</v>
      </c>
      <c r="K6" s="112"/>
      <c r="L6" s="113"/>
      <c r="M6" s="113"/>
      <c r="N6" s="113"/>
      <c r="O6" s="113"/>
      <c r="P6" s="113"/>
      <c r="Q6" s="113"/>
      <c r="R6" s="113"/>
      <c r="S6" s="113"/>
      <c r="T6" s="113"/>
    </row>
    <row r="7" spans="1:20" x14ac:dyDescent="0.3">
      <c r="A7" s="31">
        <v>2016</v>
      </c>
      <c r="B7" s="95">
        <v>4384226</v>
      </c>
      <c r="C7" s="105">
        <f t="shared" si="1"/>
        <v>-0.43909907479444144</v>
      </c>
      <c r="D7" s="95">
        <v>-19252</v>
      </c>
      <c r="E7" s="95">
        <v>5374</v>
      </c>
      <c r="F7" s="1">
        <f t="shared" si="0"/>
        <v>0</v>
      </c>
      <c r="K7" s="112"/>
      <c r="L7" s="113"/>
      <c r="M7" s="113"/>
      <c r="N7" s="113"/>
      <c r="O7" s="113"/>
      <c r="P7" s="113"/>
      <c r="Q7" s="113"/>
      <c r="R7" s="113"/>
      <c r="S7" s="113"/>
      <c r="T7" s="113"/>
    </row>
    <row r="8" spans="1:20" x14ac:dyDescent="0.3">
      <c r="A8" s="106">
        <v>2015</v>
      </c>
      <c r="B8" s="107">
        <v>4403562</v>
      </c>
      <c r="C8" s="107"/>
      <c r="D8" s="107">
        <v>-21168</v>
      </c>
      <c r="E8" s="107">
        <v>1832</v>
      </c>
      <c r="F8" s="108">
        <f t="shared" si="0"/>
        <v>0</v>
      </c>
    </row>
    <row r="9" spans="1:20" x14ac:dyDescent="0.3">
      <c r="A9" t="s">
        <v>363</v>
      </c>
    </row>
  </sheetData>
  <sortState ref="A2:B6">
    <sortCondition descending="1" ref="A2:A6"/>
  </sortState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showGridLines="0" workbookViewId="0">
      <selection activeCell="H2" sqref="H2"/>
    </sheetView>
  </sheetViews>
  <sheetFormatPr defaultRowHeight="14.4" x14ac:dyDescent="0.3"/>
  <cols>
    <col min="1" max="1" width="55.6640625" bestFit="1" customWidth="1"/>
    <col min="2" max="6" width="15.33203125" bestFit="1" customWidth="1"/>
    <col min="7" max="7" width="8.44140625" customWidth="1"/>
    <col min="8" max="8" width="6.5546875" bestFit="1" customWidth="1"/>
    <col min="9" max="9" width="15.33203125" bestFit="1" customWidth="1"/>
    <col min="10" max="10" width="7" bestFit="1" customWidth="1"/>
  </cols>
  <sheetData>
    <row r="1" spans="1:10" ht="28.8" x14ac:dyDescent="0.3">
      <c r="A1" s="41"/>
      <c r="B1" s="42">
        <v>2016</v>
      </c>
      <c r="C1" s="42">
        <v>2017</v>
      </c>
      <c r="D1" s="42">
        <v>2018</v>
      </c>
      <c r="E1" s="42">
        <v>2019</v>
      </c>
      <c r="F1" s="42">
        <v>2020</v>
      </c>
      <c r="G1" s="54" t="s">
        <v>295</v>
      </c>
      <c r="H1" s="42" t="s">
        <v>232</v>
      </c>
      <c r="I1" s="54" t="s">
        <v>370</v>
      </c>
      <c r="J1" s="42" t="s">
        <v>267</v>
      </c>
    </row>
    <row r="2" spans="1:10" x14ac:dyDescent="0.3">
      <c r="A2" s="55" t="s">
        <v>19</v>
      </c>
      <c r="B2" s="56">
        <f>Entrate_Uscite!B3</f>
        <v>9516287783.4699993</v>
      </c>
      <c r="C2" s="56">
        <f>Entrate_Uscite!E3</f>
        <v>9521981287.9400005</v>
      </c>
      <c r="D2" s="56">
        <f>Entrate_Uscite!H3</f>
        <v>9664569259.7900009</v>
      </c>
      <c r="E2" s="56">
        <f>Entrate_Uscite!K3</f>
        <v>9798695379.7999992</v>
      </c>
      <c r="F2" s="56">
        <f>Entrate_Uscite!N3</f>
        <v>9960748841.7199993</v>
      </c>
      <c r="G2" s="56">
        <f>F2/F$21*100</f>
        <v>80.540276754701026</v>
      </c>
      <c r="H2" s="57">
        <f t="shared" ref="H2:H21" si="0">IF(E2&gt;0,F2/E2*100-100,"-")</f>
        <v>1.6538269191842971</v>
      </c>
      <c r="I2" s="56">
        <f>Entrate_Uscite!O3</f>
        <v>8730423742.1599998</v>
      </c>
      <c r="J2" s="58">
        <f>IF(F2&gt;0,I2/F2*100,"-")</f>
        <v>87.64826702178398</v>
      </c>
    </row>
    <row r="3" spans="1:10" x14ac:dyDescent="0.3">
      <c r="A3" s="55" t="s">
        <v>20</v>
      </c>
      <c r="B3" s="56">
        <f>Entrate_Uscite!B4</f>
        <v>692557877.72000003</v>
      </c>
      <c r="C3" s="56">
        <f>Entrate_Uscite!E4</f>
        <v>871591253.85000002</v>
      </c>
      <c r="D3" s="56">
        <f>Entrate_Uscite!H4</f>
        <v>934701188.99000001</v>
      </c>
      <c r="E3" s="56">
        <f>Entrate_Uscite!K4</f>
        <v>902447786.63</v>
      </c>
      <c r="F3" s="56">
        <f>Entrate_Uscite!N4</f>
        <v>1345160400.45</v>
      </c>
      <c r="G3" s="56">
        <f t="shared" ref="G3:G21" si="1">F3/F$21*100</f>
        <v>10.876651208986775</v>
      </c>
      <c r="H3" s="57">
        <f t="shared" si="0"/>
        <v>49.056867375476259</v>
      </c>
      <c r="I3" s="56">
        <f>Entrate_Uscite!O4</f>
        <v>1132666714.8800001</v>
      </c>
      <c r="J3" s="58">
        <f t="shared" ref="J3:J21" si="2">IF(F3&gt;0,I3/F3*100,"-")</f>
        <v>84.203096857526148</v>
      </c>
    </row>
    <row r="4" spans="1:10" x14ac:dyDescent="0.3">
      <c r="A4" s="55" t="s">
        <v>21</v>
      </c>
      <c r="B4" s="56">
        <f>Entrate_Uscite!B5</f>
        <v>718131489.38</v>
      </c>
      <c r="C4" s="56">
        <f>Entrate_Uscite!E5</f>
        <v>451994503.88999999</v>
      </c>
      <c r="D4" s="56">
        <f>Entrate_Uscite!H5</f>
        <v>521984963.51999998</v>
      </c>
      <c r="E4" s="56">
        <f>Entrate_Uscite!K5</f>
        <v>563497438.14999998</v>
      </c>
      <c r="F4" s="56">
        <f>Entrate_Uscite!N5</f>
        <v>454962653.81999999</v>
      </c>
      <c r="G4" s="56">
        <f t="shared" si="1"/>
        <v>3.6787212120277331</v>
      </c>
      <c r="H4" s="57">
        <f t="shared" si="0"/>
        <v>-19.260918858180958</v>
      </c>
      <c r="I4" s="56">
        <f>Entrate_Uscite!O5</f>
        <v>411735684.19</v>
      </c>
      <c r="J4" s="58">
        <f t="shared" si="2"/>
        <v>90.498787259337959</v>
      </c>
    </row>
    <row r="5" spans="1:10" x14ac:dyDescent="0.3">
      <c r="A5" s="4" t="s">
        <v>30</v>
      </c>
      <c r="B5" s="43">
        <f>SUM(B2:B4)</f>
        <v>10926977150.569998</v>
      </c>
      <c r="C5" s="43">
        <f>SUM(C2:C4)</f>
        <v>10845567045.68</v>
      </c>
      <c r="D5" s="43">
        <f>SUM(D2:D4)</f>
        <v>11121255412.300001</v>
      </c>
      <c r="E5" s="43">
        <f>SUM(E2:E4)</f>
        <v>11264640604.579998</v>
      </c>
      <c r="F5" s="43">
        <f>SUM(F2:F4)</f>
        <v>11760871895.99</v>
      </c>
      <c r="G5" s="43">
        <f t="shared" si="1"/>
        <v>95.095649175715536</v>
      </c>
      <c r="H5" s="44">
        <f t="shared" si="0"/>
        <v>4.4052119266747098</v>
      </c>
      <c r="I5" s="43">
        <f>SUM(I2:I4)</f>
        <v>10274826141.230001</v>
      </c>
      <c r="J5" s="45">
        <f>IF(F5&gt;0,I5/F5*100,"-")</f>
        <v>87.364493313912533</v>
      </c>
    </row>
    <row r="6" spans="1:10" x14ac:dyDescent="0.3">
      <c r="A6" s="55" t="s">
        <v>22</v>
      </c>
      <c r="B6" s="56">
        <f>Entrate_Uscite!B6</f>
        <v>0</v>
      </c>
      <c r="C6" s="56">
        <f>Entrate_Uscite!E6</f>
        <v>0</v>
      </c>
      <c r="D6" s="56">
        <f>Entrate_Uscite!H6</f>
        <v>0</v>
      </c>
      <c r="E6" s="56">
        <f>Entrate_Uscite!K6</f>
        <v>0</v>
      </c>
      <c r="F6" s="56">
        <f>Entrate_Uscite!N6</f>
        <v>0</v>
      </c>
      <c r="G6" s="56">
        <f t="shared" si="1"/>
        <v>0</v>
      </c>
      <c r="H6" s="57" t="str">
        <f t="shared" si="0"/>
        <v>-</v>
      </c>
      <c r="I6" s="56">
        <f>Entrate_Uscite!O6</f>
        <v>0</v>
      </c>
      <c r="J6" s="58" t="str">
        <f t="shared" si="2"/>
        <v>-</v>
      </c>
    </row>
    <row r="7" spans="1:10" x14ac:dyDescent="0.3">
      <c r="A7" s="55" t="s">
        <v>23</v>
      </c>
      <c r="B7" s="56">
        <f>Entrate_Uscite!B7</f>
        <v>175132524.44999999</v>
      </c>
      <c r="C7" s="56">
        <f>Entrate_Uscite!E7</f>
        <v>71441622.049999997</v>
      </c>
      <c r="D7" s="56">
        <f>Entrate_Uscite!H7</f>
        <v>44838967.890000001</v>
      </c>
      <c r="E7" s="56">
        <f>Entrate_Uscite!K7</f>
        <v>264595156.15000001</v>
      </c>
      <c r="F7" s="56">
        <f>Entrate_Uscite!N7</f>
        <v>164251089</v>
      </c>
      <c r="G7" s="56">
        <f t="shared" si="1"/>
        <v>1.3280957461664804</v>
      </c>
      <c r="H7" s="57">
        <f t="shared" si="0"/>
        <v>-37.923622113896357</v>
      </c>
      <c r="I7" s="56">
        <f>Entrate_Uscite!O7</f>
        <v>26057089.600000001</v>
      </c>
      <c r="J7" s="58">
        <f t="shared" si="2"/>
        <v>15.864180723940285</v>
      </c>
    </row>
    <row r="8" spans="1:10" x14ac:dyDescent="0.3">
      <c r="A8" s="55" t="s">
        <v>24</v>
      </c>
      <c r="B8" s="56">
        <f>Entrate_Uscite!B8</f>
        <v>158735145.61000001</v>
      </c>
      <c r="C8" s="56">
        <f>Entrate_Uscite!E8</f>
        <v>167714458.38999999</v>
      </c>
      <c r="D8" s="56">
        <f>Entrate_Uscite!H8</f>
        <v>157841250.61000001</v>
      </c>
      <c r="E8" s="56">
        <f>Entrate_Uscite!K8</f>
        <v>115797992.94</v>
      </c>
      <c r="F8" s="56">
        <f>Entrate_Uscite!N8</f>
        <v>86177687.980000004</v>
      </c>
      <c r="G8" s="56">
        <f t="shared" si="1"/>
        <v>0.69681255398373787</v>
      </c>
      <c r="H8" s="57">
        <f t="shared" si="0"/>
        <v>-25.579290459159836</v>
      </c>
      <c r="I8" s="56">
        <f>Entrate_Uscite!O8</f>
        <v>29815739.289999999</v>
      </c>
      <c r="J8" s="58">
        <f t="shared" si="2"/>
        <v>34.597980044346968</v>
      </c>
    </row>
    <row r="9" spans="1:10" x14ac:dyDescent="0.3">
      <c r="A9" s="55" t="s">
        <v>25</v>
      </c>
      <c r="B9" s="56">
        <f>Entrate_Uscite!B9</f>
        <v>107748.44</v>
      </c>
      <c r="C9" s="56">
        <f>Entrate_Uscite!E9</f>
        <v>544088.28</v>
      </c>
      <c r="D9" s="56">
        <f>Entrate_Uscite!H9</f>
        <v>1447778.95</v>
      </c>
      <c r="E9" s="56">
        <f>Entrate_Uscite!K9</f>
        <v>1208130.1299999999</v>
      </c>
      <c r="F9" s="56">
        <f>Entrate_Uscite!N9</f>
        <v>5100</v>
      </c>
      <c r="G9" s="56">
        <f t="shared" si="1"/>
        <v>4.1237402727047069E-5</v>
      </c>
      <c r="H9" s="57">
        <f t="shared" si="0"/>
        <v>-99.57786004393418</v>
      </c>
      <c r="I9" s="56">
        <f>Entrate_Uscite!O9</f>
        <v>0</v>
      </c>
      <c r="J9" s="58">
        <f t="shared" si="2"/>
        <v>0</v>
      </c>
    </row>
    <row r="10" spans="1:10" x14ac:dyDescent="0.3">
      <c r="A10" s="55" t="s">
        <v>26</v>
      </c>
      <c r="B10" s="56">
        <f>Entrate_Uscite!B10</f>
        <v>814222.24</v>
      </c>
      <c r="C10" s="56">
        <f>Entrate_Uscite!E10</f>
        <v>15998577.119999999</v>
      </c>
      <c r="D10" s="56">
        <f>Entrate_Uscite!H10</f>
        <v>22143660.300000001</v>
      </c>
      <c r="E10" s="56">
        <f>Entrate_Uscite!K10</f>
        <v>16543447.83</v>
      </c>
      <c r="F10" s="56">
        <f>Entrate_Uscite!N10</f>
        <v>17915444.379999999</v>
      </c>
      <c r="G10" s="56">
        <f t="shared" si="1"/>
        <v>0.14486007743766119</v>
      </c>
      <c r="H10" s="57">
        <f t="shared" si="0"/>
        <v>8.2932926926635702</v>
      </c>
      <c r="I10" s="56">
        <f>Entrate_Uscite!O10</f>
        <v>1927928.9</v>
      </c>
      <c r="J10" s="58">
        <f t="shared" si="2"/>
        <v>10.761267536027482</v>
      </c>
    </row>
    <row r="11" spans="1:10" x14ac:dyDescent="0.3">
      <c r="A11" s="4" t="s">
        <v>31</v>
      </c>
      <c r="B11" s="46">
        <f>SUM(B6:B10)</f>
        <v>334789640.74000001</v>
      </c>
      <c r="C11" s="46">
        <f>SUM(C6:C10)</f>
        <v>255698745.84</v>
      </c>
      <c r="D11" s="46">
        <f>SUM(D6:D10)</f>
        <v>226271657.75</v>
      </c>
      <c r="E11" s="46">
        <f>SUM(E6:E10)</f>
        <v>398144727.05000001</v>
      </c>
      <c r="F11" s="46">
        <f>SUM(F6:F10)</f>
        <v>268349321.36000001</v>
      </c>
      <c r="G11" s="46">
        <f t="shared" si="1"/>
        <v>2.1698096149906068</v>
      </c>
      <c r="H11" s="44">
        <f t="shared" si="0"/>
        <v>-32.600056429656036</v>
      </c>
      <c r="I11" s="46">
        <f>SUM(I6:I10)</f>
        <v>57800757.789999999</v>
      </c>
      <c r="J11" s="45">
        <f>IF(F11&gt;0,I11/F11*100,"-")</f>
        <v>21.539371702922345</v>
      </c>
    </row>
    <row r="12" spans="1:10" x14ac:dyDescent="0.3">
      <c r="A12" s="55" t="s">
        <v>27</v>
      </c>
      <c r="B12" s="56">
        <f>Entrate_Uscite!B11</f>
        <v>0</v>
      </c>
      <c r="C12" s="56">
        <f>Entrate_Uscite!E11</f>
        <v>6198.03</v>
      </c>
      <c r="D12" s="56">
        <f>Entrate_Uscite!H11</f>
        <v>0</v>
      </c>
      <c r="E12" s="56">
        <f>Entrate_Uscite!K11</f>
        <v>110000000</v>
      </c>
      <c r="F12" s="56">
        <f>Entrate_Uscite!N11</f>
        <v>105126654</v>
      </c>
      <c r="G12" s="56">
        <f t="shared" si="1"/>
        <v>0.85002944477351638</v>
      </c>
      <c r="H12" s="57">
        <f t="shared" si="0"/>
        <v>-4.4303145454545501</v>
      </c>
      <c r="I12" s="56">
        <f>Entrate_Uscite!O11</f>
        <v>90140154</v>
      </c>
      <c r="J12" s="58">
        <f t="shared" si="2"/>
        <v>85.744338443417021</v>
      </c>
    </row>
    <row r="13" spans="1:10" x14ac:dyDescent="0.3">
      <c r="A13" s="55" t="s">
        <v>28</v>
      </c>
      <c r="B13" s="56">
        <f>Entrate_Uscite!B12</f>
        <v>2140704.7400000002</v>
      </c>
      <c r="C13" s="56">
        <f>Entrate_Uscite!E12</f>
        <v>2595008.19</v>
      </c>
      <c r="D13" s="56">
        <f>Entrate_Uscite!H12</f>
        <v>5464134.3300000001</v>
      </c>
      <c r="E13" s="56">
        <f>Entrate_Uscite!K12</f>
        <v>13721746.15</v>
      </c>
      <c r="F13" s="56">
        <f>Entrate_Uscite!N12</f>
        <v>11272729.99</v>
      </c>
      <c r="G13" s="56">
        <f t="shared" si="1"/>
        <v>9.1148648319782602E-2</v>
      </c>
      <c r="H13" s="57">
        <f t="shared" si="0"/>
        <v>-17.84770052753089</v>
      </c>
      <c r="I13" s="56">
        <f>Entrate_Uscite!O12</f>
        <v>3961674.27</v>
      </c>
      <c r="J13" s="58">
        <f t="shared" si="2"/>
        <v>35.143876181851134</v>
      </c>
    </row>
    <row r="14" spans="1:10" x14ac:dyDescent="0.3">
      <c r="A14" s="55" t="s">
        <v>29</v>
      </c>
      <c r="B14" s="56">
        <f>Entrate_Uscite!B13</f>
        <v>0</v>
      </c>
      <c r="C14" s="56">
        <f>Entrate_Uscite!E13</f>
        <v>0</v>
      </c>
      <c r="D14" s="56">
        <f>Entrate_Uscite!H13</f>
        <v>230512616.84</v>
      </c>
      <c r="E14" s="56">
        <f>Entrate_Uscite!K13</f>
        <v>264286345.53</v>
      </c>
      <c r="F14" s="56">
        <f>Entrate_Uscite!N13</f>
        <v>221792627.27000001</v>
      </c>
      <c r="G14" s="56">
        <f t="shared" si="1"/>
        <v>1.7933631162005552</v>
      </c>
      <c r="H14" s="57">
        <f t="shared" si="0"/>
        <v>-16.078665802723577</v>
      </c>
      <c r="I14" s="56">
        <f>Entrate_Uscite!O13</f>
        <v>221792627.27000001</v>
      </c>
      <c r="J14" s="58">
        <f t="shared" si="2"/>
        <v>100</v>
      </c>
    </row>
    <row r="15" spans="1:10" x14ac:dyDescent="0.3">
      <c r="A15" s="4" t="s">
        <v>32</v>
      </c>
      <c r="B15" s="43">
        <f>SUM(B12:B14)</f>
        <v>2140704.7400000002</v>
      </c>
      <c r="C15" s="43">
        <f>SUM(C12:C14)</f>
        <v>2601206.2199999997</v>
      </c>
      <c r="D15" s="43">
        <f>SUM(D12:D14)</f>
        <v>235976751.17000002</v>
      </c>
      <c r="E15" s="43">
        <f>SUM(E12:E14)</f>
        <v>388008091.68000001</v>
      </c>
      <c r="F15" s="43">
        <f>SUM(F12:F14)</f>
        <v>338192011.25999999</v>
      </c>
      <c r="G15" s="43">
        <f t="shared" si="1"/>
        <v>2.7345412092938544</v>
      </c>
      <c r="H15" s="44">
        <f t="shared" si="0"/>
        <v>-12.838928230673247</v>
      </c>
      <c r="I15" s="43">
        <f>SUM(I12:I14)</f>
        <v>315894455.54000002</v>
      </c>
      <c r="J15" s="45">
        <f t="shared" si="2"/>
        <v>93.406835472864628</v>
      </c>
    </row>
    <row r="16" spans="1:10" x14ac:dyDescent="0.3">
      <c r="A16" s="47" t="s">
        <v>343</v>
      </c>
      <c r="B16" s="48">
        <f>B5+B11+B15</f>
        <v>11263907496.049997</v>
      </c>
      <c r="C16" s="48">
        <f t="shared" ref="C16:F16" si="3">C5+C11+C15</f>
        <v>11103866997.74</v>
      </c>
      <c r="D16" s="48">
        <f t="shared" si="3"/>
        <v>11583503821.220001</v>
      </c>
      <c r="E16" s="48">
        <f t="shared" ref="E16" si="4">E5+E11+E15</f>
        <v>12050793423.309998</v>
      </c>
      <c r="F16" s="48">
        <f t="shared" si="3"/>
        <v>12367413228.610001</v>
      </c>
      <c r="G16" s="48">
        <f t="shared" si="1"/>
        <v>100</v>
      </c>
      <c r="H16" s="49">
        <f t="shared" si="0"/>
        <v>2.6273772537463174</v>
      </c>
      <c r="I16" s="48">
        <f t="shared" ref="I16" si="5">I5+I11+I15</f>
        <v>10648521354.560003</v>
      </c>
      <c r="J16" s="50">
        <f t="shared" si="2"/>
        <v>86.101443832461101</v>
      </c>
    </row>
    <row r="17" spans="1:10" x14ac:dyDescent="0.3">
      <c r="A17" s="4" t="s">
        <v>33</v>
      </c>
      <c r="B17" s="43">
        <f>Entrate_Uscite!B17</f>
        <v>23011160.140000001</v>
      </c>
      <c r="C17" s="43">
        <f>Entrate_Uscite!E17</f>
        <v>1097526</v>
      </c>
      <c r="D17" s="43">
        <f>Entrate_Uscite!H17</f>
        <v>41515000</v>
      </c>
      <c r="E17" s="43">
        <f>Entrate_Uscite!K17</f>
        <v>41515000</v>
      </c>
      <c r="F17" s="43">
        <f>Entrate_Uscite!N17</f>
        <v>0</v>
      </c>
      <c r="G17" s="43">
        <f t="shared" si="1"/>
        <v>0</v>
      </c>
      <c r="H17" s="44">
        <f t="shared" si="0"/>
        <v>-100</v>
      </c>
      <c r="I17" s="43">
        <f>Entrate_Uscite!O17</f>
        <v>0</v>
      </c>
      <c r="J17" s="45" t="str">
        <f t="shared" si="2"/>
        <v>-</v>
      </c>
    </row>
    <row r="18" spans="1:10" x14ac:dyDescent="0.3">
      <c r="A18" s="4" t="s">
        <v>34</v>
      </c>
      <c r="B18" s="43">
        <f>Entrate_Uscite!B18</f>
        <v>0</v>
      </c>
      <c r="C18" s="43">
        <f>Entrate_Uscite!E18</f>
        <v>0</v>
      </c>
      <c r="D18" s="43">
        <f>Entrate_Uscite!H18</f>
        <v>0</v>
      </c>
      <c r="E18" s="43">
        <f>Entrate_Uscite!K18</f>
        <v>0</v>
      </c>
      <c r="F18" s="43">
        <f>Entrate_Uscite!N18</f>
        <v>0</v>
      </c>
      <c r="G18" s="43">
        <f t="shared" si="1"/>
        <v>0</v>
      </c>
      <c r="H18" s="44" t="str">
        <f t="shared" si="0"/>
        <v>-</v>
      </c>
      <c r="I18" s="43">
        <f>Entrate_Uscite!O18</f>
        <v>0</v>
      </c>
      <c r="J18" s="45" t="str">
        <f t="shared" si="2"/>
        <v>-</v>
      </c>
    </row>
    <row r="19" spans="1:10" x14ac:dyDescent="0.3">
      <c r="A19" s="4" t="s">
        <v>35</v>
      </c>
      <c r="B19" s="43">
        <f>Entrate_Uscite!B19</f>
        <v>2062503007.95</v>
      </c>
      <c r="C19" s="43">
        <f>Entrate_Uscite!E19</f>
        <v>1879258900.5799999</v>
      </c>
      <c r="D19" s="43">
        <f>Entrate_Uscite!H19</f>
        <v>1604485642.45</v>
      </c>
      <c r="E19" s="43">
        <f>Entrate_Uscite!K19</f>
        <v>1550595025.8499999</v>
      </c>
      <c r="F19" s="43">
        <f>Entrate_Uscite!N19</f>
        <v>1914969996.21</v>
      </c>
      <c r="G19" s="43"/>
      <c r="H19" s="44">
        <f t="shared" si="0"/>
        <v>23.499041612122952</v>
      </c>
      <c r="I19" s="43">
        <f>Entrate_Uscite!O19</f>
        <v>1913421922.3</v>
      </c>
      <c r="J19" s="45">
        <f t="shared" si="2"/>
        <v>99.919159364738661</v>
      </c>
    </row>
    <row r="20" spans="1:10" x14ac:dyDescent="0.3">
      <c r="A20" s="47" t="s">
        <v>36</v>
      </c>
      <c r="B20" s="48">
        <f>B5+B11+B15+B17+B18+B19</f>
        <v>13349421664.139997</v>
      </c>
      <c r="C20" s="48">
        <f>C5+C11+C15+C17+C18+C19</f>
        <v>12984223424.32</v>
      </c>
      <c r="D20" s="48">
        <f>D5+D11+D15+D17+D18+D19</f>
        <v>13229504463.670002</v>
      </c>
      <c r="E20" s="48">
        <f>E5+E11+E15+E17+E18+E19</f>
        <v>13642903449.159998</v>
      </c>
      <c r="F20" s="48">
        <f>F5+F11+F15+F17+F18+F19</f>
        <v>14282383224.82</v>
      </c>
      <c r="G20" s="48"/>
      <c r="H20" s="49">
        <f t="shared" si="0"/>
        <v>4.6872704043022111</v>
      </c>
      <c r="I20" s="48">
        <f>I5+I11+I15+I17+I18+I19</f>
        <v>12561943276.860003</v>
      </c>
      <c r="J20" s="50">
        <f t="shared" si="2"/>
        <v>87.954111573128728</v>
      </c>
    </row>
    <row r="21" spans="1:10" x14ac:dyDescent="0.3">
      <c r="A21" s="38" t="s">
        <v>37</v>
      </c>
      <c r="B21" s="51">
        <f>B20-B19</f>
        <v>11286918656.189997</v>
      </c>
      <c r="C21" s="51">
        <f>C20-C19</f>
        <v>11104964523.74</v>
      </c>
      <c r="D21" s="51">
        <f>D20-D19</f>
        <v>11625018821.220001</v>
      </c>
      <c r="E21" s="51">
        <f>E20-E19</f>
        <v>12092308423.309998</v>
      </c>
      <c r="F21" s="51">
        <f>F20-F19</f>
        <v>12367413228.610001</v>
      </c>
      <c r="G21" s="51">
        <f t="shared" si="1"/>
        <v>100</v>
      </c>
      <c r="H21" s="52">
        <f t="shared" si="0"/>
        <v>2.2750396009556937</v>
      </c>
      <c r="I21" s="51">
        <f>I20-I19</f>
        <v>10648521354.560003</v>
      </c>
      <c r="J21" s="53">
        <f t="shared" si="2"/>
        <v>86.101443832461101</v>
      </c>
    </row>
    <row r="22" spans="1:10" x14ac:dyDescent="0.3">
      <c r="I22" s="6"/>
    </row>
    <row r="23" spans="1:10" x14ac:dyDescent="0.3">
      <c r="I23" s="6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showGridLines="0" workbookViewId="0">
      <selection activeCell="H1" sqref="H1:H1048576"/>
    </sheetView>
  </sheetViews>
  <sheetFormatPr defaultRowHeight="14.4" x14ac:dyDescent="0.3"/>
  <cols>
    <col min="1" max="1" width="50.6640625" bestFit="1" customWidth="1"/>
    <col min="2" max="6" width="15.33203125" bestFit="1" customWidth="1"/>
    <col min="7" max="7" width="8.5546875" customWidth="1"/>
    <col min="8" max="8" width="8.109375" customWidth="1"/>
    <col min="9" max="9" width="15.33203125" bestFit="1" customWidth="1"/>
    <col min="10" max="10" width="7" bestFit="1" customWidth="1"/>
  </cols>
  <sheetData>
    <row r="1" spans="1:10" ht="28.8" x14ac:dyDescent="0.3">
      <c r="A1" s="41"/>
      <c r="B1" s="42">
        <v>2016</v>
      </c>
      <c r="C1" s="42">
        <v>2017</v>
      </c>
      <c r="D1" s="42">
        <v>2018</v>
      </c>
      <c r="E1" s="42">
        <v>2019</v>
      </c>
      <c r="F1" s="42">
        <v>2020</v>
      </c>
      <c r="G1" s="54" t="s">
        <v>295</v>
      </c>
      <c r="H1" s="42" t="s">
        <v>232</v>
      </c>
      <c r="I1" s="54" t="s">
        <v>371</v>
      </c>
      <c r="J1" s="42" t="s">
        <v>334</v>
      </c>
    </row>
    <row r="2" spans="1:10" x14ac:dyDescent="0.3">
      <c r="A2" s="59" t="s">
        <v>268</v>
      </c>
      <c r="B2" s="56">
        <f>Entrate_Uscite!B23</f>
        <v>185137715.58000001</v>
      </c>
      <c r="C2" s="56">
        <f>Entrate_Uscite!E23</f>
        <v>181339857.71000001</v>
      </c>
      <c r="D2" s="56">
        <f>Entrate_Uscite!H23</f>
        <v>164621877.63999999</v>
      </c>
      <c r="E2" s="56">
        <f>Entrate_Uscite!K23</f>
        <v>187806085.22</v>
      </c>
      <c r="F2" s="56">
        <f>Entrate_Uscite!N23</f>
        <v>170300538.19</v>
      </c>
      <c r="G2" s="56">
        <f>F2/F$31*100</f>
        <v>1.3972980944323832</v>
      </c>
      <c r="H2" s="57">
        <f>IF(E2&gt;0,F2/E2*100-100,"-")</f>
        <v>-9.3210755175976487</v>
      </c>
      <c r="I2" s="56">
        <f>Entrate_Uscite!O23</f>
        <v>165045458.30000001</v>
      </c>
      <c r="J2" s="58">
        <f>IF(F2&gt;0,I2/F2*100,"-")</f>
        <v>96.914231777625375</v>
      </c>
    </row>
    <row r="3" spans="1:10" x14ac:dyDescent="0.3">
      <c r="A3" s="59" t="s">
        <v>269</v>
      </c>
      <c r="B3" s="56">
        <f>Entrate_Uscite!B24</f>
        <v>13541773.140000001</v>
      </c>
      <c r="C3" s="56">
        <f>Entrate_Uscite!E24</f>
        <v>13543221.27</v>
      </c>
      <c r="D3" s="56">
        <f>Entrate_Uscite!H24</f>
        <v>13833412.9</v>
      </c>
      <c r="E3" s="56">
        <f>Entrate_Uscite!K24</f>
        <v>14110938.99</v>
      </c>
      <c r="F3" s="56">
        <f>Entrate_Uscite!N24</f>
        <v>13779233.210000001</v>
      </c>
      <c r="G3" s="56">
        <f t="shared" ref="G3:G31" si="0">F3/F$31*100</f>
        <v>0.11305716653456227</v>
      </c>
      <c r="H3" s="57">
        <f t="shared" ref="H3:H31" si="1">IF(E3&gt;0,F3/E3*100-100,"-")</f>
        <v>-2.3506995546864005</v>
      </c>
      <c r="I3" s="56">
        <f>Entrate_Uscite!O24</f>
        <v>12070145.859999999</v>
      </c>
      <c r="J3" s="58">
        <f>IF(F3&gt;0,I3/F3*100,"-")</f>
        <v>87.596643993515798</v>
      </c>
    </row>
    <row r="4" spans="1:10" x14ac:dyDescent="0.3">
      <c r="A4" s="59" t="s">
        <v>270</v>
      </c>
      <c r="B4" s="56">
        <f>Entrate_Uscite!B25</f>
        <v>444741379.75</v>
      </c>
      <c r="C4" s="56">
        <f>Entrate_Uscite!E25</f>
        <v>478041861.24000001</v>
      </c>
      <c r="D4" s="56">
        <f>Entrate_Uscite!H25</f>
        <v>480420067.58999997</v>
      </c>
      <c r="E4" s="56">
        <f>Entrate_Uscite!K25</f>
        <v>485763962.54000002</v>
      </c>
      <c r="F4" s="56">
        <f>Entrate_Uscite!N25</f>
        <v>443440433.48000002</v>
      </c>
      <c r="G4" s="56">
        <f t="shared" si="0"/>
        <v>3.6383823520544687</v>
      </c>
      <c r="H4" s="57">
        <f t="shared" si="1"/>
        <v>-8.7127766412920948</v>
      </c>
      <c r="I4" s="56">
        <f>Entrate_Uscite!O25</f>
        <v>410485648.74000001</v>
      </c>
      <c r="J4" s="58">
        <f t="shared" ref="J4:J9" si="2">IF(F4&gt;0,I4/F4*100,"-")</f>
        <v>92.568385232402065</v>
      </c>
    </row>
    <row r="5" spans="1:10" x14ac:dyDescent="0.3">
      <c r="A5" s="59" t="s">
        <v>271</v>
      </c>
      <c r="B5" s="56">
        <f>Entrate_Uscite!B26</f>
        <v>9664461199.2299995</v>
      </c>
      <c r="C5" s="56">
        <f>Entrate_Uscite!E26</f>
        <v>9700792370.8799992</v>
      </c>
      <c r="D5" s="56">
        <f>Entrate_Uscite!H26</f>
        <v>9727863725.2000008</v>
      </c>
      <c r="E5" s="56">
        <f>Entrate_Uscite!K26</f>
        <v>9781297925.8199997</v>
      </c>
      <c r="F5" s="56">
        <f>Entrate_Uscite!N26</f>
        <v>10473971577.57</v>
      </c>
      <c r="G5" s="56">
        <f t="shared" si="0"/>
        <v>85.937840725725209</v>
      </c>
      <c r="H5" s="57">
        <f t="shared" si="1"/>
        <v>7.0816128595932781</v>
      </c>
      <c r="I5" s="56">
        <f>Entrate_Uscite!O26</f>
        <v>9230474028.4400005</v>
      </c>
      <c r="J5" s="58">
        <f t="shared" si="2"/>
        <v>88.127736074891132</v>
      </c>
    </row>
    <row r="6" spans="1:10" x14ac:dyDescent="0.3">
      <c r="A6" s="59" t="s">
        <v>272</v>
      </c>
      <c r="B6" s="56">
        <f>Entrate_Uscite!B29</f>
        <v>133457871.14</v>
      </c>
      <c r="C6" s="56">
        <f>Entrate_Uscite!E29</f>
        <v>207592018.65000001</v>
      </c>
      <c r="D6" s="56">
        <f>Entrate_Uscite!H29</f>
        <v>133710036.06</v>
      </c>
      <c r="E6" s="56">
        <f>Entrate_Uscite!K29</f>
        <v>103464841.97</v>
      </c>
      <c r="F6" s="56">
        <f>Entrate_Uscite!N29</f>
        <v>149967915.46000001</v>
      </c>
      <c r="G6" s="56">
        <f t="shared" si="0"/>
        <v>1.2304710526778564</v>
      </c>
      <c r="H6" s="57">
        <f t="shared" si="1"/>
        <v>44.945773467168436</v>
      </c>
      <c r="I6" s="56">
        <f>Entrate_Uscite!O29</f>
        <v>149966473.25999999</v>
      </c>
      <c r="J6" s="58">
        <f t="shared" si="2"/>
        <v>99.999038327634551</v>
      </c>
    </row>
    <row r="7" spans="1:10" x14ac:dyDescent="0.3">
      <c r="A7" s="59" t="s">
        <v>273</v>
      </c>
      <c r="B7" s="56">
        <f>Entrate_Uscite!B30</f>
        <v>0</v>
      </c>
      <c r="C7" s="56">
        <f>Entrate_Uscite!E30</f>
        <v>0</v>
      </c>
      <c r="D7" s="56">
        <f>Entrate_Uscite!H30</f>
        <v>0</v>
      </c>
      <c r="E7" s="56">
        <f>Entrate_Uscite!K30</f>
        <v>0</v>
      </c>
      <c r="F7" s="56">
        <f>Entrate_Uscite!N30</f>
        <v>0</v>
      </c>
      <c r="G7" s="56">
        <f t="shared" si="0"/>
        <v>0</v>
      </c>
      <c r="H7" s="57" t="str">
        <f t="shared" si="1"/>
        <v>-</v>
      </c>
      <c r="I7" s="56">
        <f>Entrate_Uscite!O30</f>
        <v>0</v>
      </c>
      <c r="J7" s="58" t="str">
        <f t="shared" si="2"/>
        <v>-</v>
      </c>
    </row>
    <row r="8" spans="1:10" x14ac:dyDescent="0.3">
      <c r="A8" s="59" t="s">
        <v>274</v>
      </c>
      <c r="B8" s="56">
        <f>Entrate_Uscite!B31</f>
        <v>743947.15</v>
      </c>
      <c r="C8" s="56">
        <f>Entrate_Uscite!E31</f>
        <v>385000</v>
      </c>
      <c r="D8" s="56">
        <f>Entrate_Uscite!H31</f>
        <v>226327.66</v>
      </c>
      <c r="E8" s="56">
        <f>Entrate_Uscite!K31</f>
        <v>365178.06</v>
      </c>
      <c r="F8" s="56">
        <f>Entrate_Uscite!N31</f>
        <v>375529.5</v>
      </c>
      <c r="G8" s="56">
        <f t="shared" si="0"/>
        <v>3.0811802495170123E-3</v>
      </c>
      <c r="H8" s="57">
        <f t="shared" si="1"/>
        <v>2.8346281263447111</v>
      </c>
      <c r="I8" s="56">
        <f>Entrate_Uscite!O31</f>
        <v>115244.44</v>
      </c>
      <c r="J8" s="58">
        <f t="shared" si="2"/>
        <v>30.68851847857492</v>
      </c>
    </row>
    <row r="9" spans="1:10" x14ac:dyDescent="0.3">
      <c r="A9" s="59" t="s">
        <v>275</v>
      </c>
      <c r="B9" s="56">
        <f>Entrate_Uscite!B32</f>
        <v>1637990.04</v>
      </c>
      <c r="C9" s="56">
        <f>Entrate_Uscite!E32</f>
        <v>3648154.99</v>
      </c>
      <c r="D9" s="56">
        <f>Entrate_Uscite!H32</f>
        <v>55543199.75</v>
      </c>
      <c r="E9" s="56">
        <f>Entrate_Uscite!K32</f>
        <v>3169395.59</v>
      </c>
      <c r="F9" s="56">
        <f>Entrate_Uscite!N32</f>
        <v>4823768.1500000004</v>
      </c>
      <c r="G9" s="56">
        <f t="shared" si="0"/>
        <v>3.9578512878560054E-2</v>
      </c>
      <c r="H9" s="57">
        <f t="shared" si="1"/>
        <v>52.198361265467668</v>
      </c>
      <c r="I9" s="56">
        <f>Entrate_Uscite!O32</f>
        <v>3763161.45</v>
      </c>
      <c r="J9" s="58">
        <f t="shared" si="2"/>
        <v>78.012900557834641</v>
      </c>
    </row>
    <row r="10" spans="1:10" x14ac:dyDescent="0.3">
      <c r="A10" s="4" t="s">
        <v>280</v>
      </c>
      <c r="B10" s="43">
        <f>SUM(B2:B9)</f>
        <v>10443721876.029999</v>
      </c>
      <c r="C10" s="43">
        <f>SUM(C2:C9)</f>
        <v>10585342484.739998</v>
      </c>
      <c r="D10" s="43">
        <f>SUM(D2:D9)</f>
        <v>10576218646.799999</v>
      </c>
      <c r="E10" s="43">
        <f>SUM(E2:E9)</f>
        <v>10575978328.189999</v>
      </c>
      <c r="F10" s="43">
        <f>SUM(F2:F9)</f>
        <v>11256658995.559998</v>
      </c>
      <c r="G10" s="43">
        <f t="shared" si="0"/>
        <v>92.359709084552549</v>
      </c>
      <c r="H10" s="44">
        <f t="shared" si="1"/>
        <v>6.4361011931696339</v>
      </c>
      <c r="I10" s="43">
        <f>SUM(I2:I9)</f>
        <v>9971920160.4900017</v>
      </c>
      <c r="J10" s="45">
        <f t="shared" ref="J10:J17" si="3">IF(F10&gt;0,I10/F10*100,"-")</f>
        <v>88.586854806770461</v>
      </c>
    </row>
    <row r="11" spans="1:10" x14ac:dyDescent="0.3">
      <c r="A11" s="59" t="s">
        <v>276</v>
      </c>
      <c r="B11" s="56">
        <f>Entrate_Uscite!B34</f>
        <v>128903794.27</v>
      </c>
      <c r="C11" s="56">
        <f>Entrate_Uscite!E34</f>
        <v>75674160.75</v>
      </c>
      <c r="D11" s="56">
        <f>Entrate_Uscite!H34</f>
        <v>39038810.060000002</v>
      </c>
      <c r="E11" s="56">
        <f>Entrate_Uscite!K34</f>
        <v>69307767.189999998</v>
      </c>
      <c r="F11" s="56">
        <f>Entrate_Uscite!N34</f>
        <v>76693757.189999998</v>
      </c>
      <c r="G11" s="56">
        <f t="shared" si="0"/>
        <v>0.62926425198308344</v>
      </c>
      <c r="H11" s="57">
        <f t="shared" si="1"/>
        <v>10.656799806798105</v>
      </c>
      <c r="I11" s="56">
        <f>Entrate_Uscite!O34</f>
        <v>49627856.299999997</v>
      </c>
      <c r="J11" s="58">
        <f t="shared" si="3"/>
        <v>64.709121209243492</v>
      </c>
    </row>
    <row r="12" spans="1:10" x14ac:dyDescent="0.3">
      <c r="A12" s="59" t="s">
        <v>277</v>
      </c>
      <c r="B12" s="56">
        <f>Entrate_Uscite!B35</f>
        <v>414331666.01999998</v>
      </c>
      <c r="C12" s="56">
        <f>Entrate_Uscite!E35</f>
        <v>275041775.36000001</v>
      </c>
      <c r="D12" s="56">
        <f>Entrate_Uscite!H35</f>
        <v>227891151.46000001</v>
      </c>
      <c r="E12" s="56">
        <f>Entrate_Uscite!K35</f>
        <v>454022681.80000001</v>
      </c>
      <c r="F12" s="56">
        <f>Entrate_Uscite!N35</f>
        <v>328097445.63</v>
      </c>
      <c r="G12" s="56">
        <f t="shared" si="0"/>
        <v>2.6920052070267122</v>
      </c>
      <c r="H12" s="57">
        <f t="shared" si="1"/>
        <v>-27.735450500129616</v>
      </c>
      <c r="I12" s="56">
        <f>Entrate_Uscite!O35</f>
        <v>108884874.73</v>
      </c>
      <c r="J12" s="58">
        <f t="shared" si="3"/>
        <v>33.186748687093093</v>
      </c>
    </row>
    <row r="13" spans="1:10" x14ac:dyDescent="0.3">
      <c r="A13" s="59" t="s">
        <v>278</v>
      </c>
      <c r="B13" s="56">
        <f>Entrate_Uscite!B36</f>
        <v>71035310.5</v>
      </c>
      <c r="C13" s="56">
        <f>Entrate_Uscite!E36</f>
        <v>94899083.569999993</v>
      </c>
      <c r="D13" s="56">
        <f>Entrate_Uscite!H36</f>
        <v>153725830.97999999</v>
      </c>
      <c r="E13" s="56">
        <f>Entrate_Uscite!K36</f>
        <v>137461954.25999999</v>
      </c>
      <c r="F13" s="56">
        <f>Entrate_Uscite!N36</f>
        <v>217838425.03</v>
      </c>
      <c r="G13" s="56">
        <f t="shared" si="0"/>
        <v>1.7873414812639976</v>
      </c>
      <c r="H13" s="57">
        <f t="shared" si="1"/>
        <v>58.471794033986555</v>
      </c>
      <c r="I13" s="56">
        <f>Entrate_Uscite!O36</f>
        <v>129198394.79000001</v>
      </c>
      <c r="J13" s="58">
        <f t="shared" si="3"/>
        <v>59.309276943315773</v>
      </c>
    </row>
    <row r="14" spans="1:10" x14ac:dyDescent="0.3">
      <c r="A14" s="59" t="s">
        <v>279</v>
      </c>
      <c r="B14" s="56">
        <f>Entrate_Uscite!B37</f>
        <v>1612000</v>
      </c>
      <c r="C14" s="56">
        <f>Entrate_Uscite!E37</f>
        <v>664187.38</v>
      </c>
      <c r="D14" s="56">
        <f>Entrate_Uscite!H37</f>
        <v>12933.81</v>
      </c>
      <c r="E14" s="56">
        <f>Entrate_Uscite!K37</f>
        <v>1481238.58</v>
      </c>
      <c r="F14" s="56">
        <f>Entrate_Uscite!N37</f>
        <v>1326601.8999999999</v>
      </c>
      <c r="G14" s="56">
        <f t="shared" si="0"/>
        <v>1.0884629764776782E-2</v>
      </c>
      <c r="H14" s="111">
        <f t="shared" si="1"/>
        <v>-10.439687575515364</v>
      </c>
      <c r="I14" s="56">
        <f>Entrate_Uscite!O37</f>
        <v>1159069.8</v>
      </c>
      <c r="J14" s="58">
        <f t="shared" si="3"/>
        <v>87.371335741340346</v>
      </c>
    </row>
    <row r="15" spans="1:10" x14ac:dyDescent="0.3">
      <c r="A15" s="4" t="s">
        <v>281</v>
      </c>
      <c r="B15" s="46">
        <f>SUM(B11:B14)</f>
        <v>615882770.78999996</v>
      </c>
      <c r="C15" s="46">
        <f>SUM(C11:C14)</f>
        <v>446279207.06</v>
      </c>
      <c r="D15" s="46">
        <f>SUM(D11:D14)</f>
        <v>420668726.31</v>
      </c>
      <c r="E15" s="46">
        <f>SUM(E11:E14)</f>
        <v>662273641.83000004</v>
      </c>
      <c r="F15" s="46">
        <f>SUM(F11:F14)</f>
        <v>623956229.75</v>
      </c>
      <c r="G15" s="46">
        <f t="shared" si="0"/>
        <v>5.1194955700385698</v>
      </c>
      <c r="H15" s="44">
        <f t="shared" si="1"/>
        <v>-5.7857371424478004</v>
      </c>
      <c r="I15" s="46">
        <f>SUM(I11:I14)</f>
        <v>288870195.62</v>
      </c>
      <c r="J15" s="45">
        <f t="shared" si="3"/>
        <v>46.296548034425648</v>
      </c>
    </row>
    <row r="16" spans="1:10" x14ac:dyDescent="0.3">
      <c r="A16" s="59" t="s">
        <v>282</v>
      </c>
      <c r="B16" s="56">
        <f>Entrate_Uscite!B38</f>
        <v>129382499</v>
      </c>
      <c r="C16" s="56">
        <f>Entrate_Uscite!E38</f>
        <v>0</v>
      </c>
      <c r="D16" s="56">
        <f>Entrate_Uscite!H38</f>
        <v>352411.2</v>
      </c>
      <c r="E16" s="56">
        <f>Entrate_Uscite!K38</f>
        <v>68094.28</v>
      </c>
      <c r="F16" s="56">
        <f>Entrate_Uscite!N38</f>
        <v>0</v>
      </c>
      <c r="G16" s="56">
        <f t="shared" si="0"/>
        <v>0</v>
      </c>
      <c r="H16" s="57">
        <f t="shared" si="1"/>
        <v>-100</v>
      </c>
      <c r="I16" s="56">
        <f>Entrate_Uscite!O38</f>
        <v>0</v>
      </c>
      <c r="J16" s="58" t="str">
        <f t="shared" si="3"/>
        <v>-</v>
      </c>
    </row>
    <row r="17" spans="1:10" x14ac:dyDescent="0.3">
      <c r="A17" s="59" t="s">
        <v>283</v>
      </c>
      <c r="B17" s="56">
        <f>Entrate_Uscite!B39</f>
        <v>0</v>
      </c>
      <c r="C17" s="56">
        <f>Entrate_Uscite!E39</f>
        <v>0</v>
      </c>
      <c r="D17" s="56">
        <f>Entrate_Uscite!H39</f>
        <v>0</v>
      </c>
      <c r="E17" s="56">
        <f>Entrate_Uscite!K39</f>
        <v>0</v>
      </c>
      <c r="F17" s="56">
        <f>Entrate_Uscite!N39</f>
        <v>0</v>
      </c>
      <c r="G17" s="56">
        <f t="shared" si="0"/>
        <v>0</v>
      </c>
      <c r="H17" s="57" t="str">
        <f t="shared" si="1"/>
        <v>-</v>
      </c>
      <c r="I17" s="56">
        <f>Entrate_Uscite!O39</f>
        <v>0</v>
      </c>
      <c r="J17" s="58" t="str">
        <f t="shared" si="3"/>
        <v>-</v>
      </c>
    </row>
    <row r="18" spans="1:10" x14ac:dyDescent="0.3">
      <c r="A18" s="59" t="s">
        <v>284</v>
      </c>
      <c r="B18" s="56">
        <f>Entrate_Uscite!B40</f>
        <v>578080.62</v>
      </c>
      <c r="C18" s="56">
        <f>Entrate_Uscite!E40</f>
        <v>0</v>
      </c>
      <c r="D18" s="56">
        <f>Entrate_Uscite!H40</f>
        <v>0</v>
      </c>
      <c r="E18" s="56">
        <f>Entrate_Uscite!K40</f>
        <v>1715865</v>
      </c>
      <c r="F18" s="56">
        <f>Entrate_Uscite!N40</f>
        <v>3449807.82</v>
      </c>
      <c r="G18" s="56">
        <f t="shared" si="0"/>
        <v>2.8305312151544259E-2</v>
      </c>
      <c r="H18" s="57">
        <f t="shared" si="1"/>
        <v>101.05356889965117</v>
      </c>
      <c r="I18" s="56">
        <f>Entrate_Uscite!O40</f>
        <v>0</v>
      </c>
      <c r="J18" s="58">
        <f t="shared" ref="J18:J26" si="4">IF(F18&gt;0,I18/F18*100,"-")</f>
        <v>0</v>
      </c>
    </row>
    <row r="19" spans="1:10" x14ac:dyDescent="0.3">
      <c r="A19" s="59" t="s">
        <v>285</v>
      </c>
      <c r="B19" s="56">
        <f>Entrate_Uscite!B41</f>
        <v>0</v>
      </c>
      <c r="C19" s="56">
        <f>Entrate_Uscite!E41</f>
        <v>0</v>
      </c>
      <c r="D19" s="56">
        <f>Entrate_Uscite!H41</f>
        <v>230512616.84</v>
      </c>
      <c r="E19" s="56">
        <f>Entrate_Uscite!K41</f>
        <v>264286345.53</v>
      </c>
      <c r="F19" s="56">
        <f>Entrate_Uscite!N41</f>
        <v>221792627.27000001</v>
      </c>
      <c r="G19" s="56">
        <f t="shared" si="0"/>
        <v>1.8197852968483499</v>
      </c>
      <c r="H19" s="57">
        <f t="shared" si="1"/>
        <v>-16.078665802723577</v>
      </c>
      <c r="I19" s="56">
        <f>Entrate_Uscite!O41</f>
        <v>221792627.27000001</v>
      </c>
      <c r="J19" s="58">
        <f t="shared" si="4"/>
        <v>100</v>
      </c>
    </row>
    <row r="20" spans="1:10" x14ac:dyDescent="0.3">
      <c r="A20" s="4" t="s">
        <v>286</v>
      </c>
      <c r="B20" s="43">
        <f>SUM(B16:B19)</f>
        <v>129960579.62</v>
      </c>
      <c r="C20" s="43">
        <f>SUM(C16:C19)</f>
        <v>0</v>
      </c>
      <c r="D20" s="43">
        <f>SUM(D16:D19)</f>
        <v>230865028.03999999</v>
      </c>
      <c r="E20" s="43">
        <f>SUM(E16:E19)</f>
        <v>266070304.81</v>
      </c>
      <c r="F20" s="43">
        <f>SUM(F16:F19)</f>
        <v>225242435.09</v>
      </c>
      <c r="G20" s="43">
        <f t="shared" si="0"/>
        <v>1.8480906089998941</v>
      </c>
      <c r="H20" s="44">
        <f t="shared" si="1"/>
        <v>-15.344767522687306</v>
      </c>
      <c r="I20" s="43">
        <f>SUM(I16:I19)</f>
        <v>221792627.27000001</v>
      </c>
      <c r="J20" s="40">
        <f t="shared" si="4"/>
        <v>98.468402360051925</v>
      </c>
    </row>
    <row r="21" spans="1:10" x14ac:dyDescent="0.3">
      <c r="A21" s="47" t="s">
        <v>344</v>
      </c>
      <c r="B21" s="48">
        <f>B10+B15+B20</f>
        <v>11189565226.440001</v>
      </c>
      <c r="C21" s="48">
        <f>C10+C15+C20</f>
        <v>11031621691.799997</v>
      </c>
      <c r="D21" s="48">
        <f>D10+D15+D20</f>
        <v>11227752401.15</v>
      </c>
      <c r="E21" s="48">
        <f>E10+E15+E20</f>
        <v>11504322274.829998</v>
      </c>
      <c r="F21" s="48">
        <f>F10+F15+F20</f>
        <v>12105857660.399998</v>
      </c>
      <c r="G21" s="48">
        <f>F21/F$31*100</f>
        <v>99.327295263591012</v>
      </c>
      <c r="H21" s="49">
        <f t="shared" si="1"/>
        <v>5.2287772473662528</v>
      </c>
      <c r="I21" s="48">
        <f>I10+I15+I20</f>
        <v>10482582983.380003</v>
      </c>
      <c r="J21" s="50">
        <f>IF(F21&gt;0,I21/F21*100,"-")</f>
        <v>86.590998155133121</v>
      </c>
    </row>
    <row r="22" spans="1:10" x14ac:dyDescent="0.3">
      <c r="A22" s="59" t="s">
        <v>287</v>
      </c>
      <c r="B22" s="60">
        <f>Entrate_Uscite!B42</f>
        <v>40787874.609999999</v>
      </c>
      <c r="C22" s="60">
        <f>Entrate_Uscite!E42</f>
        <v>42963745.600000001</v>
      </c>
      <c r="D22" s="60">
        <f>Entrate_Uscite!H42</f>
        <v>45880791.200000003</v>
      </c>
      <c r="E22" s="60">
        <f>Entrate_Uscite!K42</f>
        <v>49096833.710000001</v>
      </c>
      <c r="F22" s="60">
        <f>Entrate_Uscite!N42</f>
        <v>52642520.509999998</v>
      </c>
      <c r="G22" s="60">
        <f t="shared" si="0"/>
        <v>0.43192637191007954</v>
      </c>
      <c r="H22" s="61">
        <f t="shared" si="1"/>
        <v>7.2218237553633173</v>
      </c>
      <c r="I22" s="60">
        <f>Entrate_Uscite!O42</f>
        <v>52642520.509999998</v>
      </c>
      <c r="J22" s="58">
        <f t="shared" si="4"/>
        <v>100</v>
      </c>
    </row>
    <row r="23" spans="1:10" x14ac:dyDescent="0.3">
      <c r="A23" s="59" t="s">
        <v>288</v>
      </c>
      <c r="B23" s="60">
        <f>Entrate_Uscite!B43</f>
        <v>0</v>
      </c>
      <c r="C23" s="60">
        <f>Entrate_Uscite!E43</f>
        <v>0</v>
      </c>
      <c r="D23" s="60">
        <f>Entrate_Uscite!H43</f>
        <v>0</v>
      </c>
      <c r="E23" s="60">
        <f>Entrate_Uscite!K43</f>
        <v>0</v>
      </c>
      <c r="F23" s="60">
        <f>Entrate_Uscite!N43</f>
        <v>0</v>
      </c>
      <c r="G23" s="60">
        <f t="shared" si="0"/>
        <v>0</v>
      </c>
      <c r="H23" s="61" t="str">
        <f t="shared" si="1"/>
        <v>-</v>
      </c>
      <c r="I23" s="60">
        <f>Entrate_Uscite!O43</f>
        <v>0</v>
      </c>
      <c r="J23" s="58" t="str">
        <f t="shared" si="4"/>
        <v>-</v>
      </c>
    </row>
    <row r="24" spans="1:10" x14ac:dyDescent="0.3">
      <c r="A24" s="59" t="s">
        <v>289</v>
      </c>
      <c r="B24" s="60">
        <f>Entrate_Uscite!B44</f>
        <v>192881091.25</v>
      </c>
      <c r="C24" s="60">
        <f>Entrate_Uscite!E44</f>
        <v>204158982.88</v>
      </c>
      <c r="D24" s="60">
        <f>Entrate_Uscite!H44</f>
        <v>149996199.63</v>
      </c>
      <c r="E24" s="60">
        <f>Entrate_Uscite!K44</f>
        <v>73226145.060000002</v>
      </c>
      <c r="F24" s="60">
        <f>Entrate_Uscite!N44</f>
        <v>29345695.969999999</v>
      </c>
      <c r="G24" s="60">
        <f t="shared" si="0"/>
        <v>0.24077836449891415</v>
      </c>
      <c r="H24" s="61">
        <f t="shared" si="1"/>
        <v>-59.924565268382302</v>
      </c>
      <c r="I24" s="60">
        <f>Entrate_Uscite!O44</f>
        <v>29345695.969999999</v>
      </c>
      <c r="J24" s="58">
        <f t="shared" si="4"/>
        <v>100</v>
      </c>
    </row>
    <row r="25" spans="1:10" x14ac:dyDescent="0.3">
      <c r="A25" s="59" t="s">
        <v>290</v>
      </c>
      <c r="B25" s="60">
        <f>Entrate_Uscite!B45</f>
        <v>0</v>
      </c>
      <c r="C25" s="60">
        <f>Entrate_Uscite!E45</f>
        <v>0</v>
      </c>
      <c r="D25" s="60">
        <f>Entrate_Uscite!H45</f>
        <v>0</v>
      </c>
      <c r="E25" s="60">
        <f>Entrate_Uscite!K45</f>
        <v>0</v>
      </c>
      <c r="F25" s="60">
        <f>Entrate_Uscite!N45</f>
        <v>0</v>
      </c>
      <c r="G25" s="60">
        <f t="shared" si="0"/>
        <v>0</v>
      </c>
      <c r="H25" s="61" t="str">
        <f t="shared" si="1"/>
        <v>-</v>
      </c>
      <c r="I25" s="60">
        <f>Entrate_Uscite!O45</f>
        <v>0</v>
      </c>
      <c r="J25" s="58" t="str">
        <f t="shared" si="4"/>
        <v>-</v>
      </c>
    </row>
    <row r="26" spans="1:10" x14ac:dyDescent="0.3">
      <c r="A26" s="59" t="s">
        <v>291</v>
      </c>
      <c r="B26" s="60">
        <f>Entrate_Uscite!B46</f>
        <v>0</v>
      </c>
      <c r="C26" s="60">
        <f>Entrate_Uscite!E46</f>
        <v>0</v>
      </c>
      <c r="D26" s="60">
        <f>Entrate_Uscite!H46</f>
        <v>0</v>
      </c>
      <c r="E26" s="60">
        <f>Entrate_Uscite!K46</f>
        <v>0</v>
      </c>
      <c r="F26" s="60">
        <f>Entrate_Uscite!N46</f>
        <v>0</v>
      </c>
      <c r="G26" s="60">
        <f t="shared" si="0"/>
        <v>0</v>
      </c>
      <c r="H26" s="61" t="str">
        <f t="shared" si="1"/>
        <v>-</v>
      </c>
      <c r="I26" s="60">
        <f>Entrate_Uscite!O46</f>
        <v>0</v>
      </c>
      <c r="J26" s="58" t="str">
        <f t="shared" si="4"/>
        <v>-</v>
      </c>
    </row>
    <row r="27" spans="1:10" x14ac:dyDescent="0.3">
      <c r="A27" s="4" t="s">
        <v>292</v>
      </c>
      <c r="B27" s="43">
        <f>SUM(B22:B26)</f>
        <v>233668965.86000001</v>
      </c>
      <c r="C27" s="43">
        <f>SUM(C22:C26)</f>
        <v>247122728.47999999</v>
      </c>
      <c r="D27" s="43">
        <f>SUM(D22:D26)</f>
        <v>195876990.82999998</v>
      </c>
      <c r="E27" s="43">
        <f>SUM(E22:E26)</f>
        <v>122322978.77000001</v>
      </c>
      <c r="F27" s="43">
        <f>SUM(F22:F26)</f>
        <v>81988216.479999989</v>
      </c>
      <c r="G27" s="43">
        <f t="shared" si="0"/>
        <v>0.67270473640899364</v>
      </c>
      <c r="H27" s="44">
        <f t="shared" si="1"/>
        <v>-32.973986323403864</v>
      </c>
      <c r="I27" s="43">
        <f>SUM(I22:I26)</f>
        <v>81988216.479999989</v>
      </c>
      <c r="J27" s="45">
        <f>IF(F27&gt;0,I27/F27*100,"-")</f>
        <v>100</v>
      </c>
    </row>
    <row r="28" spans="1:10" x14ac:dyDescent="0.3">
      <c r="A28" s="4" t="s">
        <v>293</v>
      </c>
      <c r="B28" s="43">
        <f>Entrate_Uscite!B54</f>
        <v>0</v>
      </c>
      <c r="C28" s="43">
        <f>Entrate_Uscite!E54</f>
        <v>0</v>
      </c>
      <c r="D28" s="43">
        <f>Entrate_Uscite!H54</f>
        <v>0</v>
      </c>
      <c r="E28" s="43">
        <f>Entrate_Uscite!K54</f>
        <v>0</v>
      </c>
      <c r="F28" s="43">
        <f>Entrate_Uscite!N54</f>
        <v>0</v>
      </c>
      <c r="G28" s="43">
        <f t="shared" si="0"/>
        <v>0</v>
      </c>
      <c r="H28" s="44" t="str">
        <f t="shared" si="1"/>
        <v>-</v>
      </c>
      <c r="I28" s="43">
        <f>Entrate_Uscite!O54</f>
        <v>0</v>
      </c>
      <c r="J28" s="45" t="str">
        <f>IF(F28&gt;0,I28/F28*100,"-")</f>
        <v>-</v>
      </c>
    </row>
    <row r="29" spans="1:10" x14ac:dyDescent="0.3">
      <c r="A29" s="4" t="s">
        <v>294</v>
      </c>
      <c r="B29" s="43">
        <f>Entrate_Uscite!B55</f>
        <v>2062503007.95</v>
      </c>
      <c r="C29" s="43">
        <f>Entrate_Uscite!E55</f>
        <v>1879258900.5799999</v>
      </c>
      <c r="D29" s="43">
        <f>Entrate_Uscite!H55</f>
        <v>1604485642.45</v>
      </c>
      <c r="E29" s="43">
        <f>Entrate_Uscite!K55</f>
        <v>1550595025.8500001</v>
      </c>
      <c r="F29" s="43">
        <f>Entrate_Uscite!N55</f>
        <v>1914969996.21</v>
      </c>
      <c r="G29" s="43"/>
      <c r="H29" s="44">
        <f t="shared" si="1"/>
        <v>23.499041612122923</v>
      </c>
      <c r="I29" s="43">
        <f>Entrate_Uscite!O55</f>
        <v>1314459365.8299999</v>
      </c>
      <c r="J29" s="45">
        <f>IF(F29&gt;0,I29/F29*100,"-")</f>
        <v>68.641251217068842</v>
      </c>
    </row>
    <row r="30" spans="1:10" x14ac:dyDescent="0.3">
      <c r="A30" s="47" t="s">
        <v>68</v>
      </c>
      <c r="B30" s="48">
        <f>B10+B15+B20+B27+B28+B29</f>
        <v>13485737200.250002</v>
      </c>
      <c r="C30" s="48">
        <f>C10+C15+C20+C27+C28+C29</f>
        <v>13158003320.859997</v>
      </c>
      <c r="D30" s="48">
        <f>D10+D15+D20+D27+D28+D29</f>
        <v>13028115034.43</v>
      </c>
      <c r="E30" s="48">
        <f>E10+E15+E20+E27+E28+E29</f>
        <v>13177240279.449999</v>
      </c>
      <c r="F30" s="48">
        <f>F10+F15+F20+F27+F28+F29</f>
        <v>14102815873.089996</v>
      </c>
      <c r="G30" s="48"/>
      <c r="H30" s="49">
        <f t="shared" si="1"/>
        <v>7.0240473271435917</v>
      </c>
      <c r="I30" s="48">
        <f>I10+I15+I20+I27+I28+I29</f>
        <v>11879030565.690002</v>
      </c>
      <c r="J30" s="50">
        <f>IF(F30&gt;0,I30/F30*100,"-")</f>
        <v>84.231622057526366</v>
      </c>
    </row>
    <row r="31" spans="1:10" x14ac:dyDescent="0.3">
      <c r="A31" s="38" t="s">
        <v>69</v>
      </c>
      <c r="B31" s="51">
        <f>B30-B29</f>
        <v>11423234192.300001</v>
      </c>
      <c r="C31" s="51">
        <f>C30-C29</f>
        <v>11278744420.279997</v>
      </c>
      <c r="D31" s="51">
        <f>D30-D29</f>
        <v>11423629391.98</v>
      </c>
      <c r="E31" s="51">
        <f>E30-E29</f>
        <v>11626645253.599998</v>
      </c>
      <c r="F31" s="51">
        <f>F30-F29</f>
        <v>12187845876.879997</v>
      </c>
      <c r="G31" s="51">
        <f t="shared" si="0"/>
        <v>100</v>
      </c>
      <c r="H31" s="52">
        <f t="shared" si="1"/>
        <v>4.826849112870562</v>
      </c>
      <c r="I31" s="51">
        <f>I30-I29</f>
        <v>10564571199.860003</v>
      </c>
      <c r="J31" s="53">
        <f>IF(F31&gt;0,I31/F31*100,"-")</f>
        <v>86.6812011456487</v>
      </c>
    </row>
    <row r="32" spans="1:10" x14ac:dyDescent="0.3">
      <c r="I32" s="6"/>
    </row>
    <row r="33" spans="9:9" x14ac:dyDescent="0.3">
      <c r="I33" s="6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showGridLines="0" workbookViewId="0">
      <selection activeCell="D14" sqref="D14"/>
    </sheetView>
  </sheetViews>
  <sheetFormatPr defaultRowHeight="14.4" x14ac:dyDescent="0.3"/>
  <cols>
    <col min="1" max="1" width="50.6640625" bestFit="1" customWidth="1"/>
    <col min="2" max="8" width="12.5546875" bestFit="1" customWidth="1"/>
  </cols>
  <sheetData>
    <row r="1" spans="1:8" x14ac:dyDescent="0.3">
      <c r="A1" s="41"/>
      <c r="B1" s="42">
        <v>2016</v>
      </c>
      <c r="C1" s="42">
        <v>2017</v>
      </c>
      <c r="D1" s="42">
        <v>2018</v>
      </c>
      <c r="E1" s="42">
        <v>2019</v>
      </c>
      <c r="F1" s="42">
        <v>2020</v>
      </c>
      <c r="G1" s="42" t="s">
        <v>264</v>
      </c>
      <c r="H1" s="42" t="s">
        <v>335</v>
      </c>
    </row>
    <row r="2" spans="1:8" x14ac:dyDescent="0.3">
      <c r="A2" s="62" t="s">
        <v>296</v>
      </c>
      <c r="B2" s="64">
        <f>Entrate_Uscite!B58</f>
        <v>483125292.55999947</v>
      </c>
      <c r="C2" s="64">
        <f>Entrate_Uscite!E58</f>
        <v>260224560.94000244</v>
      </c>
      <c r="D2" s="64">
        <f>Entrate_Uscite!H58</f>
        <v>545036765.50000191</v>
      </c>
      <c r="E2" s="64">
        <f>Entrate_Uscite!K58</f>
        <v>688662276.38999939</v>
      </c>
      <c r="F2" s="64">
        <f>Entrate_Uscite!N58</f>
        <v>504212900.43000221</v>
      </c>
      <c r="G2" s="64">
        <f>F2-E2</f>
        <v>-184449375.95999718</v>
      </c>
      <c r="H2" s="64">
        <f>Entrate_Uscite!O58</f>
        <v>302905980.73999977</v>
      </c>
    </row>
    <row r="3" spans="1:8" x14ac:dyDescent="0.3">
      <c r="A3" s="62" t="s">
        <v>71</v>
      </c>
      <c r="B3" s="64">
        <f>Entrate_Uscite!B59</f>
        <v>-281093130.04999995</v>
      </c>
      <c r="C3" s="64">
        <f>Entrate_Uscite!E59</f>
        <v>-190580461.22</v>
      </c>
      <c r="D3" s="64">
        <f>Entrate_Uscite!H59</f>
        <v>-194397068.56</v>
      </c>
      <c r="E3" s="64">
        <f>Entrate_Uscite!K59</f>
        <v>-264128914.78000003</v>
      </c>
      <c r="F3" s="64">
        <f>Entrate_Uscite!N59</f>
        <v>-355606908.38999999</v>
      </c>
      <c r="G3" s="64">
        <f t="shared" ref="G3:G6" si="0">F3-E3</f>
        <v>-91477993.609999955</v>
      </c>
      <c r="H3" s="64">
        <f>Entrate_Uscite!O59</f>
        <v>-231069437.83000001</v>
      </c>
    </row>
    <row r="4" spans="1:8" x14ac:dyDescent="0.3">
      <c r="A4" s="62" t="s">
        <v>299</v>
      </c>
      <c r="B4" s="65">
        <f>Entrate_Uscite!B16-Entrate_Uscite!B52</f>
        <v>-127819874.88000001</v>
      </c>
      <c r="C4" s="65">
        <f>Entrate_Uscite!E16-Entrate_Uscite!E52</f>
        <v>2601206.2199999997</v>
      </c>
      <c r="D4" s="65">
        <f>Entrate_Uscite!H16-Entrate_Uscite!H52</f>
        <v>5111723.130000025</v>
      </c>
      <c r="E4" s="65">
        <f>Entrate_Uscite!K16-Entrate_Uscite!K52</f>
        <v>121937786.87</v>
      </c>
      <c r="F4" s="65">
        <f>Entrate_Uscite!N16-Entrate_Uscite!N52</f>
        <v>112949576.16999999</v>
      </c>
      <c r="G4" s="64">
        <f t="shared" si="0"/>
        <v>-8988210.7000000179</v>
      </c>
      <c r="H4" s="65">
        <f>Entrate_Uscite!O16-Entrate_Uscite!O52</f>
        <v>94101828.270000011</v>
      </c>
    </row>
    <row r="5" spans="1:8" x14ac:dyDescent="0.3">
      <c r="A5" s="47" t="s">
        <v>297</v>
      </c>
      <c r="B5" s="66">
        <f>Entrate_Uscite!B60</f>
        <v>74212287.629997253</v>
      </c>
      <c r="C5" s="66">
        <f>Entrate_Uscite!E60</f>
        <v>72245305.940002441</v>
      </c>
      <c r="D5" s="66">
        <f>Entrate_Uscite!H60</f>
        <v>355751420.0700016</v>
      </c>
      <c r="E5" s="66">
        <f>Entrate_Uscite!K60</f>
        <v>546471148.47999954</v>
      </c>
      <c r="F5" s="66">
        <f>Entrate_Uscite!N60</f>
        <v>261555568.2100029</v>
      </c>
      <c r="G5" s="66">
        <f t="shared" si="0"/>
        <v>-284915580.26999664</v>
      </c>
      <c r="H5" s="66">
        <f>SUM(Entrate_Uscite!O14:O16)-SUM(Entrate_Uscite!O50:O52)</f>
        <v>165938371.18000031</v>
      </c>
    </row>
    <row r="6" spans="1:8" x14ac:dyDescent="0.3">
      <c r="A6" s="38" t="s">
        <v>298</v>
      </c>
      <c r="B6" s="67">
        <f>Entrate_Uscite!B61</f>
        <v>-136445518.09000397</v>
      </c>
      <c r="C6" s="67">
        <f>Entrate_Uscite!E61</f>
        <v>-173779896.5399971</v>
      </c>
      <c r="D6" s="67">
        <f>Entrate_Uscite!H61</f>
        <v>201389429.24000168</v>
      </c>
      <c r="E6" s="67">
        <f>Entrate_Uscite!K61</f>
        <v>465663169.70999908</v>
      </c>
      <c r="F6" s="67">
        <f>Entrate_Uscite!N61</f>
        <v>179567351.73000336</v>
      </c>
      <c r="G6" s="67">
        <f t="shared" si="0"/>
        <v>-286095817.97999573</v>
      </c>
      <c r="H6" s="67">
        <f>Entrate_Uscite!O61</f>
        <v>83950154.700000763</v>
      </c>
    </row>
    <row r="7" spans="1:8" x14ac:dyDescent="0.3">
      <c r="H7" s="6"/>
    </row>
    <row r="8" spans="1:8" x14ac:dyDescent="0.3">
      <c r="H8" s="6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showGridLines="0" workbookViewId="0">
      <selection activeCell="G20" sqref="G20"/>
    </sheetView>
  </sheetViews>
  <sheetFormatPr defaultRowHeight="14.4" x14ac:dyDescent="0.3"/>
  <cols>
    <col min="1" max="1" width="36.44140625" bestFit="1" customWidth="1"/>
    <col min="2" max="7" width="13.5546875" bestFit="1" customWidth="1"/>
    <col min="9" max="9" width="13.5546875" bestFit="1" customWidth="1"/>
    <col min="10" max="10" width="10" bestFit="1" customWidth="1"/>
  </cols>
  <sheetData>
    <row r="1" spans="1:9" x14ac:dyDescent="0.3">
      <c r="A1" s="41"/>
      <c r="B1" s="96">
        <v>2015</v>
      </c>
      <c r="C1" s="96">
        <v>2016</v>
      </c>
      <c r="D1" s="96">
        <v>2017</v>
      </c>
      <c r="E1" s="69">
        <v>2018</v>
      </c>
      <c r="F1" s="96">
        <v>2019</v>
      </c>
      <c r="G1" s="96">
        <v>2020</v>
      </c>
    </row>
    <row r="2" spans="1:9" x14ac:dyDescent="0.3">
      <c r="A2" t="s">
        <v>5</v>
      </c>
      <c r="B2" s="1">
        <v>421064843.48000002</v>
      </c>
      <c r="C2" s="1">
        <v>502523805.56999999</v>
      </c>
      <c r="D2" s="1">
        <v>165910479.88</v>
      </c>
      <c r="E2" s="1">
        <v>298680503.5</v>
      </c>
      <c r="F2" s="1">
        <v>161427898.69999999</v>
      </c>
      <c r="G2" s="1">
        <v>210549553.59</v>
      </c>
    </row>
    <row r="3" spans="1:9" x14ac:dyDescent="0.3">
      <c r="A3" t="s">
        <v>6</v>
      </c>
      <c r="B3" s="1">
        <v>4659540322.8299999</v>
      </c>
      <c r="C3" s="1">
        <v>4749533025.8800001</v>
      </c>
      <c r="D3" s="1">
        <v>5459393844.6499996</v>
      </c>
      <c r="E3" s="1">
        <v>6079862357.8999996</v>
      </c>
      <c r="F3" s="1">
        <v>5616454946.0900002</v>
      </c>
      <c r="G3" s="1">
        <v>5748812796.4899998</v>
      </c>
    </row>
    <row r="4" spans="1:9" x14ac:dyDescent="0.3">
      <c r="A4" t="s">
        <v>7</v>
      </c>
      <c r="B4" s="1">
        <v>5848047404.8100004</v>
      </c>
      <c r="C4" s="1">
        <v>6343531556.7299995</v>
      </c>
      <c r="D4" s="1">
        <v>7175497725.1499996</v>
      </c>
      <c r="E4" s="1">
        <v>7961236793.9399996</v>
      </c>
      <c r="F4" s="1">
        <v>6844848072.5799999</v>
      </c>
      <c r="G4" s="1">
        <v>6862874596.9099998</v>
      </c>
    </row>
    <row r="5" spans="1:9" x14ac:dyDescent="0.3">
      <c r="A5" t="s">
        <v>8</v>
      </c>
      <c r="B5" s="1">
        <v>73716667.629999995</v>
      </c>
      <c r="C5" s="1">
        <v>147339721.11000001</v>
      </c>
      <c r="D5" s="1">
        <v>119356538.84999999</v>
      </c>
      <c r="E5" s="1">
        <v>159429784.71000001</v>
      </c>
      <c r="F5" s="1">
        <v>220300058.24000001</v>
      </c>
      <c r="G5" s="1">
        <v>277688938.5</v>
      </c>
    </row>
    <row r="6" spans="1:9" x14ac:dyDescent="0.3">
      <c r="A6" t="s">
        <v>355</v>
      </c>
      <c r="B6" s="1">
        <v>590903292.58000004</v>
      </c>
      <c r="C6" s="1">
        <v>246055632.31999999</v>
      </c>
      <c r="D6" s="1">
        <v>168151250.72</v>
      </c>
      <c r="E6" s="1">
        <v>212938374.31</v>
      </c>
      <c r="F6" s="1">
        <v>343165865.98000002</v>
      </c>
      <c r="G6" s="1">
        <v>354809892.36000001</v>
      </c>
    </row>
    <row r="7" spans="1:9" x14ac:dyDescent="0.3">
      <c r="A7" s="4" t="s">
        <v>0</v>
      </c>
      <c r="B7" s="3">
        <f t="shared" ref="B7:D7" si="0">B2+B3-B4-B5-B6</f>
        <v>-1432062198.710001</v>
      </c>
      <c r="C7" s="3">
        <f t="shared" si="0"/>
        <v>-1484870078.7099998</v>
      </c>
      <c r="D7" s="3">
        <f t="shared" si="0"/>
        <v>-1837701190.1899998</v>
      </c>
      <c r="E7" s="3">
        <f>E2+E3-E4-E5-E6</f>
        <v>-1955062091.5599999</v>
      </c>
      <c r="F7" s="3">
        <f>F2+F3-F4-F5-F6</f>
        <v>-1630431152.01</v>
      </c>
      <c r="G7" s="3">
        <f>G2+G3-G4-G5-G6</f>
        <v>-1536011077.6900001</v>
      </c>
    </row>
    <row r="8" spans="1:9" x14ac:dyDescent="0.3">
      <c r="A8" t="s">
        <v>9</v>
      </c>
      <c r="B8" s="1">
        <v>754203300.11000001</v>
      </c>
      <c r="C8" s="1">
        <v>537126442.5</v>
      </c>
      <c r="D8" s="1">
        <v>324662324.49000001</v>
      </c>
      <c r="E8" s="1">
        <v>201758834.90000001</v>
      </c>
      <c r="F8" s="1">
        <v>232085452.03</v>
      </c>
      <c r="G8" s="1">
        <v>261076695.34999999</v>
      </c>
    </row>
    <row r="9" spans="1:9" x14ac:dyDescent="0.3">
      <c r="A9" t="s">
        <v>349</v>
      </c>
      <c r="B9" s="1">
        <v>103560177.12</v>
      </c>
      <c r="C9" s="1">
        <v>112233741.08</v>
      </c>
      <c r="D9" s="1">
        <v>64182891.689999998</v>
      </c>
      <c r="E9" s="1">
        <v>49427853.259999998</v>
      </c>
      <c r="F9" s="1">
        <v>45357795.710000001</v>
      </c>
      <c r="G9" s="1">
        <v>13475058.02</v>
      </c>
    </row>
    <row r="10" spans="1:9" x14ac:dyDescent="0.3">
      <c r="A10" t="s">
        <v>10</v>
      </c>
      <c r="B10" s="1">
        <f>3039313610.92+1761731110.35</f>
        <v>4801044721.2700005</v>
      </c>
      <c r="C10" s="1">
        <v>4650044721.2700005</v>
      </c>
      <c r="D10" s="1">
        <v>4427544721.2700005</v>
      </c>
      <c r="E10" s="1">
        <v>4209235336.27</v>
      </c>
      <c r="F10" s="1">
        <v>3990925951.27</v>
      </c>
      <c r="G10" s="1">
        <v>3772616566.27</v>
      </c>
    </row>
    <row r="11" spans="1:9" x14ac:dyDescent="0.3">
      <c r="A11" t="s">
        <v>11</v>
      </c>
      <c r="B11" s="1">
        <v>0</v>
      </c>
      <c r="C11" s="1">
        <v>13000000</v>
      </c>
      <c r="D11" s="1">
        <v>13000000</v>
      </c>
      <c r="E11" s="1">
        <v>1000000</v>
      </c>
      <c r="F11" s="1">
        <v>1000000</v>
      </c>
      <c r="G11" s="1">
        <v>1000000</v>
      </c>
    </row>
    <row r="12" spans="1:9" x14ac:dyDescent="0.3">
      <c r="A12" t="s">
        <v>12</v>
      </c>
      <c r="B12" s="1">
        <v>0</v>
      </c>
      <c r="C12" s="1">
        <v>137960130.25</v>
      </c>
      <c r="D12" s="1">
        <v>95489179.689999998</v>
      </c>
      <c r="E12" s="1">
        <v>16000693.449999999</v>
      </c>
      <c r="F12" s="1">
        <v>18531729</v>
      </c>
      <c r="G12" s="1">
        <v>29469254.760000002</v>
      </c>
    </row>
    <row r="13" spans="1:9" x14ac:dyDescent="0.3">
      <c r="A13" t="s">
        <v>13</v>
      </c>
      <c r="B13" s="1">
        <f>57971163+45482188.35+28983087.62+54749387.77</f>
        <v>187185826.74000001</v>
      </c>
      <c r="C13" s="1">
        <v>250230670.53</v>
      </c>
      <c r="D13" s="1">
        <v>43713440.740000002</v>
      </c>
      <c r="E13" s="1">
        <v>35594423</v>
      </c>
      <c r="F13" s="1">
        <v>30354269</v>
      </c>
      <c r="G13" s="1">
        <v>51361277</v>
      </c>
    </row>
    <row r="14" spans="1:9" x14ac:dyDescent="0.3">
      <c r="A14" s="4" t="s">
        <v>1</v>
      </c>
      <c r="B14" s="3">
        <f t="shared" ref="B14:D14" si="1">SUM(B8:B13)</f>
        <v>5845994025.2399998</v>
      </c>
      <c r="C14" s="3">
        <f t="shared" si="1"/>
        <v>5700595705.6300001</v>
      </c>
      <c r="D14" s="3">
        <f t="shared" si="1"/>
        <v>4968592557.8800001</v>
      </c>
      <c r="E14" s="3">
        <f>SUM(E8:E13)</f>
        <v>4513017140.8800001</v>
      </c>
      <c r="F14" s="3">
        <f>SUM(F8:F13)</f>
        <v>4318255197.0100002</v>
      </c>
      <c r="G14" s="3">
        <f>SUM(G8:G13)</f>
        <v>4128998851.4000001</v>
      </c>
      <c r="H14" s="99"/>
      <c r="I14" s="99"/>
    </row>
    <row r="15" spans="1:9" x14ac:dyDescent="0.3">
      <c r="A15" t="s">
        <v>15</v>
      </c>
      <c r="B15" s="1">
        <v>0</v>
      </c>
      <c r="C15" s="1">
        <v>0</v>
      </c>
      <c r="D15" s="1">
        <v>61494362.280000001</v>
      </c>
      <c r="E15" s="1">
        <v>12180875.01</v>
      </c>
      <c r="F15" s="1">
        <v>21648073.41</v>
      </c>
      <c r="G15" s="1">
        <v>33986049.710000001</v>
      </c>
    </row>
    <row r="16" spans="1:9" x14ac:dyDescent="0.3">
      <c r="A16" t="s">
        <v>14</v>
      </c>
      <c r="B16" s="1">
        <v>18191130.079999998</v>
      </c>
      <c r="C16" s="1">
        <v>10332747.23</v>
      </c>
      <c r="D16" s="1">
        <v>62752809.329999998</v>
      </c>
      <c r="E16" s="1">
        <v>125008412.31999999</v>
      </c>
      <c r="F16" s="1">
        <v>154743572.66999999</v>
      </c>
      <c r="G16" s="1">
        <v>190632196.03</v>
      </c>
    </row>
    <row r="17" spans="1:7" x14ac:dyDescent="0.3">
      <c r="A17" t="s">
        <v>16</v>
      </c>
      <c r="B17" s="1">
        <v>0</v>
      </c>
      <c r="C17" s="1">
        <v>0</v>
      </c>
      <c r="D17" s="1">
        <v>0</v>
      </c>
      <c r="E17" s="1">
        <v>0</v>
      </c>
      <c r="F17" s="1">
        <v>1702484.61</v>
      </c>
      <c r="G17" s="1">
        <v>1343704.97</v>
      </c>
    </row>
    <row r="18" spans="1:7" x14ac:dyDescent="0.3">
      <c r="A18" t="s">
        <v>17</v>
      </c>
      <c r="B18" s="1">
        <v>0</v>
      </c>
      <c r="C18" s="1">
        <v>0</v>
      </c>
      <c r="D18" s="1">
        <v>0</v>
      </c>
      <c r="E18" s="1">
        <v>0</v>
      </c>
      <c r="F18" s="1">
        <v>101860224.11</v>
      </c>
      <c r="G18" s="1">
        <v>12396424.109999999</v>
      </c>
    </row>
    <row r="19" spans="1:7" x14ac:dyDescent="0.3">
      <c r="A19" t="s">
        <v>18</v>
      </c>
      <c r="B19" s="1">
        <v>420814844.44</v>
      </c>
      <c r="C19" s="1">
        <v>366772610.57999998</v>
      </c>
      <c r="D19" s="1">
        <v>0</v>
      </c>
      <c r="E19" s="1">
        <v>0</v>
      </c>
      <c r="F19" s="1">
        <v>0</v>
      </c>
      <c r="G19" s="1">
        <v>0</v>
      </c>
    </row>
    <row r="20" spans="1:7" x14ac:dyDescent="0.3">
      <c r="A20" s="4" t="s">
        <v>2</v>
      </c>
      <c r="B20" s="3">
        <f t="shared" ref="B20:D20" si="2">SUM(B15:B19)</f>
        <v>439005974.51999998</v>
      </c>
      <c r="C20" s="3">
        <f t="shared" si="2"/>
        <v>377105357.81</v>
      </c>
      <c r="D20" s="3">
        <f t="shared" si="2"/>
        <v>124247171.61</v>
      </c>
      <c r="E20" s="3">
        <f>SUM(E15:E19)</f>
        <v>137189287.32999998</v>
      </c>
      <c r="F20" s="3">
        <f>SUM(F15:F19)</f>
        <v>279954354.80000001</v>
      </c>
      <c r="G20" s="3">
        <f>SUM(G15:G19)</f>
        <v>238358374.81999999</v>
      </c>
    </row>
    <row r="21" spans="1:7" x14ac:dyDescent="0.3">
      <c r="A21" s="4" t="s">
        <v>3</v>
      </c>
      <c r="B21" s="3">
        <v>0</v>
      </c>
      <c r="C21" s="3">
        <v>0</v>
      </c>
      <c r="D21" s="3">
        <v>0</v>
      </c>
      <c r="E21" s="3">
        <v>0</v>
      </c>
      <c r="F21" s="3">
        <v>0</v>
      </c>
      <c r="G21" s="3">
        <v>0</v>
      </c>
    </row>
    <row r="22" spans="1:7" x14ac:dyDescent="0.3">
      <c r="A22" s="70" t="s">
        <v>4</v>
      </c>
      <c r="B22" s="37">
        <f t="shared" ref="B22:C22" si="3">B7-B14-B20-B21</f>
        <v>-7717062198.4700012</v>
      </c>
      <c r="C22" s="37">
        <f t="shared" si="3"/>
        <v>-7562571142.1500006</v>
      </c>
      <c r="D22" s="37">
        <f>D7-D14-D20-D21</f>
        <v>-6930540919.6799994</v>
      </c>
      <c r="E22" s="37">
        <f>E7-E14-E20-E21</f>
        <v>-6605268519.7700005</v>
      </c>
      <c r="F22" s="37">
        <f>F7-F14-F20-F21</f>
        <v>-6228640703.8200006</v>
      </c>
      <c r="G22" s="37">
        <f>G7-G14-G20-G21</f>
        <v>-5903368303.9099998</v>
      </c>
    </row>
    <row r="23" spans="1:7" x14ac:dyDescent="0.3">
      <c r="B23" s="1"/>
      <c r="C23" s="1">
        <v>-257754490.84</v>
      </c>
      <c r="D23" s="1">
        <v>-396639299.69999999</v>
      </c>
      <c r="E23" s="1">
        <v>-256666440.08000001</v>
      </c>
      <c r="F23" s="1">
        <v>-19109500.350000001</v>
      </c>
      <c r="G23" s="1">
        <v>-39065903.170000002</v>
      </c>
    </row>
    <row r="24" spans="1:7" x14ac:dyDescent="0.3">
      <c r="A24" t="s">
        <v>365</v>
      </c>
      <c r="B24" s="6">
        <f t="shared" ref="B24:E24" si="4">B8/B3*100</f>
        <v>16.186216833765485</v>
      </c>
      <c r="C24" s="6">
        <f t="shared" si="4"/>
        <v>11.309036900537826</v>
      </c>
      <c r="D24" s="6">
        <f t="shared" si="4"/>
        <v>5.9468566241682099</v>
      </c>
      <c r="E24" s="6">
        <f t="shared" si="4"/>
        <v>3.3184770151554557</v>
      </c>
      <c r="F24" s="6">
        <f t="shared" ref="F24:G24" si="5">F8/F3*100</f>
        <v>4.1322409644106672</v>
      </c>
      <c r="G24" s="6">
        <f t="shared" si="5"/>
        <v>4.5414019310109248</v>
      </c>
    </row>
    <row r="25" spans="1:7" x14ac:dyDescent="0.3">
      <c r="A25" t="s">
        <v>356</v>
      </c>
    </row>
    <row r="52" spans="1:7" x14ac:dyDescent="0.3">
      <c r="A52" t="s">
        <v>13</v>
      </c>
      <c r="B52" s="1">
        <f t="shared" ref="B52:E52" si="6">SUM(B11:B13)</f>
        <v>187185826.74000001</v>
      </c>
      <c r="C52" s="1">
        <f t="shared" si="6"/>
        <v>401190800.77999997</v>
      </c>
      <c r="D52" s="1">
        <f t="shared" si="6"/>
        <v>152202620.43000001</v>
      </c>
      <c r="E52" s="1">
        <f t="shared" si="6"/>
        <v>52595116.450000003</v>
      </c>
      <c r="F52" s="1">
        <f t="shared" ref="F52:G52" si="7">SUM(F11:F13)</f>
        <v>49885998</v>
      </c>
      <c r="G52" s="1">
        <f t="shared" si="7"/>
        <v>81830531.760000005</v>
      </c>
    </row>
  </sheetData>
  <conditionalFormatting sqref="C22:E22 G22">
    <cfRule type="cellIs" dxfId="66" priority="18" operator="greaterThan">
      <formula>0</formula>
    </cfRule>
  </conditionalFormatting>
  <conditionalFormatting sqref="C22:E22 G22">
    <cfRule type="cellIs" dxfId="65" priority="15" operator="greaterThan">
      <formula>0</formula>
    </cfRule>
    <cfRule type="cellIs" dxfId="64" priority="16" operator="lessThan">
      <formula>0</formula>
    </cfRule>
  </conditionalFormatting>
  <conditionalFormatting sqref="B22">
    <cfRule type="cellIs" dxfId="63" priority="9" operator="greaterThan">
      <formula>0</formula>
    </cfRule>
  </conditionalFormatting>
  <conditionalFormatting sqref="B22">
    <cfRule type="cellIs" dxfId="62" priority="7" operator="greaterThan">
      <formula>0</formula>
    </cfRule>
    <cfRule type="cellIs" dxfId="61" priority="8" operator="lessThan">
      <formula>0</formula>
    </cfRule>
  </conditionalFormatting>
  <conditionalFormatting sqref="F22">
    <cfRule type="cellIs" dxfId="60" priority="3" operator="greaterThan">
      <formula>0</formula>
    </cfRule>
  </conditionalFormatting>
  <conditionalFormatting sqref="F22">
    <cfRule type="cellIs" dxfId="59" priority="1" operator="greaterThan">
      <formula>0</formula>
    </cfRule>
    <cfRule type="cellIs" dxfId="58" priority="2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workbookViewId="0">
      <pane xSplit="2" ySplit="1" topLeftCell="C11" activePane="bottomRight" state="frozen"/>
      <selection pane="topRight" activeCell="C1" sqref="C1"/>
      <selection pane="bottomLeft" activeCell="A2" sqref="A2"/>
      <selection pane="bottomRight" activeCell="G27" sqref="G27"/>
    </sheetView>
  </sheetViews>
  <sheetFormatPr defaultRowHeight="14.4" x14ac:dyDescent="0.3"/>
  <cols>
    <col min="1" max="1" width="65.33203125" bestFit="1" customWidth="1"/>
    <col min="2" max="2" width="3.44140625" bestFit="1" customWidth="1"/>
    <col min="3" max="4" width="15.44140625" bestFit="1" customWidth="1"/>
    <col min="5" max="7" width="15.5546875" customWidth="1"/>
    <col min="8" max="8" width="12.33203125" bestFit="1" customWidth="1"/>
  </cols>
  <sheetData>
    <row r="1" spans="1:8" x14ac:dyDescent="0.3">
      <c r="C1" s="98">
        <v>2016</v>
      </c>
      <c r="D1" s="12">
        <v>2017</v>
      </c>
      <c r="E1" s="12">
        <v>2018</v>
      </c>
      <c r="F1" s="12">
        <v>2019</v>
      </c>
      <c r="G1" s="12">
        <v>2020</v>
      </c>
      <c r="H1" s="12" t="s">
        <v>264</v>
      </c>
    </row>
    <row r="2" spans="1:8" x14ac:dyDescent="0.3">
      <c r="A2" t="s">
        <v>234</v>
      </c>
      <c r="B2" s="26" t="s">
        <v>258</v>
      </c>
      <c r="C2" s="1">
        <v>9516287783.0699997</v>
      </c>
      <c r="D2" s="1">
        <v>9521981287.9400005</v>
      </c>
      <c r="E2" s="1">
        <v>9464606034.0200005</v>
      </c>
      <c r="F2" s="1">
        <v>9910872346.5300007</v>
      </c>
      <c r="G2" s="1">
        <v>9960748841.7199993</v>
      </c>
      <c r="H2" s="1">
        <f>G2-F2</f>
        <v>49876495.189998627</v>
      </c>
    </row>
    <row r="3" spans="1:8" x14ac:dyDescent="0.3">
      <c r="A3" t="s">
        <v>235</v>
      </c>
      <c r="B3" s="26" t="s">
        <v>258</v>
      </c>
      <c r="C3" s="1">
        <v>0</v>
      </c>
      <c r="D3" s="1">
        <v>0</v>
      </c>
      <c r="E3" s="1">
        <v>0</v>
      </c>
      <c r="F3" s="1">
        <v>0</v>
      </c>
      <c r="G3" s="1">
        <v>0</v>
      </c>
      <c r="H3" s="1">
        <f t="shared" ref="H3:H28" si="0">G3-F3</f>
        <v>0</v>
      </c>
    </row>
    <row r="4" spans="1:8" x14ac:dyDescent="0.3">
      <c r="A4" t="s">
        <v>236</v>
      </c>
      <c r="B4" s="26" t="s">
        <v>258</v>
      </c>
      <c r="C4" s="1">
        <v>867690402.26999998</v>
      </c>
      <c r="D4" s="1">
        <v>1048920439.76</v>
      </c>
      <c r="E4" s="1">
        <v>1153231055.3399999</v>
      </c>
      <c r="F4" s="1">
        <v>1199862364.71</v>
      </c>
      <c r="G4" s="1">
        <v>1335088541.4000001</v>
      </c>
      <c r="H4" s="1">
        <f t="shared" si="0"/>
        <v>135226176.69000006</v>
      </c>
    </row>
    <row r="5" spans="1:8" x14ac:dyDescent="0.3">
      <c r="A5" t="s">
        <v>237</v>
      </c>
      <c r="B5" s="26" t="s">
        <v>258</v>
      </c>
      <c r="C5" s="1">
        <f>224985765.25+80697346.58</f>
        <v>305683111.82999998</v>
      </c>
      <c r="D5" s="1">
        <v>270337876.04000002</v>
      </c>
      <c r="E5" s="1">
        <v>286954967.05000001</v>
      </c>
      <c r="F5" s="1">
        <v>321924689.36000001</v>
      </c>
      <c r="G5" s="1">
        <v>328741178.63999999</v>
      </c>
      <c r="H5" s="1">
        <f t="shared" si="0"/>
        <v>6816489.2799999714</v>
      </c>
    </row>
    <row r="6" spans="1:8" x14ac:dyDescent="0.3">
      <c r="A6" t="s">
        <v>238</v>
      </c>
      <c r="B6" s="26" t="s">
        <v>258</v>
      </c>
      <c r="C6" s="1"/>
      <c r="D6" s="1"/>
      <c r="E6" s="1"/>
      <c r="F6" s="1"/>
      <c r="G6" s="1"/>
      <c r="H6" s="1">
        <f t="shared" si="0"/>
        <v>0</v>
      </c>
    </row>
    <row r="7" spans="1:8" x14ac:dyDescent="0.3">
      <c r="A7" t="s">
        <v>239</v>
      </c>
      <c r="B7" s="26" t="s">
        <v>258</v>
      </c>
      <c r="C7" s="1"/>
      <c r="D7" s="1"/>
      <c r="E7" s="1"/>
      <c r="F7" s="1"/>
      <c r="G7" s="1"/>
      <c r="H7" s="1">
        <f t="shared" si="0"/>
        <v>0</v>
      </c>
    </row>
    <row r="8" spans="1:8" x14ac:dyDescent="0.3">
      <c r="A8" t="s">
        <v>240</v>
      </c>
      <c r="B8" s="26" t="s">
        <v>258</v>
      </c>
      <c r="C8" s="1"/>
      <c r="D8" s="1"/>
      <c r="E8" s="1"/>
      <c r="F8" s="1"/>
      <c r="G8" s="1"/>
      <c r="H8" s="1">
        <f t="shared" si="0"/>
        <v>0</v>
      </c>
    </row>
    <row r="9" spans="1:8" x14ac:dyDescent="0.3">
      <c r="A9" s="32" t="s">
        <v>241</v>
      </c>
      <c r="B9" s="33" t="s">
        <v>258</v>
      </c>
      <c r="C9" s="34">
        <v>682565530.51999998</v>
      </c>
      <c r="D9" s="34">
        <v>198886918.91</v>
      </c>
      <c r="E9" s="34">
        <v>250640704.11000001</v>
      </c>
      <c r="F9" s="34">
        <v>158136130.97999999</v>
      </c>
      <c r="G9" s="34">
        <v>119218871.63</v>
      </c>
      <c r="H9" s="1">
        <f t="shared" si="0"/>
        <v>-38917259.349999994</v>
      </c>
    </row>
    <row r="10" spans="1:8" x14ac:dyDescent="0.3">
      <c r="A10" s="35" t="s">
        <v>262</v>
      </c>
      <c r="B10" s="36" t="s">
        <v>258</v>
      </c>
      <c r="C10" s="94">
        <f t="shared" ref="C10" si="1">SUM(C2:C9)</f>
        <v>11372226827.690001</v>
      </c>
      <c r="D10" s="94">
        <f t="shared" ref="D10:E10" si="2">SUM(D2:D9)</f>
        <v>11040126522.650002</v>
      </c>
      <c r="E10" s="94">
        <f t="shared" si="2"/>
        <v>11155432760.52</v>
      </c>
      <c r="F10" s="94">
        <f t="shared" ref="F10:G10" si="3">SUM(F2:F9)</f>
        <v>11590795531.580002</v>
      </c>
      <c r="G10" s="94">
        <f t="shared" si="3"/>
        <v>11743797433.389997</v>
      </c>
      <c r="H10" s="11">
        <f t="shared" si="0"/>
        <v>153001901.80999565</v>
      </c>
    </row>
    <row r="11" spans="1:8" x14ac:dyDescent="0.3">
      <c r="A11" t="s">
        <v>242</v>
      </c>
      <c r="B11" s="26" t="s">
        <v>259</v>
      </c>
      <c r="C11" s="1">
        <v>1844108.26</v>
      </c>
      <c r="D11" s="1">
        <v>1701363.97</v>
      </c>
      <c r="E11" s="1">
        <v>1006208</v>
      </c>
      <c r="F11" s="1">
        <v>1579896.09</v>
      </c>
      <c r="G11" s="1">
        <v>7623022.5199999996</v>
      </c>
      <c r="H11" s="1">
        <f t="shared" si="0"/>
        <v>6043126.4299999997</v>
      </c>
    </row>
    <row r="12" spans="1:8" x14ac:dyDescent="0.3">
      <c r="A12" t="s">
        <v>243</v>
      </c>
      <c r="B12" s="26" t="s">
        <v>259</v>
      </c>
      <c r="C12" s="1">
        <v>429466302.25999999</v>
      </c>
      <c r="D12" s="1">
        <v>447439760.06999999</v>
      </c>
      <c r="E12" s="1">
        <v>476158954.70999998</v>
      </c>
      <c r="F12" s="1">
        <v>504750513.19999999</v>
      </c>
      <c r="G12" s="1">
        <v>426799274.88999999</v>
      </c>
      <c r="H12" s="1">
        <f t="shared" si="0"/>
        <v>-77951238.310000002</v>
      </c>
    </row>
    <row r="13" spans="1:8" x14ac:dyDescent="0.3">
      <c r="A13" t="s">
        <v>244</v>
      </c>
      <c r="B13" s="26" t="s">
        <v>259</v>
      </c>
      <c r="C13" s="1">
        <v>13430969.26</v>
      </c>
      <c r="D13" s="1">
        <v>12096810.689999999</v>
      </c>
      <c r="E13" s="1">
        <v>10257465.98</v>
      </c>
      <c r="F13" s="1">
        <v>10035630.68</v>
      </c>
      <c r="G13" s="1">
        <v>9176431.4499999993</v>
      </c>
      <c r="H13" s="1">
        <f t="shared" si="0"/>
        <v>-859199.23000000045</v>
      </c>
    </row>
    <row r="14" spans="1:8" x14ac:dyDescent="0.3">
      <c r="A14" t="s">
        <v>245</v>
      </c>
      <c r="B14" s="26" t="s">
        <v>259</v>
      </c>
      <c r="C14" s="1">
        <v>10190759235.860001</v>
      </c>
      <c r="D14" s="1">
        <v>9937898836.9899998</v>
      </c>
      <c r="E14" s="1">
        <v>10030742378.459999</v>
      </c>
      <c r="F14" s="1">
        <v>10366564631.889999</v>
      </c>
      <c r="G14" s="1">
        <v>10789639084.01</v>
      </c>
      <c r="H14" s="1">
        <f t="shared" si="0"/>
        <v>423074452.12000084</v>
      </c>
    </row>
    <row r="15" spans="1:8" x14ac:dyDescent="0.3">
      <c r="A15" t="s">
        <v>246</v>
      </c>
      <c r="B15" s="26" t="s">
        <v>259</v>
      </c>
      <c r="C15" s="1">
        <v>185137715.55000001</v>
      </c>
      <c r="D15" s="1">
        <v>181339857.71000001</v>
      </c>
      <c r="E15" s="1">
        <v>194439129.19</v>
      </c>
      <c r="F15" s="1">
        <v>194020673.72</v>
      </c>
      <c r="G15" s="1">
        <v>179438393.61000001</v>
      </c>
      <c r="H15" s="1">
        <f t="shared" si="0"/>
        <v>-14582280.109999985</v>
      </c>
    </row>
    <row r="16" spans="1:8" x14ac:dyDescent="0.3">
      <c r="A16" t="s">
        <v>247</v>
      </c>
      <c r="B16" s="26" t="s">
        <v>259</v>
      </c>
      <c r="C16" s="1">
        <v>27571740.93</v>
      </c>
      <c r="D16" s="1">
        <v>23999936.75</v>
      </c>
      <c r="E16" s="1">
        <v>27926801.170000002</v>
      </c>
      <c r="F16" s="1">
        <v>25295358.460000001</v>
      </c>
      <c r="G16" s="1">
        <v>85690787.430000007</v>
      </c>
      <c r="H16" s="1">
        <f t="shared" si="0"/>
        <v>60395428.970000006</v>
      </c>
    </row>
    <row r="17" spans="1:8" x14ac:dyDescent="0.3">
      <c r="A17" t="s">
        <v>248</v>
      </c>
      <c r="B17" s="26" t="s">
        <v>259</v>
      </c>
      <c r="C17" s="1">
        <v>-40587.29</v>
      </c>
      <c r="D17" s="1">
        <v>93801.81</v>
      </c>
      <c r="E17" s="1">
        <v>61516.24</v>
      </c>
      <c r="F17" s="1">
        <v>24911.29</v>
      </c>
      <c r="G17" s="1">
        <v>0</v>
      </c>
      <c r="H17" s="1">
        <f t="shared" si="0"/>
        <v>-24911.29</v>
      </c>
    </row>
    <row r="18" spans="1:8" x14ac:dyDescent="0.3">
      <c r="A18" t="s">
        <v>249</v>
      </c>
      <c r="B18" s="26" t="s">
        <v>259</v>
      </c>
      <c r="C18" s="1">
        <v>0</v>
      </c>
      <c r="D18" s="1">
        <v>35019531.390000001</v>
      </c>
      <c r="E18" s="1">
        <v>7869461.5800000001</v>
      </c>
      <c r="F18" s="1">
        <v>0</v>
      </c>
      <c r="G18" s="1">
        <v>0</v>
      </c>
      <c r="H18" s="1">
        <f t="shared" si="0"/>
        <v>0</v>
      </c>
    </row>
    <row r="19" spans="1:8" x14ac:dyDescent="0.3">
      <c r="A19" t="s">
        <v>13</v>
      </c>
      <c r="B19" s="26" t="s">
        <v>259</v>
      </c>
      <c r="C19" s="1">
        <v>243339118.30000001</v>
      </c>
      <c r="D19" s="1">
        <v>113914424.38</v>
      </c>
      <c r="E19" s="1">
        <v>192138599.88999999</v>
      </c>
      <c r="F19" s="1">
        <v>206486326.33000001</v>
      </c>
      <c r="G19" s="1">
        <v>80171133.420000002</v>
      </c>
      <c r="H19" s="1">
        <f t="shared" si="0"/>
        <v>-126315192.91000001</v>
      </c>
    </row>
    <row r="20" spans="1:8" x14ac:dyDescent="0.3">
      <c r="A20" s="32" t="s">
        <v>250</v>
      </c>
      <c r="B20" s="33" t="s">
        <v>259</v>
      </c>
      <c r="C20" s="34">
        <v>5261233.58</v>
      </c>
      <c r="D20" s="34">
        <v>7064888.0599999996</v>
      </c>
      <c r="E20" s="34">
        <v>58767222.68</v>
      </c>
      <c r="F20" s="34">
        <v>7042934.4500000002</v>
      </c>
      <c r="G20" s="34">
        <v>7731949.6799999997</v>
      </c>
      <c r="H20" s="1">
        <f t="shared" si="0"/>
        <v>689015.22999999952</v>
      </c>
    </row>
    <row r="21" spans="1:8" x14ac:dyDescent="0.3">
      <c r="A21" s="35" t="s">
        <v>263</v>
      </c>
      <c r="B21" s="36" t="s">
        <v>259</v>
      </c>
      <c r="C21" s="94">
        <f>SUM(C11:C20)</f>
        <v>11096769836.709999</v>
      </c>
      <c r="D21" s="94">
        <f t="shared" ref="D21:E21" si="4">SUM(D11:D20)</f>
        <v>10760569211.819996</v>
      </c>
      <c r="E21" s="94">
        <f t="shared" si="4"/>
        <v>10999367737.9</v>
      </c>
      <c r="F21" s="94">
        <f t="shared" ref="F21:G21" si="5">SUM(F11:F20)</f>
        <v>11315800876.109999</v>
      </c>
      <c r="G21" s="94">
        <f t="shared" si="5"/>
        <v>11586270077.010002</v>
      </c>
      <c r="H21" s="11">
        <f t="shared" si="0"/>
        <v>270469200.90000343</v>
      </c>
    </row>
    <row r="22" spans="1:8" x14ac:dyDescent="0.3">
      <c r="A22" t="s">
        <v>251</v>
      </c>
      <c r="B22" s="26" t="s">
        <v>258</v>
      </c>
      <c r="C22" s="1">
        <v>1921676.11</v>
      </c>
      <c r="D22" s="1">
        <v>416098.37</v>
      </c>
      <c r="E22" s="1">
        <v>6201933.8099999996</v>
      </c>
      <c r="F22" s="1">
        <v>8002981.1299999999</v>
      </c>
      <c r="G22" s="1">
        <v>6988092.0300000003</v>
      </c>
      <c r="H22" s="1">
        <f t="shared" si="0"/>
        <v>-1014889.0999999996</v>
      </c>
    </row>
    <row r="23" spans="1:8" x14ac:dyDescent="0.3">
      <c r="A23" t="s">
        <v>252</v>
      </c>
      <c r="B23" s="26" t="s">
        <v>259</v>
      </c>
      <c r="C23" s="1">
        <v>133457871.12</v>
      </c>
      <c r="D23" s="1">
        <v>207592018.65000001</v>
      </c>
      <c r="E23" s="1">
        <v>133710036.06</v>
      </c>
      <c r="F23" s="1">
        <v>103464841.97</v>
      </c>
      <c r="G23" s="1">
        <v>149967915.46000001</v>
      </c>
      <c r="H23" s="1">
        <f t="shared" si="0"/>
        <v>46503073.49000001</v>
      </c>
    </row>
    <row r="24" spans="1:8" x14ac:dyDescent="0.3">
      <c r="A24" t="s">
        <v>253</v>
      </c>
      <c r="B24" s="26" t="s">
        <v>258</v>
      </c>
      <c r="C24" s="1">
        <v>0</v>
      </c>
      <c r="D24" s="1">
        <v>-12538534.859999999</v>
      </c>
      <c r="E24" s="1">
        <v>-17357783.640000001</v>
      </c>
      <c r="F24" s="1">
        <v>-380627.34</v>
      </c>
      <c r="G24" s="1">
        <v>1062443.1599999999</v>
      </c>
      <c r="H24" s="1">
        <f t="shared" si="0"/>
        <v>1443070.5</v>
      </c>
    </row>
    <row r="25" spans="1:8" x14ac:dyDescent="0.3">
      <c r="A25" t="s">
        <v>254</v>
      </c>
      <c r="B25" s="26" t="s">
        <v>258</v>
      </c>
      <c r="C25" s="1">
        <v>493219689.86000001</v>
      </c>
      <c r="D25" s="1">
        <v>854352984.04999995</v>
      </c>
      <c r="E25" s="1">
        <v>404131245.57999998</v>
      </c>
      <c r="F25" s="1">
        <v>237458119.53999999</v>
      </c>
      <c r="G25" s="1">
        <v>407987610.75999999</v>
      </c>
      <c r="H25" s="1">
        <f t="shared" si="0"/>
        <v>170529491.22</v>
      </c>
    </row>
    <row r="26" spans="1:8" x14ac:dyDescent="0.3">
      <c r="A26" t="s">
        <v>255</v>
      </c>
      <c r="B26" s="26" t="s">
        <v>259</v>
      </c>
      <c r="C26" s="1">
        <v>331833866.83999997</v>
      </c>
      <c r="D26" s="1">
        <v>313573790.54000002</v>
      </c>
      <c r="E26" s="1">
        <v>163526406.44999999</v>
      </c>
      <c r="F26" s="1">
        <v>174889366.25</v>
      </c>
      <c r="G26" s="1">
        <v>270801567.01999998</v>
      </c>
      <c r="H26" s="1">
        <f t="shared" si="0"/>
        <v>95912200.769999981</v>
      </c>
    </row>
    <row r="27" spans="1:8" x14ac:dyDescent="0.3">
      <c r="A27" t="s">
        <v>256</v>
      </c>
      <c r="B27" s="26" t="s">
        <v>259</v>
      </c>
      <c r="C27" s="1">
        <v>10662476.75</v>
      </c>
      <c r="D27" s="1">
        <v>10511488.199999999</v>
      </c>
      <c r="E27" s="1">
        <v>13099379.93</v>
      </c>
      <c r="F27" s="1">
        <v>12250932.33</v>
      </c>
      <c r="G27" s="1">
        <v>11198383.93</v>
      </c>
      <c r="H27" s="1">
        <f t="shared" si="0"/>
        <v>-1052548.4000000004</v>
      </c>
    </row>
    <row r="28" spans="1:8" x14ac:dyDescent="0.3">
      <c r="A28" s="10" t="s">
        <v>257</v>
      </c>
      <c r="B28" s="36" t="s">
        <v>260</v>
      </c>
      <c r="C28" s="37">
        <f>C10-C21+C22-C23+C24+C25-C26-C27</f>
        <v>294644142.2400015</v>
      </c>
      <c r="D28" s="37">
        <f t="shared" ref="D28:E28" si="6">D10-D21+D22-D23+D24+D25-D26-D27</f>
        <v>590110561.00000548</v>
      </c>
      <c r="E28" s="37">
        <f t="shared" si="6"/>
        <v>238704595.93000084</v>
      </c>
      <c r="F28" s="37">
        <f t="shared" ref="F28:G28" si="7">F10-F21+F22-F23+F24+F25-F26-F27</f>
        <v>229469988.25000313</v>
      </c>
      <c r="G28" s="37">
        <f t="shared" si="7"/>
        <v>141597635.91999537</v>
      </c>
      <c r="H28" s="37">
        <f t="shared" si="0"/>
        <v>-87872352.330007762</v>
      </c>
    </row>
  </sheetData>
  <conditionalFormatting sqref="C28:E28 G28:H28">
    <cfRule type="cellIs" dxfId="57" priority="17" operator="greaterThan">
      <formula>0</formula>
    </cfRule>
  </conditionalFormatting>
  <conditionalFormatting sqref="C28:E28 G28">
    <cfRule type="cellIs" dxfId="56" priority="14" operator="greaterThan">
      <formula>0</formula>
    </cfRule>
  </conditionalFormatting>
  <conditionalFormatting sqref="F28">
    <cfRule type="cellIs" dxfId="55" priority="3" operator="greaterThan">
      <formula>0</formula>
    </cfRule>
  </conditionalFormatting>
  <conditionalFormatting sqref="F28">
    <cfRule type="cellIs" dxfId="54" priority="2" operator="greater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showGridLines="0" workbookViewId="0">
      <selection activeCell="H1" sqref="H1:H1048576"/>
    </sheetView>
  </sheetViews>
  <sheetFormatPr defaultRowHeight="14.4" x14ac:dyDescent="0.3"/>
  <cols>
    <col min="1" max="1" width="50.6640625" bestFit="1" customWidth="1"/>
    <col min="2" max="6" width="14.33203125" bestFit="1" customWidth="1"/>
    <col min="7" max="7" width="14.88671875" bestFit="1" customWidth="1"/>
  </cols>
  <sheetData>
    <row r="1" spans="1:7" x14ac:dyDescent="0.3">
      <c r="A1" s="41"/>
      <c r="B1" s="42">
        <v>2016</v>
      </c>
      <c r="C1" s="42">
        <v>2017</v>
      </c>
      <c r="D1" s="42">
        <v>2018</v>
      </c>
      <c r="E1" s="42">
        <v>2019</v>
      </c>
      <c r="F1" s="42">
        <v>2020</v>
      </c>
      <c r="G1" s="42" t="s">
        <v>264</v>
      </c>
    </row>
    <row r="2" spans="1:7" x14ac:dyDescent="0.3">
      <c r="A2" s="71" t="s">
        <v>341</v>
      </c>
      <c r="B2" s="64">
        <f>Conto_economico!C10</f>
        <v>11372226827.690001</v>
      </c>
      <c r="C2" s="64">
        <f>Conto_economico!D10</f>
        <v>11040126522.650002</v>
      </c>
      <c r="D2" s="64">
        <f>Conto_economico!E10</f>
        <v>11155432760.52</v>
      </c>
      <c r="E2" s="64">
        <f>Conto_economico!F10</f>
        <v>11590795531.580002</v>
      </c>
      <c r="F2" s="64">
        <f>Conto_economico!G10</f>
        <v>11743797433.389997</v>
      </c>
      <c r="G2" s="64">
        <f>F2-E2</f>
        <v>153001901.80999565</v>
      </c>
    </row>
    <row r="3" spans="1:7" x14ac:dyDescent="0.3">
      <c r="A3" s="71" t="s">
        <v>336</v>
      </c>
      <c r="B3" s="64">
        <f>Conto_economico!C2</f>
        <v>9516287783.0699997</v>
      </c>
      <c r="C3" s="64">
        <f>Conto_economico!D2</f>
        <v>9521981287.9400005</v>
      </c>
      <c r="D3" s="64">
        <f>Conto_economico!E2</f>
        <v>9464606034.0200005</v>
      </c>
      <c r="E3" s="64">
        <f>Conto_economico!F2</f>
        <v>9910872346.5300007</v>
      </c>
      <c r="F3" s="64">
        <f>Conto_economico!G2</f>
        <v>9960748841.7199993</v>
      </c>
      <c r="G3" s="64">
        <f>F3-E3</f>
        <v>49876495.189998627</v>
      </c>
    </row>
    <row r="4" spans="1:7" x14ac:dyDescent="0.3">
      <c r="A4" s="71" t="s">
        <v>337</v>
      </c>
      <c r="B4" s="64">
        <f>Conto_economico!C4</f>
        <v>867690402.26999998</v>
      </c>
      <c r="C4" s="64">
        <f>Conto_economico!D4</f>
        <v>1048920439.76</v>
      </c>
      <c r="D4" s="64">
        <f>Conto_economico!E4</f>
        <v>1153231055.3399999</v>
      </c>
      <c r="E4" s="64">
        <f>Conto_economico!F4</f>
        <v>1199862364.71</v>
      </c>
      <c r="F4" s="64">
        <f>Conto_economico!G4</f>
        <v>1335088541.4000001</v>
      </c>
      <c r="G4" s="64">
        <f>F4-E4</f>
        <v>135226176.69000006</v>
      </c>
    </row>
    <row r="5" spans="1:7" x14ac:dyDescent="0.3">
      <c r="A5" s="71" t="s">
        <v>342</v>
      </c>
      <c r="B5" s="65">
        <f>Conto_economico!C21</f>
        <v>11096769836.709999</v>
      </c>
      <c r="C5" s="65">
        <f>Conto_economico!D21</f>
        <v>10760569211.819996</v>
      </c>
      <c r="D5" s="65">
        <f>Conto_economico!E21</f>
        <v>10999367737.9</v>
      </c>
      <c r="E5" s="65">
        <f>Conto_economico!F21</f>
        <v>11315800876.109999</v>
      </c>
      <c r="F5" s="65">
        <f>Conto_economico!G21</f>
        <v>11586270077.010002</v>
      </c>
      <c r="G5" s="64">
        <f>F5-E5</f>
        <v>270469200.90000343</v>
      </c>
    </row>
    <row r="6" spans="1:7" x14ac:dyDescent="0.3">
      <c r="A6" s="71" t="s">
        <v>338</v>
      </c>
      <c r="B6" s="64">
        <f>Conto_economico!C12</f>
        <v>429466302.25999999</v>
      </c>
      <c r="C6" s="64">
        <f>Conto_economico!D12</f>
        <v>447439760.06999999</v>
      </c>
      <c r="D6" s="64">
        <f>Conto_economico!E12</f>
        <v>476158954.70999998</v>
      </c>
      <c r="E6" s="64">
        <f>Conto_economico!F12</f>
        <v>504750513.19999999</v>
      </c>
      <c r="F6" s="64">
        <f>Conto_economico!G12</f>
        <v>426799274.88999999</v>
      </c>
      <c r="G6" s="64">
        <f>F6-E6</f>
        <v>-77951238.310000002</v>
      </c>
    </row>
    <row r="7" spans="1:7" x14ac:dyDescent="0.3">
      <c r="A7" s="71" t="s">
        <v>339</v>
      </c>
      <c r="B7" s="64">
        <f>Conto_economico!C15</f>
        <v>185137715.55000001</v>
      </c>
      <c r="C7" s="64">
        <f>Conto_economico!D15</f>
        <v>181339857.71000001</v>
      </c>
      <c r="D7" s="64">
        <f>Conto_economico!E15</f>
        <v>194439129.19</v>
      </c>
      <c r="E7" s="64">
        <f>Conto_economico!F15</f>
        <v>194020673.72</v>
      </c>
      <c r="F7" s="64">
        <f>Conto_economico!G15</f>
        <v>179438393.61000001</v>
      </c>
      <c r="G7" s="64">
        <f>F7-E7</f>
        <v>-14582280.109999985</v>
      </c>
    </row>
    <row r="8" spans="1:7" x14ac:dyDescent="0.3">
      <c r="A8" s="71" t="s">
        <v>340</v>
      </c>
      <c r="B8" s="64">
        <f>Conto_economico!C16</f>
        <v>27571740.93</v>
      </c>
      <c r="C8" s="64">
        <f>Conto_economico!D16</f>
        <v>23999936.75</v>
      </c>
      <c r="D8" s="64">
        <f>Conto_economico!E16</f>
        <v>27926801.170000002</v>
      </c>
      <c r="E8" s="64">
        <f>Conto_economico!F16</f>
        <v>25295358.460000001</v>
      </c>
      <c r="F8" s="64">
        <f>Conto_economico!G16</f>
        <v>85690787.430000007</v>
      </c>
      <c r="G8" s="64">
        <f>F8-E8</f>
        <v>60395428.970000006</v>
      </c>
    </row>
    <row r="9" spans="1:7" x14ac:dyDescent="0.3">
      <c r="A9" s="47" t="s">
        <v>304</v>
      </c>
      <c r="B9" s="66">
        <f t="shared" ref="B9:E9" si="0">B2-B5</f>
        <v>275456990.98000145</v>
      </c>
      <c r="C9" s="66">
        <f t="shared" si="0"/>
        <v>279557310.83000565</v>
      </c>
      <c r="D9" s="66">
        <f t="shared" si="0"/>
        <v>156065022.62000084</v>
      </c>
      <c r="E9" s="66">
        <f t="shared" si="0"/>
        <v>274994655.47000313</v>
      </c>
      <c r="F9" s="66">
        <f t="shared" ref="F9" si="1">F2-F5</f>
        <v>157527356.37999535</v>
      </c>
      <c r="G9" s="66">
        <f>F9-E9</f>
        <v>-117467299.09000778</v>
      </c>
    </row>
    <row r="10" spans="1:7" x14ac:dyDescent="0.3">
      <c r="A10" s="71" t="s">
        <v>305</v>
      </c>
      <c r="B10" s="64">
        <f>Conto_economico!C22-Conto_economico!C23</f>
        <v>-131536195.01000001</v>
      </c>
      <c r="C10" s="64">
        <f>Conto_economico!D22-Conto_economico!D23</f>
        <v>-207175920.28</v>
      </c>
      <c r="D10" s="64">
        <f>Conto_economico!E22-Conto_economico!E23</f>
        <v>-127508102.25</v>
      </c>
      <c r="E10" s="64">
        <f>Conto_economico!F22-Conto_economico!F23</f>
        <v>-95461860.840000004</v>
      </c>
      <c r="F10" s="64">
        <f>Conto_economico!G22-Conto_economico!G23</f>
        <v>-142979823.43000001</v>
      </c>
      <c r="G10" s="64">
        <f>F10-E10</f>
        <v>-47517962.590000004</v>
      </c>
    </row>
    <row r="11" spans="1:7" x14ac:dyDescent="0.3">
      <c r="A11" s="71" t="s">
        <v>306</v>
      </c>
      <c r="B11" s="65">
        <f>Conto_economico!C25-Conto_economico!C26</f>
        <v>161385823.02000004</v>
      </c>
      <c r="C11" s="65">
        <f>Conto_economico!D25-Conto_economico!D26</f>
        <v>540779193.50999999</v>
      </c>
      <c r="D11" s="65">
        <f>Conto_economico!E25-Conto_economico!E26</f>
        <v>240604839.13</v>
      </c>
      <c r="E11" s="65">
        <f>Conto_economico!F25-Conto_economico!F26</f>
        <v>62568753.289999992</v>
      </c>
      <c r="F11" s="65">
        <f>Conto_economico!G25-Conto_economico!G26</f>
        <v>137186043.74000001</v>
      </c>
      <c r="G11" s="64">
        <f>F11-E11</f>
        <v>74617290.450000018</v>
      </c>
    </row>
    <row r="12" spans="1:7" x14ac:dyDescent="0.3">
      <c r="A12" s="71" t="s">
        <v>253</v>
      </c>
      <c r="B12" s="65">
        <f>Conto_economico!C24</f>
        <v>0</v>
      </c>
      <c r="C12" s="65">
        <f>Conto_economico!D24</f>
        <v>-12538534.859999999</v>
      </c>
      <c r="D12" s="65">
        <f>Conto_economico!E24</f>
        <v>-17357783.640000001</v>
      </c>
      <c r="E12" s="65">
        <f>Conto_economico!F24</f>
        <v>-380627.34</v>
      </c>
      <c r="F12" s="65">
        <f>Conto_economico!G24</f>
        <v>1062443.1599999999</v>
      </c>
      <c r="G12" s="64">
        <f>F12-E12</f>
        <v>1443070.5</v>
      </c>
    </row>
    <row r="13" spans="1:7" x14ac:dyDescent="0.3">
      <c r="A13" s="47" t="s">
        <v>307</v>
      </c>
      <c r="B13" s="66">
        <f t="shared" ref="B13:D13" si="2">SUM(B9:B12)</f>
        <v>305306618.9900015</v>
      </c>
      <c r="C13" s="66">
        <f t="shared" si="2"/>
        <v>600622049.20000565</v>
      </c>
      <c r="D13" s="66">
        <f t="shared" si="2"/>
        <v>251803975.86000085</v>
      </c>
      <c r="E13" s="66">
        <f t="shared" ref="E13" si="3">SUM(E9:E12)</f>
        <v>241720920.58000311</v>
      </c>
      <c r="F13" s="66">
        <f t="shared" ref="F13" si="4">SUM(F9:F12)</f>
        <v>152796019.84999534</v>
      </c>
      <c r="G13" s="66">
        <f>F13-E13</f>
        <v>-88924900.730007768</v>
      </c>
    </row>
    <row r="14" spans="1:7" x14ac:dyDescent="0.3">
      <c r="A14" s="71" t="s">
        <v>256</v>
      </c>
      <c r="B14" s="64">
        <f>Conto_economico!C27</f>
        <v>10662476.75</v>
      </c>
      <c r="C14" s="64">
        <f>Conto_economico!D27</f>
        <v>10511488.199999999</v>
      </c>
      <c r="D14" s="64">
        <f>Conto_economico!E27</f>
        <v>13099379.93</v>
      </c>
      <c r="E14" s="64">
        <f>Conto_economico!F27</f>
        <v>12250932.33</v>
      </c>
      <c r="F14" s="64">
        <f>Conto_economico!G27</f>
        <v>11198383.93</v>
      </c>
      <c r="G14" s="64">
        <f>F14-E14</f>
        <v>-1052548.4000000004</v>
      </c>
    </row>
    <row r="15" spans="1:7" x14ac:dyDescent="0.3">
      <c r="A15" s="70" t="s">
        <v>257</v>
      </c>
      <c r="B15" s="67">
        <f t="shared" ref="B15:E15" si="5">B13-B14</f>
        <v>294644142.2400015</v>
      </c>
      <c r="C15" s="67">
        <f t="shared" si="5"/>
        <v>590110561.0000056</v>
      </c>
      <c r="D15" s="67">
        <f t="shared" si="5"/>
        <v>238704595.93000084</v>
      </c>
      <c r="E15" s="67">
        <f t="shared" si="5"/>
        <v>229469988.2500031</v>
      </c>
      <c r="F15" s="67">
        <f t="shared" ref="F15" si="6">F13-F14</f>
        <v>141597635.91999534</v>
      </c>
      <c r="G15" s="67">
        <f>F15-E15</f>
        <v>-87872352.330007762</v>
      </c>
    </row>
  </sheetData>
  <conditionalFormatting sqref="B15:D15 F15">
    <cfRule type="cellIs" dxfId="53" priority="21" operator="greaterThan">
      <formula>0</formula>
    </cfRule>
  </conditionalFormatting>
  <conditionalFormatting sqref="B9:D9 B13:D13 F13 F9">
    <cfRule type="cellIs" dxfId="52" priority="20" operator="lessThan">
      <formula>0</formula>
    </cfRule>
  </conditionalFormatting>
  <conditionalFormatting sqref="E15">
    <cfRule type="cellIs" dxfId="51" priority="4" operator="greaterThan">
      <formula>0</formula>
    </cfRule>
  </conditionalFormatting>
  <conditionalFormatting sqref="E13 E9">
    <cfRule type="cellIs" dxfId="50" priority="3" operator="lessThan">
      <formula>0</formula>
    </cfRule>
  </conditionalFormatting>
  <conditionalFormatting sqref="G15">
    <cfRule type="cellIs" dxfId="49" priority="2" operator="greaterThan">
      <formula>0</formula>
    </cfRule>
  </conditionalFormatting>
  <conditionalFormatting sqref="G13 G9">
    <cfRule type="cellIs" dxfId="48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showGridLines="0" topLeftCell="A10" workbookViewId="0">
      <selection activeCell="G20" sqref="G20"/>
    </sheetView>
  </sheetViews>
  <sheetFormatPr defaultRowHeight="14.4" x14ac:dyDescent="0.3"/>
  <cols>
    <col min="1" max="1" width="51.6640625" style="32" bestFit="1" customWidth="1"/>
    <col min="2" max="7" width="13.88671875" bestFit="1" customWidth="1"/>
    <col min="8" max="9" width="12.6640625" bestFit="1" customWidth="1"/>
  </cols>
  <sheetData>
    <row r="1" spans="1:7" x14ac:dyDescent="0.3">
      <c r="A1" s="73"/>
      <c r="B1" s="96">
        <v>2015</v>
      </c>
      <c r="C1" s="96">
        <v>2016</v>
      </c>
      <c r="D1" s="69">
        <v>2017</v>
      </c>
      <c r="E1" s="69">
        <v>2018</v>
      </c>
      <c r="F1" s="69">
        <v>2019</v>
      </c>
      <c r="G1" s="69">
        <v>2020</v>
      </c>
    </row>
    <row r="2" spans="1:7" x14ac:dyDescent="0.3">
      <c r="A2" s="32" t="s">
        <v>211</v>
      </c>
      <c r="B2" s="1">
        <v>0</v>
      </c>
      <c r="C2" s="1">
        <v>0</v>
      </c>
      <c r="D2" s="1">
        <v>0</v>
      </c>
      <c r="E2" s="1">
        <v>0</v>
      </c>
      <c r="F2" s="1">
        <v>0</v>
      </c>
      <c r="G2" s="1">
        <v>0</v>
      </c>
    </row>
    <row r="3" spans="1:7" x14ac:dyDescent="0.3">
      <c r="A3" s="32" t="s">
        <v>212</v>
      </c>
      <c r="B3" s="1">
        <v>29986839.329999998</v>
      </c>
      <c r="C3" s="1">
        <v>29486458.960000001</v>
      </c>
      <c r="D3" s="1">
        <v>25279247.16</v>
      </c>
      <c r="E3" s="1">
        <v>42836859.340000004</v>
      </c>
      <c r="F3" s="1">
        <v>32652060.920000002</v>
      </c>
      <c r="G3" s="1">
        <v>53423052.030000001</v>
      </c>
    </row>
    <row r="4" spans="1:7" x14ac:dyDescent="0.3">
      <c r="A4" s="32" t="s">
        <v>213</v>
      </c>
      <c r="B4" s="1">
        <v>464175406.31</v>
      </c>
      <c r="C4" s="1">
        <v>454730563.80000001</v>
      </c>
      <c r="D4" s="1">
        <v>832521597.53999996</v>
      </c>
      <c r="E4" s="1">
        <v>786665911.46000004</v>
      </c>
      <c r="F4" s="1">
        <v>854190531.03999996</v>
      </c>
      <c r="G4" s="1">
        <v>921246505.32000005</v>
      </c>
    </row>
    <row r="5" spans="1:7" x14ac:dyDescent="0.3">
      <c r="A5" s="32" t="s">
        <v>227</v>
      </c>
      <c r="B5" s="1">
        <v>79779458.430000007</v>
      </c>
      <c r="C5" s="1">
        <v>209161957.43000001</v>
      </c>
      <c r="D5" s="1">
        <v>409323422.56999999</v>
      </c>
      <c r="E5" s="1">
        <v>391965638.93000001</v>
      </c>
      <c r="F5" s="1">
        <v>191512951.87</v>
      </c>
      <c r="G5" s="1">
        <v>177588895.03</v>
      </c>
    </row>
    <row r="6" spans="1:7" x14ac:dyDescent="0.3">
      <c r="A6" s="32" t="s">
        <v>228</v>
      </c>
      <c r="B6" s="1">
        <f>4560191.41+97192613.28</f>
        <v>101752804.69</v>
      </c>
      <c r="C6" s="1">
        <f>4056616.27+123005744.28</f>
        <v>127062360.55</v>
      </c>
      <c r="D6" s="1">
        <v>180767578.28</v>
      </c>
      <c r="E6" s="1">
        <v>254026111.18000001</v>
      </c>
      <c r="F6" s="1">
        <v>276640411.5</v>
      </c>
      <c r="G6" s="1">
        <v>306955242.80000001</v>
      </c>
    </row>
    <row r="7" spans="1:7" x14ac:dyDescent="0.3">
      <c r="A7" s="32" t="s">
        <v>229</v>
      </c>
      <c r="B7" s="1">
        <v>0</v>
      </c>
      <c r="C7" s="1">
        <v>0</v>
      </c>
      <c r="D7" s="1">
        <v>0</v>
      </c>
      <c r="E7" s="1">
        <v>0</v>
      </c>
      <c r="F7" s="1">
        <v>0</v>
      </c>
      <c r="G7" s="1">
        <v>0</v>
      </c>
    </row>
    <row r="8" spans="1:7" x14ac:dyDescent="0.3">
      <c r="A8" s="32" t="s">
        <v>230</v>
      </c>
      <c r="B8" s="1">
        <v>398774.58</v>
      </c>
      <c r="C8" s="1">
        <v>439361.87</v>
      </c>
      <c r="D8" s="1">
        <v>345560.06</v>
      </c>
      <c r="E8" s="1">
        <v>284043.82</v>
      </c>
      <c r="F8" s="1">
        <v>259131.84</v>
      </c>
      <c r="G8" s="1">
        <v>259131.84</v>
      </c>
    </row>
    <row r="9" spans="1:7" x14ac:dyDescent="0.3">
      <c r="A9" s="32" t="s">
        <v>214</v>
      </c>
      <c r="B9" s="1">
        <v>3977084669.8600001</v>
      </c>
      <c r="C9" s="1">
        <v>4885313722.4499998</v>
      </c>
      <c r="D9" s="1">
        <v>5208318038.1400003</v>
      </c>
      <c r="E9" s="1">
        <v>6078095146.2600002</v>
      </c>
      <c r="F9" s="1">
        <v>5704827888.4499998</v>
      </c>
      <c r="G9" s="1">
        <v>5485972488.3299999</v>
      </c>
    </row>
    <row r="10" spans="1:7" x14ac:dyDescent="0.3">
      <c r="A10" s="100" t="s">
        <v>358</v>
      </c>
      <c r="B10" s="1">
        <v>2076766990.1300001</v>
      </c>
      <c r="C10" s="1">
        <v>2978585102.1300001</v>
      </c>
      <c r="D10" s="1">
        <v>3002470554.8400002</v>
      </c>
      <c r="E10" s="1">
        <v>3484592128.4699998</v>
      </c>
      <c r="F10" s="1">
        <v>3410339640.3499999</v>
      </c>
      <c r="G10" s="1">
        <v>3541016482.71</v>
      </c>
    </row>
    <row r="11" spans="1:7" x14ac:dyDescent="0.3">
      <c r="A11" s="100" t="s">
        <v>364</v>
      </c>
      <c r="B11" s="1">
        <v>499742404.75999999</v>
      </c>
      <c r="C11" s="1">
        <v>603400376.28999996</v>
      </c>
      <c r="D11" s="1">
        <v>671398730.77999997</v>
      </c>
      <c r="E11" s="1">
        <v>538603404.83000004</v>
      </c>
      <c r="F11" s="1">
        <v>740959251.63999999</v>
      </c>
      <c r="G11" s="1">
        <v>724040638.88999999</v>
      </c>
    </row>
    <row r="12" spans="1:7" x14ac:dyDescent="0.3">
      <c r="A12" s="32" t="s">
        <v>231</v>
      </c>
      <c r="B12" s="1">
        <v>0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</row>
    <row r="13" spans="1:7" x14ac:dyDescent="0.3">
      <c r="A13" s="32" t="s">
        <v>215</v>
      </c>
      <c r="B13" s="1">
        <v>427192028.35000002</v>
      </c>
      <c r="C13" s="1">
        <v>507238128.95999998</v>
      </c>
      <c r="D13" s="1">
        <v>172003631.49000001</v>
      </c>
      <c r="E13" s="1">
        <v>303635275.74000001</v>
      </c>
      <c r="F13" s="1">
        <v>181168140.12</v>
      </c>
      <c r="G13" s="1">
        <v>215948862.22999999</v>
      </c>
    </row>
    <row r="14" spans="1:7" x14ac:dyDescent="0.3">
      <c r="A14" s="32" t="s">
        <v>216</v>
      </c>
      <c r="B14" s="1">
        <v>0</v>
      </c>
      <c r="C14" s="1">
        <v>0</v>
      </c>
      <c r="D14" s="1">
        <v>0</v>
      </c>
      <c r="E14" s="1">
        <v>0</v>
      </c>
      <c r="F14" s="1">
        <v>131734.85</v>
      </c>
      <c r="G14" s="1">
        <v>171161.2</v>
      </c>
    </row>
    <row r="15" spans="1:7" x14ac:dyDescent="0.3">
      <c r="A15" s="10" t="s">
        <v>217</v>
      </c>
      <c r="B15" s="11">
        <f t="shared" ref="B15:D15" si="0">SUM(B2:B9)+SUM(B12:B14)</f>
        <v>5080369981.5500002</v>
      </c>
      <c r="C15" s="11">
        <f t="shared" si="0"/>
        <v>6213432554.0199995</v>
      </c>
      <c r="D15" s="11">
        <f t="shared" si="0"/>
        <v>6828559075.2399998</v>
      </c>
      <c r="E15" s="11">
        <f>SUM(E2:E9)+SUM(E12:E14)</f>
        <v>7857508986.7299995</v>
      </c>
      <c r="F15" s="11">
        <f>SUM(F2:F9)+SUM(F12:F14)</f>
        <v>7241382850.5900002</v>
      </c>
      <c r="G15" s="11">
        <f>SUM(G2:G9)+SUM(G12:G14)</f>
        <v>7161565338.7800007</v>
      </c>
    </row>
    <row r="16" spans="1:7" x14ac:dyDescent="0.3">
      <c r="A16" s="32" t="s">
        <v>218</v>
      </c>
      <c r="B16" s="1">
        <v>279520354.33999997</v>
      </c>
      <c r="C16" s="1">
        <v>279520354.33999997</v>
      </c>
      <c r="D16" s="1">
        <v>-8054402285.4300003</v>
      </c>
      <c r="E16" s="1">
        <v>-8077799405.0600004</v>
      </c>
      <c r="F16" s="1">
        <v>-8093579099.1999998</v>
      </c>
      <c r="G16" s="1">
        <v>-8086184266.4200001</v>
      </c>
    </row>
    <row r="17" spans="1:9" x14ac:dyDescent="0.3">
      <c r="A17" s="32" t="s">
        <v>219</v>
      </c>
      <c r="B17" s="1">
        <v>-8064293211.6700001</v>
      </c>
      <c r="C17" s="1">
        <v>-8064293211.6700001</v>
      </c>
      <c r="D17" s="1">
        <v>609743472.09000003</v>
      </c>
      <c r="E17" s="1">
        <v>1209809478.25</v>
      </c>
      <c r="F17" s="1">
        <v>1477472420.99</v>
      </c>
      <c r="G17" s="1">
        <v>1721298176.01</v>
      </c>
    </row>
    <row r="18" spans="1:9" x14ac:dyDescent="0.3">
      <c r="A18" s="32" t="s">
        <v>220</v>
      </c>
      <c r="B18" s="1">
        <v>0</v>
      </c>
      <c r="C18" s="1">
        <v>294644142.24000001</v>
      </c>
      <c r="D18" s="1">
        <v>590110561</v>
      </c>
      <c r="E18" s="1">
        <v>238704595.93000001</v>
      </c>
      <c r="F18" s="1">
        <v>229469988.25</v>
      </c>
      <c r="G18" s="1">
        <v>141597635.91999999</v>
      </c>
    </row>
    <row r="19" spans="1:9" x14ac:dyDescent="0.3">
      <c r="A19" s="32" t="s">
        <v>221</v>
      </c>
      <c r="B19" s="1">
        <v>352762783.58999997</v>
      </c>
      <c r="C19" s="1">
        <v>571603365.25</v>
      </c>
      <c r="D19" s="1">
        <v>416940521.73000002</v>
      </c>
      <c r="E19" s="1">
        <v>440971091.94</v>
      </c>
      <c r="F19" s="1">
        <v>607283600.53999996</v>
      </c>
      <c r="G19" s="1">
        <v>333663964.60000002</v>
      </c>
    </row>
    <row r="20" spans="1:9" x14ac:dyDescent="0.3">
      <c r="A20" s="32" t="s">
        <v>208</v>
      </c>
      <c r="B20" s="1">
        <v>5940690373.75</v>
      </c>
      <c r="C20" s="1">
        <v>5732470012.5900002</v>
      </c>
      <c r="D20" s="1">
        <v>5511019908.4899998</v>
      </c>
      <c r="E20" s="1">
        <v>5429387367.0299997</v>
      </c>
      <c r="F20" s="1">
        <v>5341656395</v>
      </c>
      <c r="G20" s="1">
        <v>8700630145.3500004</v>
      </c>
    </row>
    <row r="21" spans="1:9" x14ac:dyDescent="0.3">
      <c r="A21" s="32" t="s">
        <v>222</v>
      </c>
      <c r="B21" s="1">
        <v>92322923.939999998</v>
      </c>
      <c r="C21" s="1">
        <v>38934324.950000003</v>
      </c>
      <c r="D21" s="1">
        <v>62608452.329999998</v>
      </c>
      <c r="E21" s="1">
        <v>40930918.770000003</v>
      </c>
      <c r="F21" s="1">
        <v>43746161.020000003</v>
      </c>
      <c r="G21" s="1">
        <v>33525721.859999999</v>
      </c>
    </row>
    <row r="22" spans="1:9" x14ac:dyDescent="0.3">
      <c r="A22" s="32" t="s">
        <v>223</v>
      </c>
      <c r="B22" s="1">
        <v>5651059521.3400002</v>
      </c>
      <c r="C22" s="1">
        <v>6742640949.8299999</v>
      </c>
      <c r="D22" s="1">
        <v>7304346651.7200003</v>
      </c>
      <c r="E22" s="1">
        <v>8035718596.2700005</v>
      </c>
      <c r="F22" s="1">
        <v>7029617622.0500002</v>
      </c>
      <c r="G22" s="1">
        <v>3626764153.8600001</v>
      </c>
    </row>
    <row r="23" spans="1:9" x14ac:dyDescent="0.3">
      <c r="A23" s="100" t="s">
        <v>359</v>
      </c>
      <c r="B23" s="1">
        <v>3139993745.6799998</v>
      </c>
      <c r="C23" s="1">
        <v>3346622588.9400001</v>
      </c>
      <c r="D23" s="1">
        <v>3211772174.6199999</v>
      </c>
      <c r="E23" s="1">
        <v>3318783585.4899998</v>
      </c>
      <c r="F23" s="1">
        <v>2498299759.2800002</v>
      </c>
      <c r="G23" s="1">
        <v>0</v>
      </c>
    </row>
    <row r="24" spans="1:9" x14ac:dyDescent="0.3">
      <c r="A24" s="100" t="s">
        <v>360</v>
      </c>
      <c r="B24" s="1">
        <v>2289003433.6999998</v>
      </c>
      <c r="C24" s="1">
        <v>2994049765.46</v>
      </c>
      <c r="D24" s="1">
        <v>3369765099.9000001</v>
      </c>
      <c r="E24" s="1">
        <v>3969011331.7399998</v>
      </c>
      <c r="F24" s="1">
        <v>3848480686.8400002</v>
      </c>
      <c r="G24" s="1">
        <v>2970627379.4499998</v>
      </c>
    </row>
    <row r="25" spans="1:9" x14ac:dyDescent="0.3">
      <c r="A25" s="32" t="s">
        <v>224</v>
      </c>
      <c r="B25" s="1">
        <v>163687276.05000001</v>
      </c>
      <c r="C25" s="1">
        <v>224517263.06</v>
      </c>
      <c r="D25" s="1">
        <v>100684003.75</v>
      </c>
      <c r="E25" s="1">
        <v>167418184.58000001</v>
      </c>
      <c r="F25" s="1">
        <v>41924697.609999999</v>
      </c>
      <c r="G25" s="1">
        <v>57770976.740000002</v>
      </c>
      <c r="H25" s="1"/>
      <c r="I25" s="1"/>
    </row>
    <row r="26" spans="1:9" x14ac:dyDescent="0.3">
      <c r="A26" s="32" t="s">
        <v>225</v>
      </c>
      <c r="B26" s="1">
        <v>664619960.21000004</v>
      </c>
      <c r="C26" s="1">
        <v>393395353.43000001</v>
      </c>
      <c r="D26" s="1">
        <v>287507789.56999999</v>
      </c>
      <c r="E26" s="1">
        <v>372368159.01999998</v>
      </c>
      <c r="F26" s="1">
        <v>563791064.33000004</v>
      </c>
      <c r="G26" s="1">
        <v>632498830.86000001</v>
      </c>
    </row>
    <row r="27" spans="1:9" x14ac:dyDescent="0.3">
      <c r="A27" s="72" t="s">
        <v>226</v>
      </c>
      <c r="B27" s="3">
        <f>SUM(B16:B26)-B23-B24</f>
        <v>5080369981.5500002</v>
      </c>
      <c r="C27" s="3">
        <f>SUM(C16:C26)-C23-C24</f>
        <v>6213432554.0199995</v>
      </c>
      <c r="D27" s="3">
        <f>SUM(D16:D26)-D23-D24</f>
        <v>6828559075.2499981</v>
      </c>
      <c r="E27" s="3">
        <f>SUM(E16:E26)-E23-E24</f>
        <v>7857508986.7299995</v>
      </c>
      <c r="F27" s="3">
        <f>SUM(F16:F26)-F23-F24</f>
        <v>7241382850.5900002</v>
      </c>
      <c r="G27" s="3">
        <f>SUM(G16:G26)-G23-G24</f>
        <v>7161565338.7800016</v>
      </c>
    </row>
    <row r="28" spans="1:9" x14ac:dyDescent="0.3">
      <c r="A28" s="10" t="s">
        <v>265</v>
      </c>
      <c r="B28" s="11">
        <f>B16+B17+B18</f>
        <v>-7784772857.3299999</v>
      </c>
      <c r="C28" s="11">
        <f>C16+C17+C18</f>
        <v>-7490128715.0900002</v>
      </c>
      <c r="D28" s="11">
        <f>D16+D17+D18</f>
        <v>-6854548252.3400002</v>
      </c>
      <c r="E28" s="11">
        <f>E16+E17+E18</f>
        <v>-6629285330.8800001</v>
      </c>
      <c r="F28" s="11">
        <f>F16+F17+F18</f>
        <v>-6386636689.96</v>
      </c>
      <c r="G28" s="11">
        <f>G16+G17+G18</f>
        <v>-6223288454.4899998</v>
      </c>
    </row>
    <row r="29" spans="1:9" x14ac:dyDescent="0.3">
      <c r="E29" s="6">
        <f>E28/E27*100</f>
        <v>-84.368790949851146</v>
      </c>
      <c r="F29" s="6">
        <f>F28/F27*100</f>
        <v>-88.196368314370261</v>
      </c>
      <c r="G29" s="6">
        <f>G28/G27*100</f>
        <v>-86.898438540953947</v>
      </c>
    </row>
  </sheetData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1"/>
  <sheetViews>
    <sheetView topLeftCell="A155" workbookViewId="0">
      <selection activeCell="H92" sqref="H92:H95"/>
    </sheetView>
  </sheetViews>
  <sheetFormatPr defaultRowHeight="14.4" x14ac:dyDescent="0.3"/>
  <cols>
    <col min="2" max="2" width="83.33203125" bestFit="1" customWidth="1"/>
    <col min="3" max="3" width="11.88671875" customWidth="1"/>
  </cols>
  <sheetData>
    <row r="1" spans="1:8" x14ac:dyDescent="0.3">
      <c r="A1" s="118" t="s">
        <v>209</v>
      </c>
      <c r="B1" s="118"/>
      <c r="C1" s="2" t="s">
        <v>210</v>
      </c>
      <c r="D1" s="97">
        <v>2016</v>
      </c>
      <c r="E1" s="97">
        <v>2017</v>
      </c>
      <c r="F1" s="97">
        <v>2018</v>
      </c>
      <c r="G1" s="97">
        <v>2019</v>
      </c>
      <c r="H1" s="97">
        <v>2020</v>
      </c>
    </row>
    <row r="2" spans="1:8" x14ac:dyDescent="0.3">
      <c r="A2" t="s">
        <v>76</v>
      </c>
    </row>
    <row r="3" spans="1:8" x14ac:dyDescent="0.3">
      <c r="A3" s="8" t="s">
        <v>77</v>
      </c>
      <c r="B3" s="8" t="s">
        <v>78</v>
      </c>
      <c r="C3" s="9">
        <v>48</v>
      </c>
      <c r="D3" s="7">
        <v>8.89</v>
      </c>
      <c r="E3" s="7">
        <v>9.7799999999999994</v>
      </c>
      <c r="F3" s="7">
        <v>7.48</v>
      </c>
      <c r="G3" s="7">
        <v>6.58</v>
      </c>
      <c r="H3" s="7">
        <v>6.24</v>
      </c>
    </row>
    <row r="4" spans="1:8" x14ac:dyDescent="0.3">
      <c r="A4" t="s">
        <v>79</v>
      </c>
      <c r="D4" s="7"/>
      <c r="E4" s="7"/>
      <c r="F4" s="7"/>
      <c r="G4" s="7"/>
      <c r="H4" s="7"/>
    </row>
    <row r="5" spans="1:8" x14ac:dyDescent="0.3">
      <c r="A5" t="s">
        <v>80</v>
      </c>
      <c r="B5" t="s">
        <v>81</v>
      </c>
      <c r="D5" s="7">
        <v>95.32</v>
      </c>
      <c r="E5" s="7">
        <v>100.49</v>
      </c>
      <c r="F5" s="7">
        <v>101.72</v>
      </c>
      <c r="G5" s="7">
        <v>100.76</v>
      </c>
      <c r="H5" s="7">
        <v>103.71</v>
      </c>
    </row>
    <row r="6" spans="1:8" x14ac:dyDescent="0.3">
      <c r="A6" t="s">
        <v>82</v>
      </c>
      <c r="B6" t="s">
        <v>83</v>
      </c>
      <c r="D6" s="7">
        <v>97.37</v>
      </c>
      <c r="E6" s="7">
        <v>97.29</v>
      </c>
      <c r="F6" s="7">
        <v>97.73</v>
      </c>
      <c r="G6" s="7">
        <v>97.46</v>
      </c>
      <c r="H6" s="7">
        <v>97.29</v>
      </c>
    </row>
    <row r="7" spans="1:8" x14ac:dyDescent="0.3">
      <c r="A7" t="s">
        <v>84</v>
      </c>
      <c r="B7" t="s">
        <v>85</v>
      </c>
      <c r="D7" s="7">
        <v>89.28</v>
      </c>
      <c r="E7" s="7">
        <v>92.41</v>
      </c>
      <c r="F7" s="7">
        <v>92.57</v>
      </c>
      <c r="G7" s="7">
        <v>92.31</v>
      </c>
      <c r="H7" s="7">
        <v>91.47</v>
      </c>
    </row>
    <row r="8" spans="1:8" x14ac:dyDescent="0.3">
      <c r="A8" t="s">
        <v>86</v>
      </c>
      <c r="B8" t="s">
        <v>87</v>
      </c>
      <c r="D8" s="7">
        <v>91.2</v>
      </c>
      <c r="E8" s="7">
        <v>89.47</v>
      </c>
      <c r="F8" s="7">
        <v>88.94</v>
      </c>
      <c r="G8" s="7">
        <v>89.29</v>
      </c>
      <c r="H8" s="7">
        <v>85.8</v>
      </c>
    </row>
    <row r="9" spans="1:8" x14ac:dyDescent="0.3">
      <c r="A9" t="s">
        <v>88</v>
      </c>
      <c r="B9" t="s">
        <v>89</v>
      </c>
      <c r="D9" s="7">
        <v>71.540000000000006</v>
      </c>
      <c r="E9" s="7">
        <v>91.28</v>
      </c>
      <c r="F9" s="7">
        <v>62.73</v>
      </c>
      <c r="G9" s="7">
        <v>80.099999999999994</v>
      </c>
      <c r="H9" s="7">
        <v>66.819999999999993</v>
      </c>
    </row>
    <row r="10" spans="1:8" x14ac:dyDescent="0.3">
      <c r="A10" t="s">
        <v>90</v>
      </c>
      <c r="B10" t="s">
        <v>91</v>
      </c>
      <c r="D10" s="7">
        <v>73.45</v>
      </c>
      <c r="E10" s="7">
        <v>65.7</v>
      </c>
      <c r="F10" s="7">
        <v>62.34</v>
      </c>
      <c r="G10" s="7">
        <v>68.55</v>
      </c>
      <c r="H10" s="7">
        <v>67.900000000000006</v>
      </c>
    </row>
    <row r="11" spans="1:8" x14ac:dyDescent="0.3">
      <c r="A11" t="s">
        <v>92</v>
      </c>
      <c r="B11" t="s">
        <v>93</v>
      </c>
      <c r="D11" s="7">
        <v>67.11</v>
      </c>
      <c r="E11" s="7">
        <v>83.93</v>
      </c>
      <c r="F11" s="7">
        <v>55.97</v>
      </c>
      <c r="G11" s="7">
        <v>73.47</v>
      </c>
      <c r="H11" s="7">
        <v>58.26</v>
      </c>
    </row>
    <row r="12" spans="1:8" x14ac:dyDescent="0.3">
      <c r="A12" s="8" t="s">
        <v>94</v>
      </c>
      <c r="B12" s="8" t="s">
        <v>95</v>
      </c>
      <c r="C12" s="9">
        <v>22</v>
      </c>
      <c r="D12" s="7">
        <v>68.900000000000006</v>
      </c>
      <c r="E12" s="7">
        <v>60.41</v>
      </c>
      <c r="F12" s="7">
        <v>55.63</v>
      </c>
      <c r="G12" s="7">
        <v>62.87</v>
      </c>
      <c r="H12" s="7">
        <v>59.2</v>
      </c>
    </row>
    <row r="13" spans="1:8" x14ac:dyDescent="0.3">
      <c r="A13" t="s">
        <v>96</v>
      </c>
      <c r="D13" s="7"/>
      <c r="E13" s="7"/>
      <c r="F13" s="7"/>
      <c r="G13" s="7"/>
      <c r="H13" s="7"/>
    </row>
    <row r="14" spans="1:8" x14ac:dyDescent="0.3">
      <c r="A14" t="s">
        <v>97</v>
      </c>
      <c r="B14" t="s">
        <v>98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</row>
    <row r="15" spans="1:8" x14ac:dyDescent="0.3">
      <c r="A15" s="8" t="s">
        <v>99</v>
      </c>
      <c r="B15" s="8" t="s">
        <v>100</v>
      </c>
      <c r="C15" s="9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</row>
    <row r="16" spans="1:8" x14ac:dyDescent="0.3">
      <c r="A16" t="s">
        <v>101</v>
      </c>
      <c r="D16" s="7"/>
      <c r="E16" s="7"/>
      <c r="F16" s="7"/>
      <c r="G16" s="7"/>
      <c r="H16" s="7"/>
    </row>
    <row r="17" spans="1:8" x14ac:dyDescent="0.3">
      <c r="A17" t="s">
        <v>102</v>
      </c>
      <c r="B17" t="s">
        <v>103</v>
      </c>
      <c r="D17" s="7">
        <v>2.1800000000000002</v>
      </c>
      <c r="E17" s="7">
        <v>1.91</v>
      </c>
      <c r="F17" s="7">
        <v>1.79</v>
      </c>
      <c r="G17" s="7">
        <v>1.91</v>
      </c>
      <c r="H17" s="7">
        <v>1.68</v>
      </c>
    </row>
    <row r="18" spans="1:8" x14ac:dyDescent="0.3">
      <c r="A18" t="s">
        <v>104</v>
      </c>
      <c r="B18" t="s">
        <v>105</v>
      </c>
      <c r="D18" s="7">
        <v>9.9700000000000006</v>
      </c>
      <c r="E18" s="7">
        <v>23.64</v>
      </c>
      <c r="F18" s="7">
        <v>27.23</v>
      </c>
      <c r="G18" s="7">
        <v>27.04</v>
      </c>
      <c r="H18" s="7">
        <v>28.65</v>
      </c>
    </row>
    <row r="19" spans="1:8" x14ac:dyDescent="0.3">
      <c r="A19" t="s">
        <v>106</v>
      </c>
      <c r="B19" t="s">
        <v>107</v>
      </c>
      <c r="D19" s="7">
        <v>3.89</v>
      </c>
      <c r="E19" s="7">
        <v>4.21</v>
      </c>
      <c r="F19" s="7">
        <v>2.2400000000000002</v>
      </c>
      <c r="G19" s="7">
        <v>2.04</v>
      </c>
      <c r="H19" s="7">
        <v>2.78</v>
      </c>
    </row>
    <row r="20" spans="1:8" x14ac:dyDescent="0.3">
      <c r="A20" t="s">
        <v>108</v>
      </c>
      <c r="B20" t="s">
        <v>109</v>
      </c>
      <c r="D20" s="7">
        <v>49.38</v>
      </c>
      <c r="E20" s="7">
        <v>47.24</v>
      </c>
      <c r="F20" s="7">
        <v>43.89</v>
      </c>
      <c r="G20" s="7">
        <v>46.95</v>
      </c>
      <c r="H20" s="7">
        <v>44.65</v>
      </c>
    </row>
    <row r="21" spans="1:8" x14ac:dyDescent="0.3">
      <c r="A21" t="s">
        <v>110</v>
      </c>
      <c r="D21" s="7"/>
      <c r="E21" s="7"/>
      <c r="F21" s="7"/>
      <c r="G21" s="7"/>
      <c r="H21" s="7"/>
    </row>
    <row r="22" spans="1:8" x14ac:dyDescent="0.3">
      <c r="A22" t="s">
        <v>111</v>
      </c>
      <c r="B22" t="s">
        <v>112</v>
      </c>
      <c r="D22" s="7">
        <v>0.28999999999999998</v>
      </c>
      <c r="E22" s="7">
        <v>0.47</v>
      </c>
      <c r="F22" s="7">
        <v>0.37</v>
      </c>
      <c r="G22" s="7">
        <v>0.35</v>
      </c>
      <c r="H22" s="7">
        <v>0.73</v>
      </c>
    </row>
    <row r="23" spans="1:8" x14ac:dyDescent="0.3">
      <c r="A23" t="s">
        <v>113</v>
      </c>
      <c r="D23" s="7"/>
      <c r="E23" s="7"/>
      <c r="F23" s="7"/>
      <c r="G23" s="7"/>
      <c r="H23" s="7"/>
    </row>
    <row r="24" spans="1:8" x14ac:dyDescent="0.3">
      <c r="A24" t="s">
        <v>114</v>
      </c>
      <c r="B24" t="s">
        <v>115</v>
      </c>
      <c r="D24" s="7">
        <v>1.22</v>
      </c>
      <c r="E24" s="7">
        <v>1.91</v>
      </c>
      <c r="F24" s="7">
        <v>1.2</v>
      </c>
      <c r="G24" s="7">
        <v>0.92</v>
      </c>
      <c r="H24" s="7">
        <v>1.28</v>
      </c>
    </row>
    <row r="25" spans="1:8" x14ac:dyDescent="0.3">
      <c r="A25" t="s">
        <v>116</v>
      </c>
      <c r="B25" t="s">
        <v>117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</row>
    <row r="26" spans="1:8" x14ac:dyDescent="0.3">
      <c r="A26" t="s">
        <v>118</v>
      </c>
      <c r="B26" t="s">
        <v>119</v>
      </c>
      <c r="D26" s="7">
        <v>0.9</v>
      </c>
      <c r="E26" s="7">
        <v>0</v>
      </c>
      <c r="F26" s="7">
        <v>0.01</v>
      </c>
      <c r="G26" s="7">
        <v>0</v>
      </c>
      <c r="H26" s="7">
        <v>0</v>
      </c>
    </row>
    <row r="27" spans="1:8" x14ac:dyDescent="0.3">
      <c r="A27" t="s">
        <v>120</v>
      </c>
      <c r="D27" s="7"/>
      <c r="E27" s="7"/>
      <c r="F27" s="7"/>
      <c r="G27" s="7"/>
      <c r="H27" s="7"/>
    </row>
    <row r="28" spans="1:8" x14ac:dyDescent="0.3">
      <c r="A28" t="s">
        <v>121</v>
      </c>
      <c r="B28" t="s">
        <v>122</v>
      </c>
      <c r="D28" s="7">
        <v>4.91</v>
      </c>
      <c r="E28" s="7">
        <v>3.18</v>
      </c>
      <c r="F28" s="7">
        <v>2.4300000000000002</v>
      </c>
      <c r="G28" s="7">
        <v>4.66</v>
      </c>
      <c r="H28" s="7">
        <v>3.41</v>
      </c>
    </row>
    <row r="29" spans="1:8" x14ac:dyDescent="0.3">
      <c r="A29" t="s">
        <v>123</v>
      </c>
      <c r="B29" t="s">
        <v>124</v>
      </c>
      <c r="D29" s="7">
        <v>29.27</v>
      </c>
      <c r="E29" s="7">
        <v>17.23</v>
      </c>
      <c r="F29" s="7">
        <v>8.89</v>
      </c>
      <c r="G29" s="7">
        <v>15.91</v>
      </c>
      <c r="H29" s="7">
        <v>17.95</v>
      </c>
    </row>
    <row r="30" spans="1:8" x14ac:dyDescent="0.3">
      <c r="A30" t="s">
        <v>125</v>
      </c>
      <c r="B30" t="s">
        <v>126</v>
      </c>
      <c r="D30" s="7">
        <v>94.08</v>
      </c>
      <c r="E30" s="7">
        <v>62.62</v>
      </c>
      <c r="F30" s="7">
        <v>51.88</v>
      </c>
      <c r="G30" s="7">
        <v>104.22</v>
      </c>
      <c r="H30" s="7">
        <v>76.78</v>
      </c>
    </row>
    <row r="31" spans="1:8" x14ac:dyDescent="0.3">
      <c r="A31" t="s">
        <v>127</v>
      </c>
      <c r="B31" t="s">
        <v>128</v>
      </c>
      <c r="D31" s="7">
        <v>123.34</v>
      </c>
      <c r="E31" s="7">
        <v>79.84</v>
      </c>
      <c r="F31" s="7">
        <v>60.77</v>
      </c>
      <c r="G31" s="7">
        <v>120.13</v>
      </c>
      <c r="H31" s="7">
        <v>94.73</v>
      </c>
    </row>
    <row r="32" spans="1:8" x14ac:dyDescent="0.3">
      <c r="A32" t="s">
        <v>129</v>
      </c>
      <c r="B32" t="s">
        <v>130</v>
      </c>
      <c r="D32" s="7">
        <v>24.93</v>
      </c>
      <c r="E32" s="7">
        <v>2.5499999999999998</v>
      </c>
      <c r="F32" s="7">
        <v>75.11</v>
      </c>
      <c r="G32" s="7">
        <v>40.409999999999997</v>
      </c>
      <c r="H32" s="7">
        <v>59.97</v>
      </c>
    </row>
    <row r="33" spans="1:8" x14ac:dyDescent="0.3">
      <c r="A33" t="s">
        <v>131</v>
      </c>
      <c r="B33" t="s">
        <v>132</v>
      </c>
      <c r="D33" s="7">
        <v>0.08</v>
      </c>
      <c r="E33" s="7">
        <v>0.51</v>
      </c>
      <c r="F33" s="7">
        <v>1.18</v>
      </c>
      <c r="G33" s="7">
        <v>1.49</v>
      </c>
      <c r="H33" s="7">
        <v>1.1100000000000001</v>
      </c>
    </row>
    <row r="34" spans="1:8" x14ac:dyDescent="0.3">
      <c r="A34" t="s">
        <v>133</v>
      </c>
      <c r="B34" t="s">
        <v>134</v>
      </c>
      <c r="D34" s="7">
        <v>1.19</v>
      </c>
      <c r="E34" s="7">
        <v>0.21</v>
      </c>
      <c r="F34" s="7">
        <v>8.93</v>
      </c>
      <c r="G34" s="7">
        <v>5.16</v>
      </c>
      <c r="H34" s="7">
        <v>0</v>
      </c>
    </row>
    <row r="35" spans="1:8" x14ac:dyDescent="0.3">
      <c r="A35" t="s">
        <v>135</v>
      </c>
      <c r="D35" s="7"/>
      <c r="E35" s="7"/>
      <c r="F35" s="7"/>
      <c r="G35" s="7"/>
      <c r="H35" s="7"/>
    </row>
    <row r="36" spans="1:8" x14ac:dyDescent="0.3">
      <c r="A36" t="s">
        <v>136</v>
      </c>
      <c r="B36" t="s">
        <v>137</v>
      </c>
      <c r="D36" s="7">
        <v>41.14</v>
      </c>
      <c r="E36" s="7">
        <v>38.56</v>
      </c>
      <c r="F36" s="7">
        <v>41.69</v>
      </c>
      <c r="G36" s="7">
        <v>38.83</v>
      </c>
      <c r="H36" s="7">
        <v>50.24</v>
      </c>
    </row>
    <row r="37" spans="1:8" x14ac:dyDescent="0.3">
      <c r="A37" t="s">
        <v>138</v>
      </c>
      <c r="B37" t="s">
        <v>139</v>
      </c>
      <c r="D37" s="7">
        <v>53.31</v>
      </c>
      <c r="E37" s="7">
        <v>37.130000000000003</v>
      </c>
      <c r="F37" s="7">
        <v>33.11</v>
      </c>
      <c r="G37" s="7">
        <v>55.62</v>
      </c>
      <c r="H37" s="7">
        <v>40.729999999999997</v>
      </c>
    </row>
    <row r="38" spans="1:8" x14ac:dyDescent="0.3">
      <c r="A38" t="s">
        <v>140</v>
      </c>
      <c r="B38" t="s">
        <v>141</v>
      </c>
      <c r="D38" s="7">
        <v>27.01</v>
      </c>
      <c r="E38" s="7">
        <v>0</v>
      </c>
      <c r="F38" s="7">
        <v>18.260000000000002</v>
      </c>
      <c r="G38" s="7">
        <v>100</v>
      </c>
      <c r="H38" s="7">
        <v>100</v>
      </c>
    </row>
    <row r="39" spans="1:8" x14ac:dyDescent="0.3">
      <c r="A39" t="s">
        <v>142</v>
      </c>
      <c r="B39" t="s">
        <v>143</v>
      </c>
      <c r="D39" s="7">
        <v>15.91</v>
      </c>
      <c r="E39" s="7">
        <v>44.36</v>
      </c>
      <c r="F39" s="7">
        <v>38.340000000000003</v>
      </c>
      <c r="G39" s="7">
        <v>29.56</v>
      </c>
      <c r="H39" s="7">
        <v>28.72</v>
      </c>
    </row>
    <row r="40" spans="1:8" x14ac:dyDescent="0.3">
      <c r="A40" t="s">
        <v>144</v>
      </c>
      <c r="B40" t="s">
        <v>145</v>
      </c>
      <c r="D40" s="7">
        <v>96.61</v>
      </c>
      <c r="E40" s="7">
        <v>47.24</v>
      </c>
      <c r="F40" s="7">
        <v>68.09</v>
      </c>
      <c r="G40" s="7">
        <v>81.650000000000006</v>
      </c>
      <c r="H40" s="7">
        <v>41.21</v>
      </c>
    </row>
    <row r="41" spans="1:8" x14ac:dyDescent="0.3">
      <c r="A41" t="s">
        <v>146</v>
      </c>
      <c r="B41" t="s">
        <v>147</v>
      </c>
      <c r="D41" s="7">
        <v>8.52</v>
      </c>
      <c r="E41" s="7">
        <v>18.23</v>
      </c>
      <c r="F41" s="7">
        <v>53.31</v>
      </c>
      <c r="G41" s="7">
        <v>70.05</v>
      </c>
      <c r="H41" s="7">
        <v>96.88</v>
      </c>
    </row>
    <row r="42" spans="1:8" x14ac:dyDescent="0.3">
      <c r="A42" t="s">
        <v>148</v>
      </c>
      <c r="D42" s="7"/>
      <c r="E42" s="7"/>
      <c r="F42" s="7"/>
      <c r="G42" s="7"/>
      <c r="H42" s="7"/>
    </row>
    <row r="43" spans="1:8" x14ac:dyDescent="0.3">
      <c r="A43" t="s">
        <v>149</v>
      </c>
      <c r="B43" t="s">
        <v>150</v>
      </c>
      <c r="D43" s="7">
        <v>28.21</v>
      </c>
      <c r="E43" s="7">
        <v>33.97</v>
      </c>
      <c r="F43" s="7">
        <v>26.05</v>
      </c>
      <c r="G43" s="7">
        <v>92.63</v>
      </c>
      <c r="H43" s="7">
        <v>88.46</v>
      </c>
    </row>
    <row r="44" spans="1:8" x14ac:dyDescent="0.3">
      <c r="A44" t="s">
        <v>151</v>
      </c>
      <c r="B44" t="s">
        <v>152</v>
      </c>
      <c r="D44" s="7">
        <v>86.55</v>
      </c>
      <c r="E44" s="7">
        <v>14.47</v>
      </c>
      <c r="F44" s="7">
        <v>10.54</v>
      </c>
      <c r="G44" s="7">
        <v>93.48</v>
      </c>
      <c r="H44" s="7">
        <v>48.02</v>
      </c>
    </row>
    <row r="45" spans="1:8" x14ac:dyDescent="0.3">
      <c r="A45" t="s">
        <v>153</v>
      </c>
      <c r="B45" t="s">
        <v>154</v>
      </c>
      <c r="D45" s="7">
        <v>83.23</v>
      </c>
      <c r="E45" s="7">
        <v>87.78</v>
      </c>
      <c r="F45" s="7">
        <v>86.89</v>
      </c>
      <c r="G45" s="7">
        <v>87.02</v>
      </c>
      <c r="H45" s="7">
        <v>87.38</v>
      </c>
    </row>
    <row r="46" spans="1:8" x14ac:dyDescent="0.3">
      <c r="A46" t="s">
        <v>155</v>
      </c>
      <c r="B46" t="s">
        <v>156</v>
      </c>
      <c r="D46" s="7">
        <v>37.11</v>
      </c>
      <c r="E46" s="7">
        <v>36.799999999999997</v>
      </c>
      <c r="F46" s="7">
        <v>42.24</v>
      </c>
      <c r="G46" s="7">
        <v>41.28</v>
      </c>
      <c r="H46" s="7">
        <v>48.58</v>
      </c>
    </row>
    <row r="47" spans="1:8" x14ac:dyDescent="0.3">
      <c r="A47" t="s">
        <v>157</v>
      </c>
      <c r="B47" t="s">
        <v>158</v>
      </c>
      <c r="D47" s="7">
        <v>39.97</v>
      </c>
      <c r="E47" s="7">
        <v>22.12</v>
      </c>
      <c r="F47" s="7">
        <v>26</v>
      </c>
      <c r="G47" s="7">
        <v>6.46</v>
      </c>
      <c r="H47" s="7">
        <v>7.74</v>
      </c>
    </row>
    <row r="48" spans="1:8" x14ac:dyDescent="0.3">
      <c r="A48" t="s">
        <v>159</v>
      </c>
      <c r="D48" s="7"/>
      <c r="E48" s="7"/>
      <c r="F48" s="7"/>
      <c r="G48" s="7"/>
      <c r="H48" s="7"/>
    </row>
    <row r="49" spans="1:8" x14ac:dyDescent="0.3">
      <c r="A49" t="s">
        <v>160</v>
      </c>
      <c r="B49" t="s">
        <v>161</v>
      </c>
      <c r="D49" s="7">
        <v>0.04</v>
      </c>
      <c r="E49" s="7">
        <v>0</v>
      </c>
      <c r="F49" s="7">
        <v>0</v>
      </c>
      <c r="G49" s="7">
        <v>0</v>
      </c>
      <c r="H49" s="7">
        <v>0</v>
      </c>
    </row>
    <row r="50" spans="1:8" x14ac:dyDescent="0.3">
      <c r="A50" t="s">
        <v>162</v>
      </c>
      <c r="B50" t="s">
        <v>163</v>
      </c>
      <c r="D50" s="7">
        <v>3.93</v>
      </c>
      <c r="E50" s="7">
        <v>1.94</v>
      </c>
      <c r="F50" s="7">
        <v>3.55</v>
      </c>
      <c r="G50" s="7">
        <v>2.29</v>
      </c>
      <c r="H50" s="7">
        <v>0.94</v>
      </c>
    </row>
    <row r="51" spans="1:8" x14ac:dyDescent="0.3">
      <c r="A51" s="8" t="s">
        <v>164</v>
      </c>
      <c r="B51" s="8" t="s">
        <v>165</v>
      </c>
      <c r="C51" s="9">
        <v>16</v>
      </c>
      <c r="D51" s="7">
        <v>3.96</v>
      </c>
      <c r="E51" s="7">
        <v>3.32</v>
      </c>
      <c r="F51" s="7">
        <v>2.93</v>
      </c>
      <c r="G51" s="7">
        <v>1.98</v>
      </c>
      <c r="H51" s="7">
        <v>1.97</v>
      </c>
    </row>
    <row r="52" spans="1:8" x14ac:dyDescent="0.3">
      <c r="A52" t="s">
        <v>166</v>
      </c>
      <c r="B52" t="s">
        <v>167</v>
      </c>
      <c r="D52" s="7">
        <v>1301.58</v>
      </c>
      <c r="E52" s="7">
        <v>2900.05</v>
      </c>
      <c r="F52" s="7">
        <v>1254.6400000000001</v>
      </c>
      <c r="G52" s="7">
        <v>1226.1600000000001</v>
      </c>
      <c r="H52" s="7">
        <v>2036.09</v>
      </c>
    </row>
    <row r="53" spans="1:8" x14ac:dyDescent="0.3">
      <c r="A53" t="s">
        <v>168</v>
      </c>
      <c r="D53" s="7"/>
      <c r="E53" s="7"/>
      <c r="F53" s="7"/>
      <c r="G53" s="7"/>
      <c r="H53" s="7">
        <v>0</v>
      </c>
    </row>
    <row r="54" spans="1:8" x14ac:dyDescent="0.3">
      <c r="A54" t="s">
        <v>169</v>
      </c>
      <c r="B54" t="s">
        <v>170</v>
      </c>
      <c r="D54" s="7">
        <v>0</v>
      </c>
      <c r="E54" s="7">
        <v>0</v>
      </c>
      <c r="F54" s="7">
        <v>0</v>
      </c>
      <c r="G54" s="7">
        <v>-382.02414717980059</v>
      </c>
      <c r="H54" s="7">
        <v>-384.33110214205277</v>
      </c>
    </row>
    <row r="55" spans="1:8" x14ac:dyDescent="0.3">
      <c r="A55" t="s">
        <v>171</v>
      </c>
      <c r="B55" t="s">
        <v>172</v>
      </c>
      <c r="D55" s="7">
        <v>0</v>
      </c>
      <c r="E55" s="7">
        <v>0</v>
      </c>
      <c r="F55" s="7">
        <v>0</v>
      </c>
      <c r="G55" s="7">
        <v>0</v>
      </c>
      <c r="H55" s="7">
        <v>0</v>
      </c>
    </row>
    <row r="56" spans="1:8" x14ac:dyDescent="0.3">
      <c r="A56" t="s">
        <v>173</v>
      </c>
      <c r="B56" t="s">
        <v>174</v>
      </c>
      <c r="D56" s="7">
        <v>0</v>
      </c>
      <c r="E56" s="7">
        <v>0</v>
      </c>
      <c r="F56" s="7">
        <v>0</v>
      </c>
      <c r="G56" s="7">
        <v>264.85357518386741</v>
      </c>
      <c r="H56" s="7">
        <v>268.81309069786022</v>
      </c>
    </row>
    <row r="57" spans="1:8" x14ac:dyDescent="0.3">
      <c r="A57" t="s">
        <v>175</v>
      </c>
      <c r="B57" t="s">
        <v>176</v>
      </c>
      <c r="D57" s="7">
        <v>0</v>
      </c>
      <c r="E57" s="7">
        <v>0</v>
      </c>
      <c r="F57" s="7">
        <v>0</v>
      </c>
      <c r="G57" s="7">
        <v>17.170571995933194</v>
      </c>
      <c r="H57" s="7">
        <v>15.518011444192581</v>
      </c>
    </row>
    <row r="58" spans="1:8" x14ac:dyDescent="0.3">
      <c r="A58" t="s">
        <v>177</v>
      </c>
      <c r="D58" s="7"/>
      <c r="E58" s="7"/>
      <c r="F58" s="7"/>
      <c r="G58" s="7"/>
      <c r="H58" s="7"/>
    </row>
    <row r="59" spans="1:8" x14ac:dyDescent="0.3">
      <c r="A59" t="s">
        <v>178</v>
      </c>
      <c r="B59" t="s">
        <v>179</v>
      </c>
      <c r="D59" s="7">
        <v>2</v>
      </c>
      <c r="E59" s="7">
        <v>8.36</v>
      </c>
      <c r="F59" s="7">
        <v>4.6900000000000004</v>
      </c>
      <c r="G59" s="7">
        <v>5.7</v>
      </c>
      <c r="H59" s="7">
        <v>5.22</v>
      </c>
    </row>
    <row r="60" spans="1:8" x14ac:dyDescent="0.3">
      <c r="A60" t="s">
        <v>180</v>
      </c>
      <c r="B60" t="s">
        <v>181</v>
      </c>
      <c r="D60" s="7"/>
      <c r="E60" s="7"/>
      <c r="F60" s="7"/>
      <c r="G60" s="7">
        <v>-5.7</v>
      </c>
      <c r="H60" s="7">
        <v>-5.22</v>
      </c>
    </row>
    <row r="61" spans="1:8" x14ac:dyDescent="0.3">
      <c r="A61" t="s">
        <v>182</v>
      </c>
      <c r="B61" t="s">
        <v>183</v>
      </c>
      <c r="D61" s="7">
        <v>0</v>
      </c>
      <c r="E61" s="7">
        <v>0</v>
      </c>
      <c r="F61" s="7">
        <v>0</v>
      </c>
      <c r="G61" s="7">
        <v>100</v>
      </c>
      <c r="H61" s="7">
        <v>100</v>
      </c>
    </row>
    <row r="62" spans="1:8" x14ac:dyDescent="0.3">
      <c r="A62" s="8" t="s">
        <v>184</v>
      </c>
      <c r="B62" s="8" t="s">
        <v>185</v>
      </c>
      <c r="C62" s="9">
        <v>1.2</v>
      </c>
      <c r="D62" s="7">
        <v>3.54</v>
      </c>
      <c r="E62" s="7">
        <v>3.88</v>
      </c>
      <c r="F62" s="7">
        <v>2.92</v>
      </c>
      <c r="G62" s="7">
        <v>2.89</v>
      </c>
      <c r="H62" s="7">
        <v>2.77</v>
      </c>
    </row>
    <row r="63" spans="1:8" x14ac:dyDescent="0.3">
      <c r="A63" t="s">
        <v>352</v>
      </c>
      <c r="B63" t="s">
        <v>353</v>
      </c>
      <c r="C63" s="7"/>
      <c r="D63" s="7">
        <v>0</v>
      </c>
      <c r="E63" s="7">
        <v>0</v>
      </c>
      <c r="F63" s="7">
        <v>0</v>
      </c>
      <c r="G63" s="7">
        <v>0</v>
      </c>
      <c r="H63" s="7">
        <v>0</v>
      </c>
    </row>
    <row r="64" spans="1:8" x14ac:dyDescent="0.3">
      <c r="A64" t="s">
        <v>186</v>
      </c>
      <c r="D64" s="7"/>
      <c r="E64" s="7"/>
      <c r="F64" s="7"/>
      <c r="G64" s="7"/>
      <c r="H64" s="7"/>
    </row>
    <row r="65" spans="1:8" x14ac:dyDescent="0.3">
      <c r="A65" s="8" t="s">
        <v>187</v>
      </c>
      <c r="B65" s="8" t="s">
        <v>188</v>
      </c>
      <c r="C65" s="9">
        <v>1</v>
      </c>
      <c r="D65" s="7">
        <v>0.03</v>
      </c>
      <c r="E65" s="7">
        <v>0.03</v>
      </c>
      <c r="F65" s="7">
        <v>0.56999999999999995</v>
      </c>
      <c r="G65" s="7">
        <v>0</v>
      </c>
      <c r="H65" s="7">
        <v>0</v>
      </c>
    </row>
    <row r="66" spans="1:8" x14ac:dyDescent="0.3">
      <c r="A66" s="8" t="s">
        <v>189</v>
      </c>
      <c r="B66" s="8" t="s">
        <v>190</v>
      </c>
      <c r="C66" s="9"/>
      <c r="D66" s="7">
        <v>0</v>
      </c>
      <c r="E66" s="7">
        <v>0</v>
      </c>
      <c r="F66" s="7">
        <v>0</v>
      </c>
      <c r="G66" s="7">
        <v>0</v>
      </c>
      <c r="H66" s="7">
        <v>0</v>
      </c>
    </row>
    <row r="67" spans="1:8" x14ac:dyDescent="0.3">
      <c r="A67" s="8" t="s">
        <v>191</v>
      </c>
      <c r="B67" s="8" t="s">
        <v>192</v>
      </c>
      <c r="C67" s="9">
        <v>0.6</v>
      </c>
      <c r="D67" s="7">
        <v>0.1</v>
      </c>
      <c r="E67" s="7">
        <v>0.1</v>
      </c>
      <c r="F67" s="7">
        <v>0</v>
      </c>
      <c r="G67" s="7">
        <v>0</v>
      </c>
      <c r="H67" s="7">
        <v>0</v>
      </c>
    </row>
    <row r="68" spans="1:8" x14ac:dyDescent="0.3">
      <c r="A68" t="s">
        <v>193</v>
      </c>
      <c r="D68" s="7"/>
      <c r="E68" s="7"/>
      <c r="F68" s="7"/>
      <c r="G68" s="7"/>
      <c r="H68" s="7"/>
    </row>
    <row r="69" spans="1:8" x14ac:dyDescent="0.3">
      <c r="A69" t="s">
        <v>194</v>
      </c>
      <c r="B69" t="s">
        <v>195</v>
      </c>
      <c r="D69" s="7">
        <v>85.96</v>
      </c>
      <c r="E69" s="7">
        <v>88.86</v>
      </c>
      <c r="F69" s="30">
        <v>77.72</v>
      </c>
      <c r="G69" s="30">
        <v>55.65</v>
      </c>
      <c r="H69" s="30">
        <v>88.19</v>
      </c>
    </row>
    <row r="70" spans="1:8" x14ac:dyDescent="0.3">
      <c r="A70" t="s">
        <v>196</v>
      </c>
      <c r="D70" s="7"/>
      <c r="E70" s="7"/>
      <c r="F70" s="7"/>
      <c r="G70" s="7"/>
      <c r="H70" s="7"/>
    </row>
    <row r="71" spans="1:8" x14ac:dyDescent="0.3">
      <c r="A71" t="s">
        <v>197</v>
      </c>
      <c r="B71" t="s">
        <v>198</v>
      </c>
      <c r="D71" s="7">
        <v>2.83</v>
      </c>
      <c r="E71" s="30">
        <v>1.25</v>
      </c>
      <c r="F71" s="7">
        <v>1.71</v>
      </c>
      <c r="G71" s="7">
        <v>0.9</v>
      </c>
      <c r="H71" s="7">
        <v>0.9</v>
      </c>
    </row>
    <row r="72" spans="1:8" x14ac:dyDescent="0.3">
      <c r="A72" t="s">
        <v>199</v>
      </c>
      <c r="B72" t="s">
        <v>200</v>
      </c>
      <c r="D72" s="7">
        <v>2.96</v>
      </c>
      <c r="E72" s="30">
        <v>2.17</v>
      </c>
      <c r="F72" s="7">
        <v>2.97</v>
      </c>
      <c r="G72" s="7">
        <v>0.95</v>
      </c>
      <c r="H72" s="7">
        <v>0.94</v>
      </c>
    </row>
    <row r="73" spans="1:8" x14ac:dyDescent="0.3">
      <c r="A73" t="s">
        <v>303</v>
      </c>
      <c r="D73" s="7"/>
      <c r="E73" s="7"/>
      <c r="F73" s="7"/>
      <c r="G73" s="7"/>
      <c r="H73" s="7"/>
    </row>
    <row r="74" spans="1:8" x14ac:dyDescent="0.3">
      <c r="B74" t="s">
        <v>201</v>
      </c>
      <c r="D74" s="7">
        <v>75.069999999999993</v>
      </c>
      <c r="E74" s="7">
        <v>70.48</v>
      </c>
      <c r="F74" s="7">
        <v>67.48</v>
      </c>
      <c r="G74" s="7">
        <v>68.58</v>
      </c>
      <c r="H74" s="7">
        <v>67.92</v>
      </c>
    </row>
    <row r="75" spans="1:8" x14ac:dyDescent="0.3">
      <c r="B75" t="s">
        <v>202</v>
      </c>
      <c r="D75" s="7">
        <v>79.94</v>
      </c>
      <c r="E75" s="7">
        <v>82.03</v>
      </c>
      <c r="F75" s="7">
        <v>82.49</v>
      </c>
      <c r="G75" s="7">
        <v>88.21</v>
      </c>
      <c r="H75" s="7">
        <v>87.65</v>
      </c>
    </row>
    <row r="76" spans="1:8" x14ac:dyDescent="0.3">
      <c r="B76" t="s">
        <v>203</v>
      </c>
      <c r="D76" s="7">
        <v>58.4</v>
      </c>
      <c r="E76" s="7">
        <v>34.58</v>
      </c>
      <c r="F76" s="7">
        <v>27.99</v>
      </c>
      <c r="G76" s="7">
        <v>24.22</v>
      </c>
      <c r="H76" s="7">
        <v>23.65</v>
      </c>
    </row>
    <row r="77" spans="1:8" x14ac:dyDescent="0.3">
      <c r="A77" s="8" t="s">
        <v>36</v>
      </c>
      <c r="B77" s="8"/>
      <c r="C77" s="9">
        <v>47</v>
      </c>
      <c r="D77" s="7">
        <v>73.243887623332327</v>
      </c>
      <c r="E77" s="7">
        <v>68.510371146147847</v>
      </c>
      <c r="F77" s="30">
        <v>67.015050584427499</v>
      </c>
      <c r="G77" s="30">
        <v>71.495366856468479</v>
      </c>
      <c r="H77" s="30">
        <v>71.052977249752701</v>
      </c>
    </row>
    <row r="78" spans="1:8" x14ac:dyDescent="0.3">
      <c r="A78" s="31" t="s">
        <v>333</v>
      </c>
      <c r="B78" s="31"/>
      <c r="C78" s="63"/>
      <c r="D78" s="30">
        <v>69.842754030164627</v>
      </c>
      <c r="E78" s="30">
        <v>65.113945306431901</v>
      </c>
      <c r="F78" s="30">
        <v>64.456741378498435</v>
      </c>
      <c r="G78" s="30">
        <v>69.013600593652725</v>
      </c>
      <c r="H78" s="30">
        <v>68.032986534909455</v>
      </c>
    </row>
    <row r="79" spans="1:8" x14ac:dyDescent="0.3">
      <c r="A79" t="s">
        <v>266</v>
      </c>
      <c r="D79" s="7"/>
      <c r="E79" s="7"/>
      <c r="F79" s="7"/>
      <c r="G79" s="7"/>
      <c r="H79" s="7"/>
    </row>
    <row r="80" spans="1:8" x14ac:dyDescent="0.3">
      <c r="A80">
        <v>4</v>
      </c>
      <c r="B80" t="s">
        <v>204</v>
      </c>
      <c r="D80" s="7">
        <v>0.64599483204134367</v>
      </c>
      <c r="E80" s="7">
        <v>0.97651708904905843</v>
      </c>
      <c r="F80" s="30">
        <v>0.76110416903328415</v>
      </c>
      <c r="G80" s="30">
        <v>0.80027051397655535</v>
      </c>
      <c r="H80" s="30">
        <v>0.83908045977011492</v>
      </c>
    </row>
    <row r="81" spans="1:8" x14ac:dyDescent="0.3">
      <c r="A81">
        <v>9</v>
      </c>
      <c r="B81" t="s">
        <v>345</v>
      </c>
      <c r="D81" s="7">
        <v>1.6560958421423535</v>
      </c>
      <c r="E81" s="7">
        <v>1.4066496163682864</v>
      </c>
      <c r="F81" s="30">
        <v>1.7039645575372031</v>
      </c>
      <c r="G81" s="30">
        <v>1.6343552750225427</v>
      </c>
      <c r="H81" s="30">
        <v>1.8620689655172415</v>
      </c>
    </row>
    <row r="82" spans="1:8" x14ac:dyDescent="0.3">
      <c r="A82">
        <v>10</v>
      </c>
      <c r="B82" t="s">
        <v>205</v>
      </c>
      <c r="D82" s="7">
        <v>6.5539112050739963</v>
      </c>
      <c r="E82" s="7">
        <v>6.4054870960241805</v>
      </c>
      <c r="F82" s="30">
        <v>6.0661138248324438</v>
      </c>
      <c r="G82" s="30">
        <v>5.6582506762849416</v>
      </c>
      <c r="H82" s="30">
        <v>5.5977011494252871</v>
      </c>
    </row>
    <row r="83" spans="1:8" x14ac:dyDescent="0.3">
      <c r="A83">
        <v>12</v>
      </c>
      <c r="B83" t="s">
        <v>206</v>
      </c>
      <c r="D83" s="7">
        <v>2.1259102654451492</v>
      </c>
      <c r="E83" s="7">
        <v>1.7554057196000932</v>
      </c>
      <c r="F83" s="30">
        <v>1.8857207770078381</v>
      </c>
      <c r="G83" s="30">
        <v>2.1641118124436427</v>
      </c>
      <c r="H83" s="30">
        <v>2.2068965517241379</v>
      </c>
    </row>
    <row r="84" spans="1:8" x14ac:dyDescent="0.3">
      <c r="A84">
        <v>13</v>
      </c>
      <c r="B84" t="s">
        <v>354</v>
      </c>
      <c r="D84" s="7">
        <v>71.576227390180875</v>
      </c>
      <c r="E84" s="7">
        <v>73.634038595675435</v>
      </c>
      <c r="F84" s="30">
        <v>72.6229694422356</v>
      </c>
      <c r="G84" s="30">
        <v>72.959873760144276</v>
      </c>
      <c r="H84" s="30">
        <v>72.022988505747122</v>
      </c>
    </row>
    <row r="85" spans="1:8" x14ac:dyDescent="0.3">
      <c r="A85" t="s">
        <v>207</v>
      </c>
      <c r="D85" s="7"/>
      <c r="E85" s="7"/>
      <c r="F85" s="7"/>
      <c r="G85" s="7"/>
      <c r="H85" s="7"/>
    </row>
    <row r="86" spans="1:8" x14ac:dyDescent="0.3">
      <c r="A86">
        <v>4</v>
      </c>
      <c r="B86" t="s">
        <v>204</v>
      </c>
      <c r="D86" s="7">
        <v>43.95</v>
      </c>
      <c r="E86" s="7">
        <v>45.11</v>
      </c>
      <c r="F86" s="7">
        <v>43.85</v>
      </c>
      <c r="G86" s="7">
        <v>40.799999999999997</v>
      </c>
      <c r="H86" s="7">
        <v>57.843588003422482</v>
      </c>
    </row>
    <row r="87" spans="1:8" x14ac:dyDescent="0.3">
      <c r="A87">
        <v>9</v>
      </c>
      <c r="B87" t="s">
        <v>345</v>
      </c>
      <c r="D87" s="7">
        <v>54.01</v>
      </c>
      <c r="E87" s="7">
        <v>55.98</v>
      </c>
      <c r="F87" s="7">
        <v>47.93</v>
      </c>
      <c r="G87" s="7">
        <v>62.71</v>
      </c>
      <c r="H87" s="7">
        <v>64.8</v>
      </c>
    </row>
    <row r="88" spans="1:8" x14ac:dyDescent="0.3">
      <c r="A88">
        <v>10</v>
      </c>
      <c r="B88" t="s">
        <v>205</v>
      </c>
      <c r="D88" s="7">
        <v>69.290000000000006</v>
      </c>
      <c r="E88" s="7">
        <v>61.07</v>
      </c>
      <c r="F88" s="7">
        <v>68.92</v>
      </c>
      <c r="G88" s="7">
        <v>68.98</v>
      </c>
      <c r="H88" s="7">
        <v>68.02</v>
      </c>
    </row>
    <row r="89" spans="1:8" x14ac:dyDescent="0.3">
      <c r="A89">
        <v>12</v>
      </c>
      <c r="B89" t="s">
        <v>206</v>
      </c>
      <c r="D89" s="7">
        <v>39.68</v>
      </c>
      <c r="E89" s="7">
        <v>35.54</v>
      </c>
      <c r="F89" s="7">
        <v>35.950000000000003</v>
      </c>
      <c r="G89" s="7">
        <v>38.71</v>
      </c>
      <c r="H89" s="7">
        <v>47.38</v>
      </c>
    </row>
    <row r="90" spans="1:8" x14ac:dyDescent="0.3">
      <c r="A90">
        <v>13</v>
      </c>
      <c r="B90" t="s">
        <v>354</v>
      </c>
      <c r="D90" s="7">
        <v>72.89</v>
      </c>
      <c r="E90" s="7">
        <v>73.66</v>
      </c>
      <c r="F90" s="7">
        <v>72.97</v>
      </c>
      <c r="G90" s="7">
        <v>80.92</v>
      </c>
      <c r="H90" s="7">
        <v>82.31</v>
      </c>
    </row>
    <row r="91" spans="1:8" x14ac:dyDescent="0.3">
      <c r="B91" s="68" t="s">
        <v>357</v>
      </c>
      <c r="D91" s="7"/>
      <c r="E91" s="7"/>
      <c r="F91" s="7"/>
      <c r="G91" s="7"/>
      <c r="H91" s="7"/>
    </row>
    <row r="92" spans="1:8" x14ac:dyDescent="0.3">
      <c r="B92" t="s">
        <v>109</v>
      </c>
      <c r="D92" s="7">
        <v>93.080814543787938</v>
      </c>
      <c r="E92" s="7">
        <v>88.060780079821342</v>
      </c>
      <c r="F92" s="7">
        <v>89.823506154392092</v>
      </c>
      <c r="G92" s="7">
        <v>92.549410739486376</v>
      </c>
      <c r="H92" s="7"/>
    </row>
    <row r="93" spans="1:8" x14ac:dyDescent="0.3">
      <c r="B93" t="s">
        <v>128</v>
      </c>
      <c r="D93" s="7">
        <v>251.09759762080674</v>
      </c>
      <c r="E93" s="7">
        <v>226.20399780332346</v>
      </c>
      <c r="F93" s="7">
        <v>238.9835900012705</v>
      </c>
      <c r="G93" s="7">
        <v>254.8769995879359</v>
      </c>
      <c r="H93" s="7"/>
    </row>
    <row r="94" spans="1:8" x14ac:dyDescent="0.3">
      <c r="B94" t="s">
        <v>158</v>
      </c>
      <c r="D94" s="7">
        <v>5.1523529411764697</v>
      </c>
      <c r="E94" s="7">
        <v>-0.42166666666666625</v>
      </c>
      <c r="F94" s="7">
        <v>-3.3627777777777768</v>
      </c>
      <c r="G94" s="7">
        <v>-6.1844444444444466</v>
      </c>
      <c r="H94" s="7"/>
    </row>
    <row r="95" spans="1:8" x14ac:dyDescent="0.3">
      <c r="B95" t="s">
        <v>167</v>
      </c>
      <c r="D95" s="7">
        <v>1497.6574370098967</v>
      </c>
      <c r="E95" s="7">
        <v>1511.4496314108096</v>
      </c>
      <c r="F95" s="7">
        <v>1479.4297544978085</v>
      </c>
      <c r="G95" s="7">
        <v>1400.855257564868</v>
      </c>
      <c r="H95" s="7"/>
    </row>
    <row r="96" spans="1:8" x14ac:dyDescent="0.3">
      <c r="D96" s="7"/>
      <c r="E96" s="7"/>
      <c r="F96" s="7"/>
      <c r="G96" s="7"/>
      <c r="H96" s="7"/>
    </row>
    <row r="97" spans="2:8" x14ac:dyDescent="0.3">
      <c r="B97" s="39" t="s">
        <v>301</v>
      </c>
      <c r="D97" s="7"/>
      <c r="E97" s="7"/>
      <c r="F97" s="7"/>
      <c r="G97" s="7"/>
      <c r="H97" s="7"/>
    </row>
    <row r="98" spans="2:8" x14ac:dyDescent="0.3">
      <c r="D98" s="7"/>
      <c r="E98" s="7"/>
      <c r="F98" s="7"/>
      <c r="G98" s="7"/>
      <c r="H98" s="7"/>
    </row>
    <row r="99" spans="2:8" x14ac:dyDescent="0.3">
      <c r="D99" s="7"/>
      <c r="E99" s="7"/>
      <c r="F99" s="7"/>
      <c r="G99" s="7"/>
      <c r="H99" s="7"/>
    </row>
    <row r="100" spans="2:8" x14ac:dyDescent="0.3">
      <c r="D100" s="7"/>
      <c r="E100" s="7"/>
      <c r="F100" s="7"/>
      <c r="G100" s="7"/>
      <c r="H100" s="7"/>
    </row>
    <row r="101" spans="2:8" x14ac:dyDescent="0.3">
      <c r="D101" s="7"/>
      <c r="E101" s="7"/>
      <c r="F101" s="7"/>
      <c r="G101" s="7"/>
      <c r="H101" s="7"/>
    </row>
    <row r="102" spans="2:8" x14ac:dyDescent="0.3">
      <c r="D102" s="7"/>
      <c r="E102" s="7"/>
      <c r="F102" s="7"/>
      <c r="G102" s="7"/>
      <c r="H102" s="7"/>
    </row>
    <row r="103" spans="2:8" x14ac:dyDescent="0.3">
      <c r="D103" s="7"/>
      <c r="E103" s="7"/>
      <c r="F103" s="7"/>
      <c r="G103" s="7"/>
      <c r="H103" s="7"/>
    </row>
    <row r="104" spans="2:8" x14ac:dyDescent="0.3">
      <c r="D104" s="7"/>
      <c r="E104" s="7"/>
      <c r="F104" s="7"/>
      <c r="G104" s="7"/>
      <c r="H104" s="7"/>
    </row>
    <row r="105" spans="2:8" x14ac:dyDescent="0.3">
      <c r="D105" s="7"/>
      <c r="E105" s="7"/>
      <c r="F105" s="7"/>
      <c r="G105" s="7"/>
      <c r="H105" s="7"/>
    </row>
    <row r="106" spans="2:8" x14ac:dyDescent="0.3">
      <c r="D106" s="7"/>
      <c r="E106" s="7"/>
      <c r="F106" s="7"/>
      <c r="G106" s="7"/>
      <c r="H106" s="7"/>
    </row>
    <row r="107" spans="2:8" x14ac:dyDescent="0.3">
      <c r="D107" s="7"/>
      <c r="E107" s="7"/>
      <c r="F107" s="7"/>
      <c r="G107" s="7"/>
      <c r="H107" s="7"/>
    </row>
    <row r="108" spans="2:8" x14ac:dyDescent="0.3">
      <c r="D108" s="7"/>
      <c r="E108" s="7"/>
      <c r="F108" s="7"/>
      <c r="G108" s="7"/>
      <c r="H108" s="7"/>
    </row>
    <row r="109" spans="2:8" x14ac:dyDescent="0.3">
      <c r="D109" s="7"/>
      <c r="E109" s="7"/>
      <c r="F109" s="7"/>
      <c r="G109" s="7"/>
      <c r="H109" s="7"/>
    </row>
    <row r="110" spans="2:8" x14ac:dyDescent="0.3">
      <c r="D110" s="7"/>
      <c r="E110" s="7"/>
      <c r="F110" s="7"/>
      <c r="G110" s="7"/>
      <c r="H110" s="7"/>
    </row>
    <row r="111" spans="2:8" x14ac:dyDescent="0.3">
      <c r="D111" s="7"/>
      <c r="E111" s="7"/>
      <c r="F111" s="7"/>
      <c r="G111" s="7"/>
      <c r="H111" s="7"/>
    </row>
    <row r="112" spans="2:8" x14ac:dyDescent="0.3">
      <c r="D112" s="7"/>
      <c r="E112" s="7"/>
      <c r="F112" s="7"/>
      <c r="G112" s="7"/>
      <c r="H112" s="7"/>
    </row>
    <row r="113" spans="2:8" x14ac:dyDescent="0.3">
      <c r="D113" s="7"/>
      <c r="E113" s="7"/>
      <c r="F113" s="7"/>
      <c r="G113" s="7"/>
      <c r="H113" s="7"/>
    </row>
    <row r="114" spans="2:8" x14ac:dyDescent="0.3">
      <c r="D114" s="7"/>
      <c r="E114" s="7"/>
      <c r="F114" s="7"/>
      <c r="G114" s="7"/>
      <c r="H114" s="7"/>
    </row>
    <row r="115" spans="2:8" x14ac:dyDescent="0.3">
      <c r="D115" s="7"/>
      <c r="E115" s="7"/>
      <c r="F115" s="7"/>
      <c r="G115" s="7"/>
      <c r="H115" s="7"/>
    </row>
    <row r="116" spans="2:8" x14ac:dyDescent="0.3">
      <c r="D116" s="7"/>
      <c r="E116" s="7"/>
      <c r="F116" s="7"/>
      <c r="G116" s="7"/>
      <c r="H116" s="7"/>
    </row>
    <row r="117" spans="2:8" x14ac:dyDescent="0.3">
      <c r="D117" s="7"/>
      <c r="E117" s="7"/>
      <c r="F117" s="7"/>
      <c r="G117" s="7"/>
      <c r="H117" s="7"/>
    </row>
    <row r="118" spans="2:8" x14ac:dyDescent="0.3">
      <c r="B118" s="39" t="s">
        <v>302</v>
      </c>
      <c r="D118" s="7"/>
      <c r="E118" s="7"/>
      <c r="F118" s="7"/>
      <c r="G118" s="7"/>
      <c r="H118" s="7"/>
    </row>
    <row r="119" spans="2:8" x14ac:dyDescent="0.3">
      <c r="D119" s="7"/>
      <c r="E119" s="7"/>
      <c r="F119" s="7"/>
      <c r="G119" s="7"/>
      <c r="H119" s="7"/>
    </row>
    <row r="120" spans="2:8" x14ac:dyDescent="0.3">
      <c r="D120" s="7"/>
      <c r="E120" s="7"/>
      <c r="F120" s="7"/>
      <c r="G120" s="7"/>
      <c r="H120" s="7"/>
    </row>
    <row r="121" spans="2:8" x14ac:dyDescent="0.3">
      <c r="D121" s="7"/>
      <c r="E121" s="7"/>
      <c r="F121" s="7"/>
      <c r="G121" s="7"/>
      <c r="H121" s="7"/>
    </row>
    <row r="122" spans="2:8" x14ac:dyDescent="0.3">
      <c r="D122" s="7"/>
      <c r="E122" s="7"/>
      <c r="F122" s="7"/>
      <c r="G122" s="7"/>
      <c r="H122" s="7"/>
    </row>
    <row r="123" spans="2:8" x14ac:dyDescent="0.3">
      <c r="D123" s="7"/>
      <c r="E123" s="7"/>
      <c r="F123" s="7"/>
      <c r="G123" s="7"/>
      <c r="H123" s="7"/>
    </row>
    <row r="124" spans="2:8" x14ac:dyDescent="0.3">
      <c r="D124" s="7"/>
      <c r="E124" s="7"/>
      <c r="F124" s="7"/>
      <c r="G124" s="7"/>
      <c r="H124" s="7"/>
    </row>
    <row r="125" spans="2:8" x14ac:dyDescent="0.3">
      <c r="D125" s="7"/>
      <c r="E125" s="7"/>
      <c r="F125" s="7"/>
      <c r="G125" s="7"/>
      <c r="H125" s="7"/>
    </row>
    <row r="126" spans="2:8" x14ac:dyDescent="0.3">
      <c r="D126" s="7"/>
      <c r="E126" s="7"/>
      <c r="F126" s="7"/>
      <c r="G126" s="7"/>
      <c r="H126" s="7"/>
    </row>
    <row r="127" spans="2:8" x14ac:dyDescent="0.3">
      <c r="D127" s="7"/>
      <c r="E127" s="7"/>
      <c r="F127" s="7"/>
      <c r="G127" s="7"/>
      <c r="H127" s="7"/>
    </row>
    <row r="128" spans="2:8" x14ac:dyDescent="0.3">
      <c r="D128" s="7"/>
      <c r="E128" s="7"/>
      <c r="F128" s="7"/>
      <c r="G128" s="7"/>
      <c r="H128" s="7"/>
    </row>
    <row r="129" spans="2:8" x14ac:dyDescent="0.3">
      <c r="D129" s="7"/>
      <c r="E129" s="7"/>
      <c r="F129" s="7"/>
      <c r="G129" s="7"/>
      <c r="H129" s="7"/>
    </row>
    <row r="130" spans="2:8" x14ac:dyDescent="0.3">
      <c r="D130" s="7"/>
      <c r="E130" s="7"/>
      <c r="F130" s="7"/>
      <c r="G130" s="7"/>
      <c r="H130" s="7"/>
    </row>
    <row r="131" spans="2:8" x14ac:dyDescent="0.3">
      <c r="D131" s="7"/>
      <c r="E131" s="7"/>
      <c r="F131" s="7"/>
      <c r="G131" s="7"/>
      <c r="H131" s="7"/>
    </row>
    <row r="132" spans="2:8" x14ac:dyDescent="0.3">
      <c r="D132" s="7"/>
      <c r="E132" s="7"/>
      <c r="F132" s="7"/>
      <c r="G132" s="7"/>
      <c r="H132" s="7"/>
    </row>
    <row r="133" spans="2:8" x14ac:dyDescent="0.3">
      <c r="D133" s="7"/>
      <c r="E133" s="7"/>
      <c r="F133" s="7"/>
      <c r="G133" s="7"/>
      <c r="H133" s="7"/>
    </row>
    <row r="134" spans="2:8" x14ac:dyDescent="0.3">
      <c r="D134" s="7"/>
      <c r="E134" s="7"/>
      <c r="F134" s="7"/>
      <c r="G134" s="7"/>
      <c r="H134" s="7"/>
    </row>
    <row r="135" spans="2:8" x14ac:dyDescent="0.3">
      <c r="D135" s="7"/>
      <c r="E135" s="7"/>
      <c r="F135" s="7"/>
      <c r="G135" s="7"/>
      <c r="H135" s="7"/>
    </row>
    <row r="136" spans="2:8" x14ac:dyDescent="0.3">
      <c r="D136" s="7"/>
      <c r="E136" s="7"/>
      <c r="F136" s="7"/>
      <c r="G136" s="7"/>
      <c r="H136" s="7"/>
    </row>
    <row r="137" spans="2:8" x14ac:dyDescent="0.3">
      <c r="D137" s="7"/>
      <c r="E137" s="7"/>
      <c r="F137" s="7"/>
      <c r="G137" s="7"/>
      <c r="H137" s="7"/>
    </row>
    <row r="138" spans="2:8" x14ac:dyDescent="0.3">
      <c r="D138" s="7"/>
      <c r="E138" s="7"/>
      <c r="F138" s="7"/>
      <c r="G138" s="7"/>
      <c r="H138" s="7"/>
    </row>
    <row r="139" spans="2:8" x14ac:dyDescent="0.3">
      <c r="B139" s="39" t="s">
        <v>158</v>
      </c>
      <c r="D139" s="7"/>
      <c r="E139" s="7"/>
      <c r="F139" s="7"/>
      <c r="G139" s="7"/>
      <c r="H139" s="7"/>
    </row>
    <row r="140" spans="2:8" x14ac:dyDescent="0.3">
      <c r="D140" s="7"/>
      <c r="E140" s="7"/>
      <c r="F140" s="7"/>
      <c r="G140" s="7"/>
      <c r="H140" s="7"/>
    </row>
    <row r="141" spans="2:8" x14ac:dyDescent="0.3">
      <c r="D141" s="7"/>
      <c r="E141" s="7"/>
      <c r="F141" s="7"/>
      <c r="G141" s="7"/>
      <c r="H141" s="7"/>
    </row>
    <row r="142" spans="2:8" x14ac:dyDescent="0.3">
      <c r="D142" s="7"/>
      <c r="E142" s="7"/>
      <c r="F142" s="7"/>
      <c r="G142" s="7"/>
      <c r="H142" s="7"/>
    </row>
    <row r="143" spans="2:8" x14ac:dyDescent="0.3">
      <c r="D143" s="7"/>
      <c r="E143" s="7"/>
      <c r="F143" s="7"/>
      <c r="G143" s="7"/>
      <c r="H143" s="7"/>
    </row>
    <row r="144" spans="2:8" x14ac:dyDescent="0.3">
      <c r="D144" s="7"/>
      <c r="E144" s="7"/>
      <c r="F144" s="7"/>
      <c r="G144" s="7"/>
      <c r="H144" s="7"/>
    </row>
    <row r="145" spans="2:8" x14ac:dyDescent="0.3">
      <c r="D145" s="7"/>
      <c r="E145" s="7"/>
      <c r="F145" s="7"/>
      <c r="G145" s="7"/>
      <c r="H145" s="7"/>
    </row>
    <row r="146" spans="2:8" x14ac:dyDescent="0.3">
      <c r="D146" s="7"/>
      <c r="E146" s="7"/>
      <c r="F146" s="7"/>
      <c r="G146" s="7"/>
      <c r="H146" s="7"/>
    </row>
    <row r="147" spans="2:8" x14ac:dyDescent="0.3">
      <c r="D147" s="7"/>
      <c r="E147" s="7"/>
      <c r="F147" s="7"/>
      <c r="G147" s="7"/>
      <c r="H147" s="7"/>
    </row>
    <row r="148" spans="2:8" x14ac:dyDescent="0.3">
      <c r="D148" s="7"/>
      <c r="E148" s="7"/>
      <c r="F148" s="7"/>
      <c r="G148" s="7"/>
      <c r="H148" s="7"/>
    </row>
    <row r="149" spans="2:8" x14ac:dyDescent="0.3">
      <c r="D149" s="7"/>
      <c r="E149" s="7"/>
      <c r="F149" s="7"/>
      <c r="G149" s="7"/>
      <c r="H149" s="7"/>
    </row>
    <row r="150" spans="2:8" x14ac:dyDescent="0.3">
      <c r="D150" s="7"/>
      <c r="E150" s="7"/>
      <c r="F150" s="7"/>
      <c r="G150" s="7"/>
      <c r="H150" s="7"/>
    </row>
    <row r="151" spans="2:8" x14ac:dyDescent="0.3">
      <c r="D151" s="7"/>
      <c r="E151" s="7"/>
      <c r="F151" s="7"/>
      <c r="G151" s="7"/>
      <c r="H151" s="7"/>
    </row>
    <row r="152" spans="2:8" x14ac:dyDescent="0.3">
      <c r="D152" s="7"/>
      <c r="E152" s="7"/>
      <c r="F152" s="7"/>
      <c r="G152" s="7"/>
      <c r="H152" s="7"/>
    </row>
    <row r="153" spans="2:8" x14ac:dyDescent="0.3">
      <c r="D153" s="7"/>
      <c r="E153" s="7"/>
      <c r="F153" s="7"/>
      <c r="G153" s="7"/>
      <c r="H153" s="7"/>
    </row>
    <row r="154" spans="2:8" x14ac:dyDescent="0.3">
      <c r="D154" s="7"/>
      <c r="E154" s="7"/>
      <c r="F154" s="7"/>
      <c r="G154" s="7"/>
      <c r="H154" s="7"/>
    </row>
    <row r="155" spans="2:8" x14ac:dyDescent="0.3">
      <c r="D155" s="7"/>
      <c r="E155" s="7"/>
      <c r="F155" s="7"/>
      <c r="G155" s="7"/>
      <c r="H155" s="7"/>
    </row>
    <row r="156" spans="2:8" x14ac:dyDescent="0.3">
      <c r="D156" s="7"/>
      <c r="E156" s="7"/>
      <c r="F156" s="7"/>
      <c r="G156" s="7"/>
      <c r="H156" s="7"/>
    </row>
    <row r="157" spans="2:8" x14ac:dyDescent="0.3">
      <c r="D157" s="7"/>
      <c r="E157" s="7"/>
      <c r="F157" s="7"/>
      <c r="G157" s="7"/>
      <c r="H157" s="7"/>
    </row>
    <row r="158" spans="2:8" x14ac:dyDescent="0.3">
      <c r="D158" s="7"/>
      <c r="E158" s="7"/>
      <c r="F158" s="7"/>
      <c r="G158" s="7"/>
      <c r="H158" s="7"/>
    </row>
    <row r="159" spans="2:8" x14ac:dyDescent="0.3">
      <c r="D159" s="7"/>
      <c r="E159" s="7"/>
      <c r="F159" s="7"/>
      <c r="G159" s="7"/>
      <c r="H159" s="7"/>
    </row>
    <row r="160" spans="2:8" x14ac:dyDescent="0.3">
      <c r="B160" s="39" t="s">
        <v>167</v>
      </c>
      <c r="D160" s="7"/>
      <c r="E160" s="7"/>
      <c r="F160" s="7"/>
      <c r="G160" s="7"/>
      <c r="H160" s="7"/>
    </row>
    <row r="161" spans="4:8" x14ac:dyDescent="0.3">
      <c r="D161" s="7"/>
      <c r="E161" s="7"/>
      <c r="F161" s="7"/>
      <c r="G161" s="7"/>
      <c r="H161" s="7"/>
    </row>
    <row r="162" spans="4:8" x14ac:dyDescent="0.3">
      <c r="D162" s="7"/>
      <c r="E162" s="7"/>
      <c r="F162" s="7"/>
      <c r="G162" s="7"/>
      <c r="H162" s="7"/>
    </row>
    <row r="163" spans="4:8" x14ac:dyDescent="0.3">
      <c r="D163" s="7"/>
      <c r="E163" s="7"/>
      <c r="F163" s="7"/>
      <c r="G163" s="7"/>
      <c r="H163" s="7"/>
    </row>
    <row r="164" spans="4:8" x14ac:dyDescent="0.3">
      <c r="D164" s="7"/>
      <c r="E164" s="7"/>
      <c r="F164" s="7"/>
      <c r="G164" s="7"/>
      <c r="H164" s="7"/>
    </row>
    <row r="165" spans="4:8" x14ac:dyDescent="0.3">
      <c r="D165" s="7"/>
      <c r="E165" s="7"/>
      <c r="F165" s="7"/>
      <c r="G165" s="7"/>
      <c r="H165" s="7"/>
    </row>
    <row r="166" spans="4:8" x14ac:dyDescent="0.3">
      <c r="D166" s="7"/>
      <c r="E166" s="7"/>
      <c r="F166" s="7"/>
      <c r="G166" s="7"/>
      <c r="H166" s="7"/>
    </row>
    <row r="167" spans="4:8" x14ac:dyDescent="0.3">
      <c r="D167" s="7"/>
      <c r="E167" s="7"/>
      <c r="F167" s="7"/>
      <c r="G167" s="7"/>
      <c r="H167" s="7"/>
    </row>
    <row r="168" spans="4:8" x14ac:dyDescent="0.3">
      <c r="D168" s="7"/>
      <c r="E168" s="7"/>
      <c r="F168" s="7"/>
      <c r="G168" s="7"/>
      <c r="H168" s="7"/>
    </row>
    <row r="169" spans="4:8" x14ac:dyDescent="0.3">
      <c r="D169" s="7"/>
      <c r="E169" s="7"/>
      <c r="F169" s="7"/>
      <c r="G169" s="7"/>
      <c r="H169" s="7"/>
    </row>
    <row r="170" spans="4:8" x14ac:dyDescent="0.3">
      <c r="D170" s="7"/>
      <c r="E170" s="7"/>
      <c r="F170" s="7"/>
      <c r="G170" s="7"/>
      <c r="H170" s="7"/>
    </row>
    <row r="171" spans="4:8" x14ac:dyDescent="0.3">
      <c r="D171" s="7"/>
      <c r="E171" s="7"/>
      <c r="F171" s="7"/>
      <c r="G171" s="7"/>
      <c r="H171" s="7"/>
    </row>
    <row r="172" spans="4:8" x14ac:dyDescent="0.3">
      <c r="D172" s="7"/>
      <c r="E172" s="7"/>
      <c r="F172" s="7"/>
      <c r="G172" s="7"/>
      <c r="H172" s="7"/>
    </row>
    <row r="173" spans="4:8" x14ac:dyDescent="0.3">
      <c r="D173" s="7"/>
      <c r="E173" s="7"/>
      <c r="F173" s="7"/>
      <c r="G173" s="7"/>
      <c r="H173" s="7"/>
    </row>
    <row r="174" spans="4:8" x14ac:dyDescent="0.3">
      <c r="D174" s="7"/>
      <c r="E174" s="7"/>
      <c r="F174" s="7"/>
      <c r="G174" s="7"/>
      <c r="H174" s="7"/>
    </row>
    <row r="175" spans="4:8" x14ac:dyDescent="0.3">
      <c r="D175" s="7"/>
      <c r="E175" s="7"/>
      <c r="F175" s="7"/>
      <c r="G175" s="7"/>
      <c r="H175" s="7"/>
    </row>
    <row r="176" spans="4:8" x14ac:dyDescent="0.3">
      <c r="D176" s="7"/>
      <c r="E176" s="7"/>
      <c r="F176" s="7"/>
      <c r="G176" s="7"/>
      <c r="H176" s="7"/>
    </row>
    <row r="177" spans="2:8" x14ac:dyDescent="0.3">
      <c r="D177" s="7"/>
      <c r="E177" s="7"/>
      <c r="F177" s="7"/>
      <c r="G177" s="7"/>
      <c r="H177" s="7"/>
    </row>
    <row r="178" spans="2:8" x14ac:dyDescent="0.3">
      <c r="D178" s="7"/>
      <c r="E178" s="7"/>
      <c r="F178" s="7"/>
      <c r="G178" s="7"/>
      <c r="H178" s="7"/>
    </row>
    <row r="179" spans="2:8" x14ac:dyDescent="0.3">
      <c r="D179" s="7"/>
      <c r="E179" s="7"/>
      <c r="F179" s="7"/>
      <c r="G179" s="7"/>
      <c r="H179" s="7"/>
    </row>
    <row r="180" spans="2:8" x14ac:dyDescent="0.3">
      <c r="D180" s="7"/>
      <c r="E180" s="7"/>
      <c r="F180" s="7"/>
      <c r="G180" s="7"/>
      <c r="H180" s="7"/>
    </row>
    <row r="181" spans="2:8" x14ac:dyDescent="0.3">
      <c r="B181" s="39" t="s">
        <v>300</v>
      </c>
    </row>
    <row r="182" spans="2:8" x14ac:dyDescent="0.3">
      <c r="E182" s="31"/>
    </row>
    <row r="202" spans="2:2" x14ac:dyDescent="0.3">
      <c r="B202" s="39" t="s">
        <v>266</v>
      </c>
    </row>
    <row r="221" spans="2:2" x14ac:dyDescent="0.3">
      <c r="B221" s="39" t="s">
        <v>207</v>
      </c>
    </row>
  </sheetData>
  <mergeCells count="1">
    <mergeCell ref="A1:B1"/>
  </mergeCells>
  <conditionalFormatting sqref="D3">
    <cfRule type="cellIs" dxfId="47" priority="37" operator="greaterThan">
      <formula>$C3</formula>
    </cfRule>
  </conditionalFormatting>
  <conditionalFormatting sqref="D12">
    <cfRule type="cellIs" dxfId="46" priority="35" operator="lessThan">
      <formula>$C12</formula>
    </cfRule>
  </conditionalFormatting>
  <conditionalFormatting sqref="D15:F15 H15">
    <cfRule type="cellIs" dxfId="45" priority="33" operator="greaterThan">
      <formula>$C$15</formula>
    </cfRule>
  </conditionalFormatting>
  <conditionalFormatting sqref="E3:F3 H3">
    <cfRule type="cellIs" dxfId="44" priority="29" operator="greaterThan">
      <formula>$C3</formula>
    </cfRule>
  </conditionalFormatting>
  <conditionalFormatting sqref="D51:F51 H51">
    <cfRule type="cellIs" dxfId="43" priority="28" operator="greaterThan">
      <formula>$C51</formula>
    </cfRule>
  </conditionalFormatting>
  <conditionalFormatting sqref="D62:F63 H62:H63">
    <cfRule type="cellIs" dxfId="42" priority="27" operator="greaterThan">
      <formula>$C62</formula>
    </cfRule>
  </conditionalFormatting>
  <conditionalFormatting sqref="D65:F65 H65">
    <cfRule type="cellIs" dxfId="41" priority="26" operator="greaterThan">
      <formula>$C65</formula>
    </cfRule>
  </conditionalFormatting>
  <conditionalFormatting sqref="E12:F12 H12">
    <cfRule type="cellIs" dxfId="40" priority="25" operator="lessThan">
      <formula>$C12</formula>
    </cfRule>
  </conditionalFormatting>
  <conditionalFormatting sqref="D77:F78">
    <cfRule type="cellIs" dxfId="39" priority="24" operator="lessThan">
      <formula>$C77</formula>
    </cfRule>
  </conditionalFormatting>
  <conditionalFormatting sqref="E77:F78 H77:H78">
    <cfRule type="cellIs" dxfId="38" priority="23" operator="lessThan">
      <formula>$C77</formula>
    </cfRule>
  </conditionalFormatting>
  <conditionalFormatting sqref="D66">
    <cfRule type="expression" dxfId="37" priority="14">
      <formula>D$66+D$67&gt;=$C$67</formula>
    </cfRule>
  </conditionalFormatting>
  <conditionalFormatting sqref="E66:F66 H66">
    <cfRule type="expression" dxfId="36" priority="13">
      <formula>E$66+E$67&gt;=$C$67</formula>
    </cfRule>
  </conditionalFormatting>
  <conditionalFormatting sqref="D67">
    <cfRule type="expression" dxfId="35" priority="12">
      <formula>D$66+D$67&gt;=$C$67</formula>
    </cfRule>
  </conditionalFormatting>
  <conditionalFormatting sqref="E67:F67 H67">
    <cfRule type="expression" dxfId="34" priority="11">
      <formula>E$66+E$67&gt;=$C$67</formula>
    </cfRule>
  </conditionalFormatting>
  <conditionalFormatting sqref="C63">
    <cfRule type="cellIs" dxfId="33" priority="10" operator="greaterThan">
      <formula>$C63</formula>
    </cfRule>
  </conditionalFormatting>
  <conditionalFormatting sqref="G15">
    <cfRule type="cellIs" dxfId="32" priority="9" operator="greaterThan">
      <formula>$C$15</formula>
    </cfRule>
  </conditionalFormatting>
  <conditionalFormatting sqref="G3">
    <cfRule type="cellIs" dxfId="31" priority="8" operator="greaterThan">
      <formula>$C3</formula>
    </cfRule>
  </conditionalFormatting>
  <conditionalFormatting sqref="G51">
    <cfRule type="cellIs" dxfId="30" priority="7" operator="greaterThan">
      <formula>$C51</formula>
    </cfRule>
  </conditionalFormatting>
  <conditionalFormatting sqref="G62:G63">
    <cfRule type="cellIs" dxfId="29" priority="6" operator="greaterThan">
      <formula>$C62</formula>
    </cfRule>
  </conditionalFormatting>
  <conditionalFormatting sqref="G65">
    <cfRule type="cellIs" dxfId="28" priority="5" operator="greaterThan">
      <formula>$C65</formula>
    </cfRule>
  </conditionalFormatting>
  <conditionalFormatting sqref="G12">
    <cfRule type="cellIs" dxfId="27" priority="4" operator="lessThan">
      <formula>$C12</formula>
    </cfRule>
  </conditionalFormatting>
  <conditionalFormatting sqref="G77:G78">
    <cfRule type="cellIs" dxfId="26" priority="3" operator="lessThan">
      <formula>$C77</formula>
    </cfRule>
  </conditionalFormatting>
  <conditionalFormatting sqref="G66">
    <cfRule type="expression" dxfId="25" priority="2">
      <formula>G$66+G$67&gt;=$C$67</formula>
    </cfRule>
  </conditionalFormatting>
  <conditionalFormatting sqref="G67">
    <cfRule type="expression" dxfId="24" priority="1">
      <formula>G$66+G$67&gt;=$C$67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11</vt:i4>
      </vt:variant>
    </vt:vector>
  </HeadingPairs>
  <TitlesOfParts>
    <vt:vector size="11" baseType="lpstr">
      <vt:lpstr>Entrate_Uscite</vt:lpstr>
      <vt:lpstr>Tav_Entrate</vt:lpstr>
      <vt:lpstr>Tav_Uscite</vt:lpstr>
      <vt:lpstr>Tav_Saldi</vt:lpstr>
      <vt:lpstr>Risultato_amministrazione</vt:lpstr>
      <vt:lpstr>Conto_economico</vt:lpstr>
      <vt:lpstr>Tav_contoeconomico</vt:lpstr>
      <vt:lpstr>Stato_patrimoniale</vt:lpstr>
      <vt:lpstr>Piano_indicatori</vt:lpstr>
      <vt:lpstr>Tav_indicatori</vt:lpstr>
      <vt:lpstr>Popolazione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franco</dc:creator>
  <cp:lastModifiedBy>Franco</cp:lastModifiedBy>
  <dcterms:created xsi:type="dcterms:W3CDTF">2019-02-06T21:02:13Z</dcterms:created>
  <dcterms:modified xsi:type="dcterms:W3CDTF">2022-06-10T09:42:15Z</dcterms:modified>
</cp:coreProperties>
</file>