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firstSheet="6" activeTab="9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25725"/>
</workbook>
</file>

<file path=xl/calcChain.xml><?xml version="1.0" encoding="utf-8"?>
<calcChain xmlns="http://schemas.openxmlformats.org/spreadsheetml/2006/main">
  <c r="H9" i="12"/>
  <c r="H8"/>
  <c r="H7"/>
  <c r="H6"/>
  <c r="H5"/>
  <c r="H4"/>
  <c r="H3"/>
  <c r="H2"/>
  <c r="H6" i="9"/>
  <c r="H5"/>
  <c r="G6"/>
  <c r="G5"/>
  <c r="G4"/>
  <c r="G3"/>
  <c r="G2"/>
  <c r="E6"/>
  <c r="E5"/>
  <c r="E4"/>
  <c r="E3"/>
  <c r="E2"/>
  <c r="H31" i="8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E29"/>
  <c r="E28"/>
  <c r="E26"/>
  <c r="E25"/>
  <c r="E24"/>
  <c r="E23"/>
  <c r="E22"/>
  <c r="E19"/>
  <c r="E18"/>
  <c r="E17"/>
  <c r="E16"/>
  <c r="E14"/>
  <c r="E13"/>
  <c r="E12"/>
  <c r="E11"/>
  <c r="E9"/>
  <c r="E8"/>
  <c r="E7"/>
  <c r="E6"/>
  <c r="E5"/>
  <c r="E4"/>
  <c r="E3"/>
  <c r="E2"/>
  <c r="H21" i="7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E19"/>
  <c r="E18"/>
  <c r="E17"/>
  <c r="E14"/>
  <c r="E13"/>
  <c r="E12"/>
  <c r="E10"/>
  <c r="E9"/>
  <c r="E8"/>
  <c r="E7"/>
  <c r="E6"/>
  <c r="E4"/>
  <c r="E3"/>
  <c r="E2"/>
  <c r="N55" i="2"/>
  <c r="O54"/>
  <c r="N54"/>
  <c r="O53"/>
  <c r="N53"/>
  <c r="O52"/>
  <c r="N52"/>
  <c r="O51"/>
  <c r="N51"/>
  <c r="O50"/>
  <c r="N50"/>
  <c r="O16"/>
  <c r="N16"/>
  <c r="O15"/>
  <c r="O20" s="1"/>
  <c r="N15"/>
  <c r="N20" s="1"/>
  <c r="O14"/>
  <c r="N14"/>
  <c r="R59"/>
  <c r="Q59"/>
  <c r="R55"/>
  <c r="Q55"/>
  <c r="R54"/>
  <c r="Q54"/>
  <c r="R53"/>
  <c r="Q53"/>
  <c r="R52"/>
  <c r="Q52"/>
  <c r="R51"/>
  <c r="Q51"/>
  <c r="R50"/>
  <c r="Q50"/>
  <c r="R49"/>
  <c r="Q49"/>
  <c r="R48"/>
  <c r="Q48"/>
  <c r="R47"/>
  <c r="Q47"/>
  <c r="R46"/>
  <c r="Q46"/>
  <c r="R45"/>
  <c r="Q45"/>
  <c r="R44"/>
  <c r="Q44"/>
  <c r="R43"/>
  <c r="Q43"/>
  <c r="R42"/>
  <c r="Q42"/>
  <c r="R41"/>
  <c r="Q41"/>
  <c r="R40"/>
  <c r="Q40"/>
  <c r="R39"/>
  <c r="Q39"/>
  <c r="R38"/>
  <c r="Q38"/>
  <c r="R37"/>
  <c r="Q37"/>
  <c r="R36"/>
  <c r="Q36"/>
  <c r="R35"/>
  <c r="Q35"/>
  <c r="R34"/>
  <c r="Q34"/>
  <c r="R33"/>
  <c r="Q33"/>
  <c r="R32"/>
  <c r="Q32"/>
  <c r="R31"/>
  <c r="Q31"/>
  <c r="R30"/>
  <c r="Q30"/>
  <c r="R29"/>
  <c r="Q29"/>
  <c r="R28"/>
  <c r="Q28"/>
  <c r="R27"/>
  <c r="Q27"/>
  <c r="R26"/>
  <c r="Q26"/>
  <c r="R25"/>
  <c r="Q25"/>
  <c r="R24"/>
  <c r="Q24"/>
  <c r="R23"/>
  <c r="Q23"/>
  <c r="R19"/>
  <c r="Q19"/>
  <c r="R18"/>
  <c r="Q18"/>
  <c r="R17"/>
  <c r="Q17"/>
  <c r="R16"/>
  <c r="Q16"/>
  <c r="R15"/>
  <c r="Q15"/>
  <c r="R14"/>
  <c r="Q14"/>
  <c r="R13"/>
  <c r="Q13"/>
  <c r="R12"/>
  <c r="Q12"/>
  <c r="R11"/>
  <c r="Q11"/>
  <c r="R10"/>
  <c r="Q10"/>
  <c r="R9"/>
  <c r="Q9"/>
  <c r="R8"/>
  <c r="Q8"/>
  <c r="R7"/>
  <c r="Q7"/>
  <c r="R6"/>
  <c r="Q6"/>
  <c r="R5"/>
  <c r="Q5"/>
  <c r="R4"/>
  <c r="Q4"/>
  <c r="R3"/>
  <c r="Q3"/>
  <c r="E10" i="8" l="1"/>
  <c r="E27"/>
  <c r="E15"/>
  <c r="E21" s="1"/>
  <c r="E20"/>
  <c r="E30"/>
  <c r="E31" s="1"/>
  <c r="E5" i="7"/>
  <c r="E20" s="1"/>
  <c r="E21" s="1"/>
  <c r="E11"/>
  <c r="E15"/>
  <c r="E16"/>
  <c r="O21" i="2"/>
  <c r="R21" s="1"/>
  <c r="R20"/>
  <c r="N21"/>
  <c r="Q21" s="1"/>
  <c r="Q20"/>
  <c r="L59" l="1"/>
  <c r="K58"/>
  <c r="K55"/>
  <c r="M55" s="1"/>
  <c r="M54"/>
  <c r="L54"/>
  <c r="K54"/>
  <c r="M53"/>
  <c r="L53"/>
  <c r="K53"/>
  <c r="L52"/>
  <c r="L56" s="1"/>
  <c r="L57" s="1"/>
  <c r="K52"/>
  <c r="M52" s="1"/>
  <c r="L51"/>
  <c r="K51"/>
  <c r="K56" s="1"/>
  <c r="M50"/>
  <c r="L50"/>
  <c r="L63" s="1"/>
  <c r="K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6"/>
  <c r="M25"/>
  <c r="M24"/>
  <c r="M23"/>
  <c r="M19"/>
  <c r="M18"/>
  <c r="M17"/>
  <c r="L16"/>
  <c r="K16"/>
  <c r="M16" s="1"/>
  <c r="M15"/>
  <c r="L15"/>
  <c r="K15"/>
  <c r="K59" s="1"/>
  <c r="M14"/>
  <c r="L14"/>
  <c r="L20" s="1"/>
  <c r="L21" s="1"/>
  <c r="K14"/>
  <c r="K20" s="1"/>
  <c r="M13"/>
  <c r="M12"/>
  <c r="M11"/>
  <c r="M10"/>
  <c r="M9"/>
  <c r="M8"/>
  <c r="M7"/>
  <c r="M6"/>
  <c r="M5"/>
  <c r="M4"/>
  <c r="M3"/>
  <c r="F19" i="5"/>
  <c r="F27" s="1"/>
  <c r="F28"/>
  <c r="F15"/>
  <c r="E14" i="10"/>
  <c r="E12"/>
  <c r="E11"/>
  <c r="E10"/>
  <c r="E8"/>
  <c r="E7"/>
  <c r="E6"/>
  <c r="E5"/>
  <c r="E4"/>
  <c r="E3"/>
  <c r="E2"/>
  <c r="E9" s="1"/>
  <c r="G27" i="6"/>
  <c r="G26"/>
  <c r="G25"/>
  <c r="G24"/>
  <c r="G23"/>
  <c r="G22"/>
  <c r="G20"/>
  <c r="G19"/>
  <c r="G18"/>
  <c r="G17"/>
  <c r="G16"/>
  <c r="G15"/>
  <c r="G14"/>
  <c r="G13"/>
  <c r="G12"/>
  <c r="G11"/>
  <c r="G9"/>
  <c r="G8"/>
  <c r="G7"/>
  <c r="G6"/>
  <c r="G5"/>
  <c r="G4"/>
  <c r="G3"/>
  <c r="G2"/>
  <c r="F21"/>
  <c r="F28" s="1"/>
  <c r="F10"/>
  <c r="F52" i="1"/>
  <c r="F24"/>
  <c r="F20"/>
  <c r="F14"/>
  <c r="F7"/>
  <c r="F3" i="13"/>
  <c r="C2"/>
  <c r="L61" i="2" l="1"/>
  <c r="M56"/>
  <c r="K57"/>
  <c r="M57" s="1"/>
  <c r="K21"/>
  <c r="M20"/>
  <c r="L62"/>
  <c r="L58"/>
  <c r="L60"/>
  <c r="K60"/>
  <c r="M51"/>
  <c r="F29" i="5"/>
  <c r="E13" i="10"/>
  <c r="F22" i="1"/>
  <c r="G9" i="12"/>
  <c r="G8"/>
  <c r="G7"/>
  <c r="G6"/>
  <c r="G5"/>
  <c r="G4"/>
  <c r="G3"/>
  <c r="G2"/>
  <c r="D6" i="9"/>
  <c r="C6"/>
  <c r="B6"/>
  <c r="D5"/>
  <c r="C5"/>
  <c r="B5"/>
  <c r="H4"/>
  <c r="F4"/>
  <c r="D4"/>
  <c r="C4"/>
  <c r="B4"/>
  <c r="H3"/>
  <c r="F3"/>
  <c r="D3"/>
  <c r="C3"/>
  <c r="B3"/>
  <c r="H2"/>
  <c r="D2"/>
  <c r="C2"/>
  <c r="B2"/>
  <c r="D29" i="8"/>
  <c r="D28"/>
  <c r="D26"/>
  <c r="D25"/>
  <c r="D24"/>
  <c r="D23"/>
  <c r="D22"/>
  <c r="D19"/>
  <c r="D18"/>
  <c r="D17"/>
  <c r="D16"/>
  <c r="D14"/>
  <c r="D13"/>
  <c r="D12"/>
  <c r="D11"/>
  <c r="D9"/>
  <c r="D8"/>
  <c r="D7"/>
  <c r="D6"/>
  <c r="D5"/>
  <c r="D4"/>
  <c r="D3"/>
  <c r="D2"/>
  <c r="D19" i="7"/>
  <c r="D18"/>
  <c r="D17"/>
  <c r="D14"/>
  <c r="D13"/>
  <c r="D12"/>
  <c r="D10"/>
  <c r="D9"/>
  <c r="D8"/>
  <c r="D7"/>
  <c r="D6"/>
  <c r="D4"/>
  <c r="D3"/>
  <c r="D2"/>
  <c r="O63" i="2"/>
  <c r="I63"/>
  <c r="F63"/>
  <c r="C63"/>
  <c r="O62"/>
  <c r="I62"/>
  <c r="F62"/>
  <c r="C62"/>
  <c r="I61"/>
  <c r="H61"/>
  <c r="F61"/>
  <c r="E61"/>
  <c r="C61"/>
  <c r="B61"/>
  <c r="O60"/>
  <c r="R60" s="1"/>
  <c r="N60"/>
  <c r="Q60" s="1"/>
  <c r="I60"/>
  <c r="H60"/>
  <c r="F60"/>
  <c r="E60"/>
  <c r="C60"/>
  <c r="B60"/>
  <c r="O59"/>
  <c r="N59"/>
  <c r="I59"/>
  <c r="H59"/>
  <c r="F59"/>
  <c r="E59"/>
  <c r="C59"/>
  <c r="B59"/>
  <c r="O58"/>
  <c r="R58" s="1"/>
  <c r="N58"/>
  <c r="Q58" s="1"/>
  <c r="I58"/>
  <c r="H58"/>
  <c r="F58"/>
  <c r="E58"/>
  <c r="C58"/>
  <c r="B58"/>
  <c r="D15" i="8" l="1"/>
  <c r="F2" i="9"/>
  <c r="F5"/>
  <c r="K61" i="2"/>
  <c r="M21"/>
  <c r="E15" i="10"/>
  <c r="D10" i="8"/>
  <c r="D27"/>
  <c r="D20"/>
  <c r="D5" i="7"/>
  <c r="D15"/>
  <c r="D11"/>
  <c r="D20" l="1"/>
  <c r="D30" i="8"/>
  <c r="D21"/>
  <c r="D16" i="7"/>
  <c r="D31" i="8" l="1"/>
  <c r="D21" i="7"/>
  <c r="J55" i="2"/>
  <c r="H55"/>
  <c r="J54"/>
  <c r="I54"/>
  <c r="H54"/>
  <c r="I53"/>
  <c r="J53" s="1"/>
  <c r="H53"/>
  <c r="I52"/>
  <c r="H52"/>
  <c r="J52" s="1"/>
  <c r="I51"/>
  <c r="H51"/>
  <c r="J51" s="1"/>
  <c r="J50"/>
  <c r="I50"/>
  <c r="H50"/>
  <c r="H56" s="1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6"/>
  <c r="J25"/>
  <c r="J24"/>
  <c r="J23"/>
  <c r="I20"/>
  <c r="I21" s="1"/>
  <c r="J19"/>
  <c r="J18"/>
  <c r="J17"/>
  <c r="I16"/>
  <c r="H16"/>
  <c r="J16" s="1"/>
  <c r="J15"/>
  <c r="I15"/>
  <c r="H15"/>
  <c r="I14"/>
  <c r="H14"/>
  <c r="J13"/>
  <c r="J12"/>
  <c r="J11"/>
  <c r="J10"/>
  <c r="J9"/>
  <c r="J8"/>
  <c r="J7"/>
  <c r="J6"/>
  <c r="J5"/>
  <c r="J4"/>
  <c r="J3"/>
  <c r="H57" l="1"/>
  <c r="J14"/>
  <c r="I56"/>
  <c r="I57" s="1"/>
  <c r="H20"/>
  <c r="E19" i="5"/>
  <c r="E28"/>
  <c r="E27"/>
  <c r="E15"/>
  <c r="D14" i="10"/>
  <c r="F14" s="1"/>
  <c r="D12"/>
  <c r="F12" s="1"/>
  <c r="D11"/>
  <c r="F11" s="1"/>
  <c r="D10"/>
  <c r="F10" s="1"/>
  <c r="D8"/>
  <c r="F8" s="1"/>
  <c r="D7"/>
  <c r="F7" s="1"/>
  <c r="D6"/>
  <c r="F6" s="1"/>
  <c r="D4"/>
  <c r="F4" s="1"/>
  <c r="D3"/>
  <c r="F3" s="1"/>
  <c r="E21" i="6"/>
  <c r="G21" s="1"/>
  <c r="E10"/>
  <c r="G10" s="1"/>
  <c r="E52" i="1"/>
  <c r="E24"/>
  <c r="E20"/>
  <c r="E14"/>
  <c r="E7"/>
  <c r="D5" i="10" l="1"/>
  <c r="F5" s="1"/>
  <c r="D2"/>
  <c r="J57" i="2"/>
  <c r="H21"/>
  <c r="J20"/>
  <c r="J56"/>
  <c r="E29" i="5"/>
  <c r="E28" i="6"/>
  <c r="G28" s="1"/>
  <c r="E22" i="1"/>
  <c r="F4" i="13"/>
  <c r="C3"/>
  <c r="E55" i="2"/>
  <c r="F54"/>
  <c r="E54"/>
  <c r="F53"/>
  <c r="E53"/>
  <c r="F52"/>
  <c r="E52"/>
  <c r="F51"/>
  <c r="E51"/>
  <c r="F50"/>
  <c r="E50"/>
  <c r="F16"/>
  <c r="E16"/>
  <c r="F15"/>
  <c r="E15"/>
  <c r="F14"/>
  <c r="E14"/>
  <c r="B55"/>
  <c r="C54"/>
  <c r="B54"/>
  <c r="C53"/>
  <c r="B53"/>
  <c r="C52"/>
  <c r="B52"/>
  <c r="C51"/>
  <c r="B51"/>
  <c r="C50"/>
  <c r="B50"/>
  <c r="C16"/>
  <c r="B16"/>
  <c r="C15"/>
  <c r="B15"/>
  <c r="C14"/>
  <c r="B14"/>
  <c r="D9" i="10" l="1"/>
  <c r="F9" s="1"/>
  <c r="F2"/>
  <c r="J21" i="2"/>
  <c r="F20"/>
  <c r="F21" s="1"/>
  <c r="D13" i="10"/>
  <c r="F13" s="1"/>
  <c r="C20" i="2"/>
  <c r="C21" s="1"/>
  <c r="E20"/>
  <c r="E21" s="1"/>
  <c r="B20"/>
  <c r="B21" s="1"/>
  <c r="C19" i="5"/>
  <c r="D19"/>
  <c r="D15" i="10" l="1"/>
  <c r="F15" s="1"/>
  <c r="C27" i="5"/>
  <c r="D27"/>
  <c r="D52" i="1"/>
  <c r="C52"/>
  <c r="B52"/>
  <c r="D24"/>
  <c r="C24"/>
  <c r="B24"/>
  <c r="F8" i="13"/>
  <c r="F7"/>
  <c r="C7"/>
  <c r="F6"/>
  <c r="C6"/>
  <c r="F5"/>
  <c r="C5"/>
  <c r="C4"/>
  <c r="B27" i="5"/>
  <c r="B15" l="1"/>
  <c r="C15"/>
  <c r="D15"/>
  <c r="C7" i="1" l="1"/>
  <c r="B28" i="5"/>
  <c r="B7" i="1"/>
  <c r="D7"/>
  <c r="F56" i="2"/>
  <c r="F57" s="1"/>
  <c r="E56"/>
  <c r="E57" s="1"/>
  <c r="C21" i="6" l="1"/>
  <c r="D21"/>
  <c r="D10"/>
  <c r="C10"/>
  <c r="C20" i="1" l="1"/>
  <c r="B20"/>
  <c r="D20"/>
  <c r="B14"/>
  <c r="C14"/>
  <c r="D14"/>
  <c r="D28" i="5" l="1"/>
  <c r="C28"/>
  <c r="C28" i="6"/>
  <c r="D28"/>
  <c r="D29" i="5" l="1"/>
  <c r="B22" i="1"/>
  <c r="C22"/>
  <c r="D22"/>
  <c r="B6" i="10" l="1"/>
  <c r="C6"/>
  <c r="B7"/>
  <c r="C7"/>
  <c r="B8"/>
  <c r="C8"/>
  <c r="B3"/>
  <c r="C3"/>
  <c r="B4"/>
  <c r="C4"/>
  <c r="I6" i="12" l="1"/>
  <c r="F2"/>
  <c r="I2"/>
  <c r="F3"/>
  <c r="I3"/>
  <c r="F4"/>
  <c r="I4"/>
  <c r="F5"/>
  <c r="I5"/>
  <c r="F6"/>
  <c r="F7"/>
  <c r="I7"/>
  <c r="F8"/>
  <c r="I8"/>
  <c r="F9"/>
  <c r="I9"/>
  <c r="E9"/>
  <c r="E8"/>
  <c r="E7"/>
  <c r="E6"/>
  <c r="E5"/>
  <c r="E4"/>
  <c r="E3"/>
  <c r="E2"/>
  <c r="B10" i="10"/>
  <c r="C10"/>
  <c r="B11"/>
  <c r="C11"/>
  <c r="B12"/>
  <c r="C12"/>
  <c r="B14"/>
  <c r="C14"/>
  <c r="I2" i="8" l="1"/>
  <c r="I3"/>
  <c r="I4"/>
  <c r="I5"/>
  <c r="I6"/>
  <c r="I7"/>
  <c r="I8"/>
  <c r="I9"/>
  <c r="I11"/>
  <c r="I12"/>
  <c r="I13"/>
  <c r="I14"/>
  <c r="I16"/>
  <c r="I17"/>
  <c r="I18"/>
  <c r="I19"/>
  <c r="I22"/>
  <c r="I23"/>
  <c r="I24"/>
  <c r="I25"/>
  <c r="I26"/>
  <c r="I29"/>
  <c r="F26"/>
  <c r="J26" s="1"/>
  <c r="F25"/>
  <c r="J25" s="1"/>
  <c r="F24"/>
  <c r="F23"/>
  <c r="F22"/>
  <c r="F19"/>
  <c r="F18"/>
  <c r="F17"/>
  <c r="J17" s="1"/>
  <c r="F16"/>
  <c r="F14"/>
  <c r="F13"/>
  <c r="F12"/>
  <c r="F11"/>
  <c r="F9"/>
  <c r="F8"/>
  <c r="F7"/>
  <c r="J7" s="1"/>
  <c r="F6"/>
  <c r="F5"/>
  <c r="F4"/>
  <c r="F3"/>
  <c r="F2"/>
  <c r="C29"/>
  <c r="C28"/>
  <c r="C26"/>
  <c r="C25"/>
  <c r="C24"/>
  <c r="C23"/>
  <c r="C22"/>
  <c r="C19"/>
  <c r="C18"/>
  <c r="C17"/>
  <c r="C16"/>
  <c r="C14"/>
  <c r="C13"/>
  <c r="C12"/>
  <c r="C11"/>
  <c r="C9"/>
  <c r="C8"/>
  <c r="C7"/>
  <c r="C6"/>
  <c r="C5"/>
  <c r="C4"/>
  <c r="C3"/>
  <c r="C2"/>
  <c r="B12"/>
  <c r="B13"/>
  <c r="B14"/>
  <c r="B29"/>
  <c r="B28"/>
  <c r="B23"/>
  <c r="B24"/>
  <c r="B25"/>
  <c r="B26"/>
  <c r="B22"/>
  <c r="B17"/>
  <c r="B18"/>
  <c r="B19"/>
  <c r="B16"/>
  <c r="B11"/>
  <c r="B3"/>
  <c r="B4"/>
  <c r="B5"/>
  <c r="B6"/>
  <c r="B7"/>
  <c r="B8"/>
  <c r="B9"/>
  <c r="B2"/>
  <c r="I2" i="7"/>
  <c r="I3"/>
  <c r="I4"/>
  <c r="I6"/>
  <c r="I7"/>
  <c r="I8"/>
  <c r="I9"/>
  <c r="I10"/>
  <c r="I12"/>
  <c r="I13"/>
  <c r="I14"/>
  <c r="I17"/>
  <c r="I18"/>
  <c r="I19"/>
  <c r="F19"/>
  <c r="F18"/>
  <c r="F17"/>
  <c r="F14"/>
  <c r="F13"/>
  <c r="F12"/>
  <c r="F10"/>
  <c r="F9"/>
  <c r="F8"/>
  <c r="F7"/>
  <c r="F6"/>
  <c r="F4"/>
  <c r="F3"/>
  <c r="F2"/>
  <c r="C19"/>
  <c r="C18"/>
  <c r="C17"/>
  <c r="C14"/>
  <c r="C13"/>
  <c r="C12"/>
  <c r="C10"/>
  <c r="C9"/>
  <c r="C8"/>
  <c r="C7"/>
  <c r="C6"/>
  <c r="C4"/>
  <c r="C3"/>
  <c r="C2"/>
  <c r="B18"/>
  <c r="B19"/>
  <c r="B17"/>
  <c r="B13"/>
  <c r="B14"/>
  <c r="B12"/>
  <c r="B7"/>
  <c r="B8"/>
  <c r="B9"/>
  <c r="B10"/>
  <c r="B6"/>
  <c r="B3"/>
  <c r="B4"/>
  <c r="B2"/>
  <c r="J9" i="8" l="1"/>
  <c r="J19"/>
  <c r="J5"/>
  <c r="J13"/>
  <c r="J8" i="7"/>
  <c r="J13"/>
  <c r="J6"/>
  <c r="J18" i="8"/>
  <c r="J6"/>
  <c r="J22"/>
  <c r="I20"/>
  <c r="J10" i="7"/>
  <c r="J9"/>
  <c r="J19"/>
  <c r="I11"/>
  <c r="F15" i="8"/>
  <c r="J23"/>
  <c r="B5" i="7"/>
  <c r="J4" i="8"/>
  <c r="J8"/>
  <c r="J24"/>
  <c r="I15" i="7"/>
  <c r="J14"/>
  <c r="B11"/>
  <c r="J4"/>
  <c r="B27" i="8"/>
  <c r="B15" i="7"/>
  <c r="F27" i="8"/>
  <c r="I27"/>
  <c r="I15"/>
  <c r="C27"/>
  <c r="I10"/>
  <c r="F10"/>
  <c r="F20"/>
  <c r="C10"/>
  <c r="C15"/>
  <c r="C20"/>
  <c r="J14"/>
  <c r="J3"/>
  <c r="J12"/>
  <c r="B20"/>
  <c r="B15"/>
  <c r="B10"/>
  <c r="J2"/>
  <c r="J11"/>
  <c r="J16"/>
  <c r="J2" i="7"/>
  <c r="I5"/>
  <c r="J17"/>
  <c r="C15"/>
  <c r="C11"/>
  <c r="J7"/>
  <c r="J12"/>
  <c r="J18"/>
  <c r="F11"/>
  <c r="F5"/>
  <c r="F15"/>
  <c r="J3"/>
  <c r="C5"/>
  <c r="F21" i="8" l="1"/>
  <c r="B21"/>
  <c r="C21"/>
  <c r="I21"/>
  <c r="C16" i="7"/>
  <c r="I16"/>
  <c r="F16"/>
  <c r="B16"/>
  <c r="B20"/>
  <c r="B21" s="1"/>
  <c r="I20"/>
  <c r="I21" s="1"/>
  <c r="J11"/>
  <c r="J20" i="8"/>
  <c r="J15" i="7"/>
  <c r="C30" i="8"/>
  <c r="C31" s="1"/>
  <c r="J27"/>
  <c r="B30"/>
  <c r="B31" s="1"/>
  <c r="J15"/>
  <c r="J10"/>
  <c r="C20" i="7"/>
  <c r="C21" s="1"/>
  <c r="F20"/>
  <c r="J5"/>
  <c r="F21" l="1"/>
  <c r="G16" s="1"/>
  <c r="J21" i="8"/>
  <c r="J16" i="7"/>
  <c r="G21"/>
  <c r="G12"/>
  <c r="J20"/>
  <c r="I28" i="8"/>
  <c r="I30" s="1"/>
  <c r="I31" s="1"/>
  <c r="G5" i="7" l="1"/>
  <c r="G8"/>
  <c r="G17"/>
  <c r="G6"/>
  <c r="J21"/>
  <c r="G9"/>
  <c r="G13"/>
  <c r="G3"/>
  <c r="G4"/>
  <c r="G10"/>
  <c r="G2"/>
  <c r="G15"/>
  <c r="G14"/>
  <c r="G18"/>
  <c r="G7"/>
  <c r="G11"/>
  <c r="B5" i="10"/>
  <c r="C5"/>
  <c r="B2"/>
  <c r="C2"/>
  <c r="B9" l="1"/>
  <c r="B13" s="1"/>
  <c r="B15" s="1"/>
  <c r="C9"/>
  <c r="C13" l="1"/>
  <c r="C15" l="1"/>
  <c r="P49" i="2" l="1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6"/>
  <c r="P25"/>
  <c r="P24"/>
  <c r="P23"/>
  <c r="P19"/>
  <c r="P18"/>
  <c r="P17"/>
  <c r="P13"/>
  <c r="P12"/>
  <c r="P11"/>
  <c r="P10"/>
  <c r="P9"/>
  <c r="P8"/>
  <c r="P7"/>
  <c r="P6"/>
  <c r="P5"/>
  <c r="P4"/>
  <c r="P3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6"/>
  <c r="G25"/>
  <c r="G24"/>
  <c r="G23"/>
  <c r="G19"/>
  <c r="G18"/>
  <c r="G17"/>
  <c r="G13"/>
  <c r="G11"/>
  <c r="G10"/>
  <c r="G9"/>
  <c r="G8"/>
  <c r="G7"/>
  <c r="G6"/>
  <c r="G5"/>
  <c r="G4"/>
  <c r="G3"/>
  <c r="D24"/>
  <c r="D25"/>
  <c r="D26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23"/>
  <c r="D4"/>
  <c r="D5"/>
  <c r="D6"/>
  <c r="D7"/>
  <c r="D8"/>
  <c r="D9"/>
  <c r="D10"/>
  <c r="D11"/>
  <c r="D13"/>
  <c r="D17"/>
  <c r="D18"/>
  <c r="D19"/>
  <c r="D3"/>
  <c r="F28" i="8" l="1"/>
  <c r="P55" i="2" l="1"/>
  <c r="F29" i="8"/>
  <c r="J28"/>
  <c r="P51" i="2"/>
  <c r="P54"/>
  <c r="P53"/>
  <c r="P52"/>
  <c r="P50"/>
  <c r="P16"/>
  <c r="P14"/>
  <c r="P15"/>
  <c r="O56"/>
  <c r="R56" s="1"/>
  <c r="N56"/>
  <c r="Q56" s="1"/>
  <c r="F30" i="8" l="1"/>
  <c r="O57" i="2"/>
  <c r="J29" i="8"/>
  <c r="P21" i="2"/>
  <c r="P20"/>
  <c r="N57"/>
  <c r="P56"/>
  <c r="G12"/>
  <c r="D55"/>
  <c r="D54"/>
  <c r="Q57" l="1"/>
  <c r="N61"/>
  <c r="F6" i="9" s="1"/>
  <c r="R57" i="2"/>
  <c r="O61"/>
  <c r="F31" i="8"/>
  <c r="G18" s="1"/>
  <c r="J30"/>
  <c r="P57" i="2"/>
  <c r="G14"/>
  <c r="G15"/>
  <c r="G50"/>
  <c r="G51"/>
  <c r="G52"/>
  <c r="G53"/>
  <c r="G54"/>
  <c r="G55"/>
  <c r="D14"/>
  <c r="D16"/>
  <c r="D12"/>
  <c r="D51"/>
  <c r="D53"/>
  <c r="D15"/>
  <c r="D50"/>
  <c r="D52"/>
  <c r="C56"/>
  <c r="C57" s="1"/>
  <c r="B56"/>
  <c r="G9" i="8" l="1"/>
  <c r="G22"/>
  <c r="G27"/>
  <c r="G13"/>
  <c r="G15"/>
  <c r="G11"/>
  <c r="G14"/>
  <c r="G4"/>
  <c r="G3"/>
  <c r="G31"/>
  <c r="G10"/>
  <c r="G25"/>
  <c r="G8"/>
  <c r="G17"/>
  <c r="J31"/>
  <c r="G19"/>
  <c r="G7"/>
  <c r="G6"/>
  <c r="G24"/>
  <c r="G16"/>
  <c r="G23"/>
  <c r="G28"/>
  <c r="G20"/>
  <c r="G2"/>
  <c r="G5"/>
  <c r="G26"/>
  <c r="G12"/>
  <c r="G21"/>
  <c r="G20" i="2"/>
  <c r="G56"/>
  <c r="G16"/>
  <c r="D21"/>
  <c r="D20"/>
  <c r="B57"/>
  <c r="D57" s="1"/>
  <c r="D56"/>
  <c r="G21" l="1"/>
  <c r="G57"/>
</calcChain>
</file>

<file path=xl/sharedStrings.xml><?xml version="1.0" encoding="utf-8"?>
<sst xmlns="http://schemas.openxmlformats.org/spreadsheetml/2006/main" count="482" uniqueCount="374">
  <si>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</si>
  <si>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</si>
  <si>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</si>
  <si>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</si>
  <si>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</si>
  <si>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</si>
  <si>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</si>
  <si>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</si>
  <si>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</si>
  <si>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</si>
  <si>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</si>
  <si>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</si>
  <si>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</si>
  <si>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</si>
  <si>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</si>
  <si>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</si>
  <si>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</si>
  <si>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</si>
  <si>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</si>
  <si>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</si>
  <si>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</si>
  <si>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</si>
  <si>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</si>
  <si>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</si>
  <si>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</si>
  <si>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</si>
  <si>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</si>
  <si>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</si>
  <si>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</si>
  <si>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</si>
  <si>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</si>
  <si>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</si>
  <si>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</si>
  <si>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</si>
  <si>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</si>
  <si>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</si>
  <si>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</si>
  <si>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</si>
  <si>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</si>
  <si>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</si>
  <si>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</si>
  <si>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</si>
  <si>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</si>
  <si>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</si>
  <si>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</si>
  <si>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</si>
  <si>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</si>
  <si>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</si>
  <si>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</si>
  <si>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</si>
  <si>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</si>
  <si>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</si>
  <si>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</si>
  <si>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</si>
  <si>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</si>
  <si>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</si>
  <si>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</si>
  <si>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</si>
  <si>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</si>
  <si>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</si>
  <si>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</si>
  <si>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</si>
  <si>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</si>
  <si>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</si>
  <si>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</si>
  <si>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</si>
  <si>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</si>
  <si>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</si>
  <si>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</si>
  <si>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</si>
  <si>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</si>
  <si>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</si>
  <si>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</si>
  <si>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</si>
  <si>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</si>
  <si>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</si>
  <si>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</si>
  <si>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</si>
  <si>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</si>
  <si>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</si>
  <si>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</si>
  <si>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</si>
  <si>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</si>
  <si>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</si>
  <si>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</si>
  <si>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</si>
  <si>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</si>
  <si>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</si>
  <si>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</si>
  <si>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</si>
  <si>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</si>
  <si>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</si>
  <si>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</si>
  <si>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</si>
  <si>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</si>
  <si>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</si>
  <si>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</si>
  <si>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</si>
  <si>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</si>
  <si>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</si>
  <si>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</si>
  <si>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</si>
  <si>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</si>
  <si>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</si>
  <si>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</si>
  <si>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</si>
  <si>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</si>
  <si>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</si>
  <si>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</si>
  <si>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</si>
  <si>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</si>
  <si>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</si>
  <si>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</si>
  <si>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</si>
  <si>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</si>
  <si>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</si>
  <si>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</si>
  <si>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</si>
  <si>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</si>
  <si>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</si>
  <si>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</si>
  <si>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</si>
  <si>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</si>
  <si>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</si>
  <si>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</si>
  <si>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</si>
  <si>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</si>
  <si>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</si>
  <si>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</si>
  <si>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</si>
  <si>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</si>
  <si>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</si>
  <si>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</si>
  <si>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</si>
  <si>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</si>
  <si>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</si>
  <si>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</si>
  <si>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</si>
  <si>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</si>
  <si>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</si>
  <si>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</si>
  <si>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</si>
  <si>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</si>
  <si>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</si>
  <si>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</si>
  <si>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</si>
  <si>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</si>
  <si>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</si>
  <si>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</si>
  <si>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</si>
  <si>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</si>
  <si>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</si>
  <si>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</si>
  <si>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</si>
  <si>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</si>
  <si>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</si>
  <si>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</si>
  <si>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</si>
  <si>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</si>
  <si>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</si>
  <si>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</si>
  <si>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</si>
  <si>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</si>
  <si>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</si>
  <si>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</si>
  <si>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</si>
  <si>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</si>
  <si>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</si>
  <si>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</si>
  <si>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</si>
  <si>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</si>
  <si>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</si>
  <si>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</si>
  <si>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</si>
  <si>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</si>
  <si>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</si>
  <si>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</si>
  <si>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</si>
  <si>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</si>
  <si>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</si>
  <si>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</si>
  <si>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</si>
  <si>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</si>
  <si>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</si>
  <si>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</si>
  <si>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</si>
  <si>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</si>
  <si>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</si>
  <si>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</si>
  <si>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</si>
  <si>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</si>
  <si>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</si>
  <si>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</si>
  <si>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</si>
  <si>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</si>
  <si>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</si>
  <si>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</si>
  <si>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</si>
  <si>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</si>
  <si>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</si>
  <si>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</si>
  <si>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</si>
  <si>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</si>
  <si>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</si>
  <si>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</si>
  <si>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</si>
  <si>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</si>
  <si>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</si>
  <si>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</si>
  <si>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</si>
  <si>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</si>
  <si>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</si>
  <si>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</si>
  <si>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</si>
  <si>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</si>
  <si>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</si>
  <si>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</si>
  <si>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</si>
  <si>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</si>
  <si>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</si>
  <si>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</si>
  <si>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</si>
  <si>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</si>
  <si>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</si>
  <si>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</si>
  <si>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</si>
  <si>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</si>
  <si>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</si>
  <si>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</si>
  <si>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</si>
  <si>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</si>
  <si>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</si>
  <si>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</si>
  <si>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</si>
  <si>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</si>
  <si>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</si>
  <si>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</si>
  <si>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</si>
  <si>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</si>
  <si>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</si>
  <si>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</si>
  <si>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</si>
  <si>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</si>
  <si>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</si>
  <si>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</si>
  <si>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</si>
  <si>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</si>
  <si>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</si>
  <si>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</si>
  <si>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</si>
  <si>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</si>
  <si>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</si>
  <si>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</si>
  <si>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</si>
  <si>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</si>
  <si>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</si>
  <si>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</si>
  <si>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</si>
  <si>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</si>
  <si>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</si>
  <si>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</si>
  <si>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</si>
  <si>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</si>
  <si>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</si>
  <si>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</si>
  <si>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</si>
  <si>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</si>
  <si>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</si>
  <si>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</si>
  <si>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</si>
  <si>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</si>
  <si>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</si>
  <si>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</si>
  <si>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</si>
  <si>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</si>
  <si>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</si>
  <si>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</si>
  <si>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</si>
  <si>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</si>
  <si>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</si>
  <si>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</si>
  <si>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</si>
  <si>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</si>
  <si>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</si>
  <si>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</si>
  <si>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</si>
  <si>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</si>
  <si>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</si>
  <si>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</si>
  <si>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</si>
  <si>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</si>
  <si>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</si>
  <si>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</si>
  <si>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</si>
  <si>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</si>
  <si>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</si>
  <si>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</si>
  <si>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</si>
  <si>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</si>
  <si>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</si>
  <si>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</si>
  <si>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</si>
  <si>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</si>
  <si>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</si>
  <si>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</si>
  <si>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</si>
  <si>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</si>
  <si>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</si>
  <si>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</si>
  <si>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</si>
  <si>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</si>
  <si>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</si>
  <si>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</si>
  <si>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</si>
  <si>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</si>
  <si>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</si>
  <si>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</si>
  <si>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</si>
  <si>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</si>
  <si>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</si>
  <si>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</si>
  <si>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</si>
  <si>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</si>
  <si>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</si>
  <si>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</si>
  <si>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</si>
  <si>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</si>
  <si>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</si>
  <si>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</si>
  <si>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</si>
  <si>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</si>
  <si>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</si>
  <si>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</si>
  <si>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</si>
  <si>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</si>
  <si>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</si>
  <si>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</si>
  <si>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</si>
  <si>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</si>
  <si>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</si>
  <si>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</si>
  <si>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</si>
  <si>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</si>
  <si>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</si>
  <si>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</si>
  <si>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</si>
  <si>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Saldo naturale</t>
  </si>
  <si>
    <t>Saldo migratorio</t>
  </si>
  <si>
    <t>Verifica</t>
  </si>
  <si>
    <t>Fondo a copertura residui perenti</t>
  </si>
  <si>
    <t>105 TRASFERIMENTI DI TRIBUTI</t>
  </si>
  <si>
    <t>106 FONDI PEREQUATIVI</t>
  </si>
  <si>
    <t>12.5</t>
  </si>
  <si>
    <t>Quota disavanzo derivante da debito autorizzato e non contratto</t>
  </si>
  <si>
    <t xml:space="preserve">Tutela della salute </t>
  </si>
  <si>
    <t>FPV per spese in conto capitale (*)</t>
  </si>
  <si>
    <t>(*) include FPV per incremento attività finanziarie</t>
  </si>
  <si>
    <t>Media Regioni</t>
  </si>
  <si>
    <t xml:space="preserve">     di cui da tributi destinati al finanziamento della sanità</t>
  </si>
  <si>
    <t xml:space="preserve">    di cui enti finanziati dal ssn</t>
  </si>
  <si>
    <t xml:space="preserve">    di cui altre amministrazioni pubbliche</t>
  </si>
  <si>
    <t xml:space="preserve">     di cui da trasferimenti e contributi da amm.ni pubbliche</t>
  </si>
  <si>
    <t>Anno</t>
  </si>
  <si>
    <t>Regione</t>
  </si>
  <si>
    <t>Popolazione al 1° gennaio</t>
  </si>
  <si>
    <t>Rapporto Fcde/Residui attivi (scala dx)</t>
  </si>
  <si>
    <t>Riaccertamento residui</t>
  </si>
  <si>
    <t/>
  </si>
  <si>
    <t>Saldo entrate/uscite finali</t>
  </si>
  <si>
    <t>Saldo entrate/uscite nette</t>
  </si>
  <si>
    <t>Capacità riscossione entrate finali</t>
  </si>
  <si>
    <t>Capacità pagamento uscite finali</t>
  </si>
  <si>
    <t>Riscossioni 2020</t>
  </si>
  <si>
    <t>Pagamenti 2020</t>
  </si>
</sst>
</file>

<file path=xl/styles.xml><?xml version="1.0" encoding="utf-8"?>
<styleSheet xmlns="http://schemas.openxmlformats.org/spreadsheetml/2006/main">
  <numFmts count="5">
    <numFmt numFmtId="164" formatCode="_-* #,##0.00\ _€_-;\-* #,##0.00\ _€_-;_-* &quot;-&quot;??\ _€_-;_-@_-"/>
    <numFmt numFmtId="165" formatCode="_-* #,##0_-;\-* #,##0_-;_-* &quot;-&quot;??_-;_-@_-"/>
    <numFmt numFmtId="166" formatCode="0.0"/>
    <numFmt numFmtId="167" formatCode="#,##0_ ;\-#,##0\ "/>
    <numFmt numFmtId="168" formatCode="#,##0.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15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6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5" fontId="0" fillId="0" borderId="1" xfId="0" applyNumberFormat="1" applyBorder="1"/>
    <xf numFmtId="166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0" applyNumberFormat="1" applyBorder="1"/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/>
    <xf numFmtId="0" fontId="0" fillId="0" borderId="4" xfId="0" applyBorder="1" applyAlignment="1">
      <alignment horizontal="center"/>
    </xf>
    <xf numFmtId="165" fontId="0" fillId="0" borderId="4" xfId="0" applyNumberFormat="1" applyBorder="1"/>
    <xf numFmtId="165" fontId="0" fillId="0" borderId="5" xfId="0" applyNumberFormat="1" applyBorder="1"/>
    <xf numFmtId="0" fontId="0" fillId="0" borderId="0" xfId="0" quotePrefix="1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165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5" fontId="1" fillId="0" borderId="0" xfId="0" applyNumberFormat="1" applyFont="1"/>
    <xf numFmtId="166" fontId="1" fillId="0" borderId="0" xfId="0" applyNumberFormat="1" applyFont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0" xfId="1" applyNumberFormat="1" applyFont="1"/>
    <xf numFmtId="0" fontId="6" fillId="0" borderId="0" xfId="0" applyFont="1"/>
    <xf numFmtId="165" fontId="6" fillId="0" borderId="0" xfId="0" applyNumberFormat="1" applyFont="1"/>
    <xf numFmtId="166" fontId="6" fillId="0" borderId="0" xfId="0" applyNumberFormat="1" applyFont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2" fillId="0" borderId="1" xfId="0" applyNumberFormat="1" applyFont="1" applyBorder="1"/>
    <xf numFmtId="166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5" fontId="0" fillId="4" borderId="0" xfId="0" applyNumberFormat="1" applyFill="1"/>
    <xf numFmtId="166" fontId="0" fillId="4" borderId="0" xfId="0" applyNumberFormat="1" applyFill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5" fontId="0" fillId="4" borderId="0" xfId="0" applyNumberFormat="1" applyFont="1" applyFill="1"/>
    <xf numFmtId="166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7" fontId="0" fillId="4" borderId="0" xfId="0" applyNumberFormat="1" applyFont="1" applyFill="1"/>
    <xf numFmtId="167" fontId="3" fillId="4" borderId="0" xfId="1" applyNumberFormat="1" applyFont="1" applyFill="1"/>
    <xf numFmtId="167" fontId="6" fillId="0" borderId="0" xfId="0" applyNumberFormat="1" applyFont="1"/>
    <xf numFmtId="167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7" fontId="1" fillId="4" borderId="0" xfId="0" applyNumberFormat="1" applyFont="1" applyFill="1" applyAlignment="1">
      <alignment horizontal="center" vertical="center"/>
    </xf>
    <xf numFmtId="167" fontId="1" fillId="6" borderId="0" xfId="1" applyNumberFormat="1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167" fontId="9" fillId="4" borderId="0" xfId="1" applyNumberFormat="1" applyFont="1" applyFill="1" applyAlignment="1">
      <alignment horizontal="center" vertical="center"/>
    </xf>
    <xf numFmtId="167" fontId="9" fillId="6" borderId="0" xfId="1" applyNumberFormat="1" applyFont="1" applyFill="1" applyAlignment="1">
      <alignment horizontal="center" vertical="center"/>
    </xf>
    <xf numFmtId="167" fontId="1" fillId="6" borderId="0" xfId="0" applyNumberFormat="1" applyFont="1" applyFill="1" applyAlignment="1">
      <alignment horizontal="center" vertical="center"/>
    </xf>
    <xf numFmtId="167" fontId="6" fillId="4" borderId="0" xfId="0" quotePrefix="1" applyNumberFormat="1" applyFont="1" applyFill="1" applyAlignment="1">
      <alignment horizontal="center" vertical="center"/>
    </xf>
    <xf numFmtId="167" fontId="6" fillId="6" borderId="0" xfId="1" quotePrefix="1" applyNumberFormat="1" applyFont="1" applyFill="1" applyAlignment="1">
      <alignment horizontal="center" vertical="center"/>
    </xf>
    <xf numFmtId="167" fontId="6" fillId="6" borderId="0" xfId="0" quotePrefix="1" applyNumberFormat="1" applyFont="1" applyFill="1" applyAlignment="1">
      <alignment horizontal="center" vertical="center"/>
    </xf>
    <xf numFmtId="167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" fontId="0" fillId="0" borderId="0" xfId="0" applyNumberFormat="1"/>
    <xf numFmtId="0" fontId="0" fillId="0" borderId="0" xfId="0" applyFill="1" applyBorder="1"/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8" fontId="0" fillId="0" borderId="0" xfId="0" applyNumberFormat="1" applyFill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2" xfId="0" applyBorder="1"/>
    <xf numFmtId="168" fontId="0" fillId="4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166" fontId="0" fillId="0" borderId="5" xfId="0" applyNumberFormat="1" applyBorder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89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8806717062543146"/>
          <c:y val="3.6416650591281879E-2"/>
          <c:w val="0.80361249792401179"/>
          <c:h val="0.78902477947494853"/>
        </c:manualLayout>
      </c:layout>
      <c:lineChart>
        <c:grouping val="standard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Risultato_amministrazione!$B$3:$F$3</c:f>
              <c:numCache>
                <c:formatCode>#,##0</c:formatCode>
                <c:ptCount val="5"/>
                <c:pt idx="0">
                  <c:v>2448550921.4299998</c:v>
                </c:pt>
                <c:pt idx="1">
                  <c:v>1904083629.03</c:v>
                </c:pt>
                <c:pt idx="2">
                  <c:v>1678306469.6900001</c:v>
                </c:pt>
                <c:pt idx="3">
                  <c:v>1070400250.5700001</c:v>
                </c:pt>
                <c:pt idx="4">
                  <c:v>1091137079.3599999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Risultato_amministrazione!$B$4:$F$4</c:f>
              <c:numCache>
                <c:formatCode>#,##0</c:formatCode>
                <c:ptCount val="5"/>
                <c:pt idx="0">
                  <c:v>1886773244.3399999</c:v>
                </c:pt>
                <c:pt idx="1">
                  <c:v>1959964153.71</c:v>
                </c:pt>
                <c:pt idx="2">
                  <c:v>1952272973.1800001</c:v>
                </c:pt>
                <c:pt idx="3">
                  <c:v>1953266158.1700001</c:v>
                </c:pt>
                <c:pt idx="4">
                  <c:v>2000063152.5699999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marker val="1"/>
        <c:axId val="75802112"/>
        <c:axId val="75803648"/>
      </c:lineChart>
      <c:catAx>
        <c:axId val="75802112"/>
        <c:scaling>
          <c:orientation val="minMax"/>
        </c:scaling>
        <c:axPos val="b"/>
        <c:numFmt formatCode="General" sourceLinked="1"/>
        <c:majorTickMark val="none"/>
        <c:tickLblPos val="nextTo"/>
        <c:crossAx val="75803648"/>
        <c:crosses val="autoZero"/>
        <c:auto val="1"/>
        <c:lblAlgn val="ctr"/>
        <c:lblOffset val="100"/>
      </c:catAx>
      <c:valAx>
        <c:axId val="75803648"/>
        <c:scaling>
          <c:orientation val="minMax"/>
          <c:max val="2500000000"/>
          <c:min val="1000000000"/>
        </c:scaling>
        <c:axPos val="l"/>
        <c:numFmt formatCode="#,##0" sourceLinked="1"/>
        <c:majorTickMark val="none"/>
        <c:tickLblPos val="nextTo"/>
        <c:crossAx val="75802112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layout/>
      <c:spPr>
        <a:noFill/>
        <a:ln>
          <a:noFill/>
        </a:ln>
      </c:spPr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7.0247043861785319E-2"/>
          <c:y val="3.7855250782630842E-2"/>
          <c:w val="0.95679921453118866"/>
          <c:h val="0.77571216754281969"/>
        </c:manualLayout>
      </c:layout>
      <c:barChart>
        <c:barDir val="col"/>
        <c:grouping val="clustered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dLbls>
            <c:dLbl>
              <c:idx val="2"/>
              <c:layout>
                <c:manualLayout>
                  <c:x val="-6.9980423886053364E-17"/>
                  <c:y val="7.6937872667820735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Piano_indicatori!$D$31:$H$31</c:f>
              <c:numCache>
                <c:formatCode>0.00</c:formatCode>
                <c:ptCount val="5"/>
                <c:pt idx="0">
                  <c:v>1961.55</c:v>
                </c:pt>
                <c:pt idx="1">
                  <c:v>2017.63</c:v>
                </c:pt>
                <c:pt idx="2">
                  <c:v>2280.0700000000002</c:v>
                </c:pt>
                <c:pt idx="3">
                  <c:v>2238.65</c:v>
                </c:pt>
                <c:pt idx="4">
                  <c:v>2194.83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Piano_indicatori!$D$93:$H$93</c:f>
              <c:numCache>
                <c:formatCode>0.00</c:formatCode>
                <c:ptCount val="5"/>
                <c:pt idx="0">
                  <c:v>251.09759762080674</c:v>
                </c:pt>
                <c:pt idx="1">
                  <c:v>226.20399780332346</c:v>
                </c:pt>
                <c:pt idx="2">
                  <c:v>238.9835900012705</c:v>
                </c:pt>
                <c:pt idx="3">
                  <c:v>254.8769995879359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axId val="75006720"/>
        <c:axId val="75008256"/>
      </c:barChart>
      <c:catAx>
        <c:axId val="75006720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noFill/>
          </a:ln>
        </c:spPr>
        <c:crossAx val="75008256"/>
        <c:crosses val="autoZero"/>
        <c:auto val="1"/>
        <c:lblAlgn val="ctr"/>
        <c:lblOffset val="100"/>
      </c:catAx>
      <c:valAx>
        <c:axId val="75008256"/>
        <c:scaling>
          <c:orientation val="minMax"/>
          <c:min val="0"/>
        </c:scaling>
        <c:delete val="1"/>
        <c:axPos val="l"/>
        <c:numFmt formatCode="0" sourceLinked="0"/>
        <c:majorTickMark val="none"/>
        <c:tickLblPos val="none"/>
        <c:crossAx val="75006720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2.1600392734413748E-2"/>
          <c:y val="3.6934441366574581E-3"/>
          <c:w val="0.95679921453118866"/>
          <c:h val="0.8948232163500347"/>
        </c:manualLayout>
      </c:layout>
      <c:barChart>
        <c:barDir val="col"/>
        <c:grouping val="clustered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Piano_indicatori!$D$47:$H$47</c:f>
              <c:numCache>
                <c:formatCode>0.00</c:formatCode>
                <c:ptCount val="5"/>
                <c:pt idx="0">
                  <c:v>-0.65</c:v>
                </c:pt>
                <c:pt idx="1">
                  <c:v>-5.49</c:v>
                </c:pt>
                <c:pt idx="2">
                  <c:v>-7.26</c:v>
                </c:pt>
                <c:pt idx="3">
                  <c:v>-7.47</c:v>
                </c:pt>
                <c:pt idx="4">
                  <c:v>-13.1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Piano_indicatori!$D$94:$H$94</c:f>
              <c:numCache>
                <c:formatCode>0.00</c:formatCode>
                <c:ptCount val="5"/>
                <c:pt idx="0">
                  <c:v>5.1523529411764697</c:v>
                </c:pt>
                <c:pt idx="1">
                  <c:v>-0.42166666666666625</c:v>
                </c:pt>
                <c:pt idx="2">
                  <c:v>-3.3627777777777768</c:v>
                </c:pt>
                <c:pt idx="3">
                  <c:v>-6.1844444444444466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axId val="75109504"/>
        <c:axId val="75111040"/>
      </c:barChart>
      <c:catAx>
        <c:axId val="75109504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noFill/>
          </a:ln>
        </c:spPr>
        <c:crossAx val="75111040"/>
        <c:crosses val="autoZero"/>
        <c:auto val="1"/>
        <c:lblAlgn val="ctr"/>
        <c:lblOffset val="100"/>
      </c:catAx>
      <c:valAx>
        <c:axId val="75111040"/>
        <c:scaling>
          <c:orientation val="minMax"/>
          <c:max val="10"/>
          <c:min val="-15"/>
        </c:scaling>
        <c:delete val="1"/>
        <c:axPos val="l"/>
        <c:numFmt formatCode="0" sourceLinked="0"/>
        <c:majorTickMark val="none"/>
        <c:tickLblPos val="none"/>
        <c:crossAx val="75109504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2.1600392734413748E-2"/>
          <c:y val="3.6934441366574581E-3"/>
          <c:w val="0.95679921453118866"/>
          <c:h val="0.79879366879694058"/>
        </c:manualLayout>
      </c:layout>
      <c:barChart>
        <c:barDir val="col"/>
        <c:grouping val="clustered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Piano_indicatori!$D$52:$H$52</c:f>
              <c:numCache>
                <c:formatCode>0.00</c:formatCode>
                <c:ptCount val="5"/>
                <c:pt idx="0">
                  <c:v>260.09023096374551</c:v>
                </c:pt>
                <c:pt idx="1">
                  <c:v>236.87258876651492</c:v>
                </c:pt>
                <c:pt idx="2">
                  <c:v>221.06</c:v>
                </c:pt>
                <c:pt idx="3">
                  <c:v>205.66</c:v>
                </c:pt>
                <c:pt idx="4">
                  <c:v>187.84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Piano_indicatori!$D$95:$H$95</c:f>
              <c:numCache>
                <c:formatCode>0.00</c:formatCode>
                <c:ptCount val="5"/>
                <c:pt idx="0">
                  <c:v>1497.6574370098967</c:v>
                </c:pt>
                <c:pt idx="1">
                  <c:v>1511.4496314108096</c:v>
                </c:pt>
                <c:pt idx="2">
                  <c:v>1479.4297544978085</c:v>
                </c:pt>
                <c:pt idx="3">
                  <c:v>1400.855257564868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axId val="75232768"/>
        <c:axId val="75234304"/>
      </c:barChart>
      <c:catAx>
        <c:axId val="75232768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noFill/>
          </a:ln>
        </c:spPr>
        <c:crossAx val="75234304"/>
        <c:crosses val="autoZero"/>
        <c:auto val="1"/>
        <c:lblAlgn val="ctr"/>
        <c:lblOffset val="100"/>
      </c:catAx>
      <c:valAx>
        <c:axId val="75234304"/>
        <c:scaling>
          <c:orientation val="minMax"/>
          <c:max val="1700"/>
          <c:min val="0"/>
        </c:scaling>
        <c:delete val="1"/>
        <c:axPos val="l"/>
        <c:numFmt formatCode="0" sourceLinked="0"/>
        <c:majorTickMark val="none"/>
        <c:tickLblPos val="none"/>
        <c:crossAx val="75232768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79455982310043105"/>
          <c:h val="0.9494655159537152"/>
        </c:manualLayout>
      </c:layout>
      <c:barChart>
        <c:barDir val="bar"/>
        <c:grouping val="clustered"/>
        <c:ser>
          <c:idx val="1"/>
          <c:order val="0"/>
          <c:tx>
            <c:strRef>
              <c:f>Popolazione!$A$1</c:f>
              <c:strCache>
                <c:ptCount val="1"/>
                <c:pt idx="0">
                  <c:v>Anno</c:v>
                </c:pt>
              </c:strCache>
            </c:strRef>
          </c:tx>
          <c:spPr>
            <a:solidFill>
              <a:srgbClr val="00B050"/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Popolazione!$A$2:$A$8</c:f>
              <c:numCache>
                <c:formatCode>General</c:formatCode>
                <c:ptCount val="7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numCache>
            </c:numRef>
          </c:cat>
          <c:val>
            <c:numRef>
              <c:f>Popolazione!$B$2:$B$8</c:f>
              <c:numCache>
                <c:formatCode>#,##0</c:formatCode>
                <c:ptCount val="7"/>
                <c:pt idx="0">
                  <c:v>542166</c:v>
                </c:pt>
                <c:pt idx="1">
                  <c:v>545425</c:v>
                </c:pt>
                <c:pt idx="2">
                  <c:v>543721</c:v>
                </c:pt>
                <c:pt idx="3">
                  <c:v>541966</c:v>
                </c:pt>
                <c:pt idx="4">
                  <c:v>540280</c:v>
                </c:pt>
                <c:pt idx="5">
                  <c:v>539513</c:v>
                </c:pt>
                <c:pt idx="6">
                  <c:v>538188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axId val="75608064"/>
        <c:axId val="75609600"/>
      </c:barChart>
      <c:catAx>
        <c:axId val="75608064"/>
        <c:scaling>
          <c:orientation val="minMax"/>
        </c:scaling>
        <c:axPos val="l"/>
        <c:numFmt formatCode="General" sourceLinked="1"/>
        <c:maj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75609600"/>
        <c:crosses val="autoZero"/>
        <c:auto val="1"/>
        <c:lblAlgn val="ctr"/>
        <c:lblOffset val="100"/>
      </c:catAx>
      <c:valAx>
        <c:axId val="75609600"/>
        <c:scaling>
          <c:orientation val="minMax"/>
        </c:scaling>
        <c:delete val="1"/>
        <c:axPos val="b"/>
        <c:numFmt formatCode="#,##0" sourceLinked="1"/>
        <c:majorTickMark val="none"/>
        <c:tickLblPos val="none"/>
        <c:crossAx val="756080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barChart>
        <c:barDir val="col"/>
        <c:grouping val="stacked"/>
        <c:ser>
          <c:idx val="1"/>
          <c:order val="0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Risultato_amministrazione!$B$8:$F$8</c:f>
              <c:numCache>
                <c:formatCode>#,##0</c:formatCode>
                <c:ptCount val="5"/>
                <c:pt idx="0">
                  <c:v>35169700.119999997</c:v>
                </c:pt>
                <c:pt idx="1">
                  <c:v>39601397.899999999</c:v>
                </c:pt>
                <c:pt idx="2">
                  <c:v>52504407.57</c:v>
                </c:pt>
                <c:pt idx="3">
                  <c:v>47441110.729999997</c:v>
                </c:pt>
                <c:pt idx="4">
                  <c:v>53835390.200000003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ser>
          <c:idx val="3"/>
          <c:order val="1"/>
          <c:tx>
            <c:strRef>
              <c:f>Risultato_amministrazione!$A$9</c:f>
              <c:strCache>
                <c:ptCount val="1"/>
                <c:pt idx="0">
                  <c:v>Fondo a copertura residui perenti</c:v>
                </c:pt>
              </c:strCache>
            </c:strRef>
          </c:tx>
          <c:spPr>
            <a:solidFill>
              <a:srgbClr val="0070C0"/>
            </a:solidFill>
          </c:spPr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Risultato_amministrazione!$B$9:$F$9</c:f>
              <c:numCache>
                <c:formatCode>#,##0</c:formatCode>
                <c:ptCount val="5"/>
                <c:pt idx="0">
                  <c:v>2016207.35</c:v>
                </c:pt>
                <c:pt idx="1">
                  <c:v>1998079.71</c:v>
                </c:pt>
                <c:pt idx="2">
                  <c:v>1968447.99</c:v>
                </c:pt>
                <c:pt idx="3">
                  <c:v>1936527.85</c:v>
                </c:pt>
                <c:pt idx="4">
                  <c:v>1436539.16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77-42A7-892A-1EE77EC86265}"/>
            </c:ext>
          </c:extLst>
        </c:ser>
        <c:ser>
          <c:idx val="0"/>
          <c:order val="2"/>
          <c:tx>
            <c:strRef>
              <c:f>Risultato_amministrazione!$A$10</c:f>
              <c:strCache>
                <c:ptCount val="1"/>
                <c:pt idx="0">
                  <c:v>Fondo anticipazioni liquidità DL35/2013</c:v>
                </c:pt>
              </c:strCache>
            </c:strRef>
          </c:tx>
          <c:spPr>
            <a:solidFill>
              <a:srgbClr val="00B050"/>
            </a:solidFill>
          </c:spPr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Risultato_amministrazione!$B$10:$F$10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77-42A7-892A-1EE77EC86265}"/>
            </c:ext>
          </c:extLst>
        </c:ser>
        <c:ser>
          <c:idx val="4"/>
          <c:order val="3"/>
          <c:tx>
            <c:strRef>
              <c:f>Risultato_amministrazione!$A$52</c:f>
              <c:strCache>
                <c:ptCount val="1"/>
                <c:pt idx="0">
                  <c:v>Altri accantonamenti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Risultato_amministrazione!$B$52:$F$52</c:f>
              <c:numCache>
                <c:formatCode>#,##0</c:formatCode>
                <c:ptCount val="5"/>
                <c:pt idx="0">
                  <c:v>9600000</c:v>
                </c:pt>
                <c:pt idx="1">
                  <c:v>6100000</c:v>
                </c:pt>
                <c:pt idx="2">
                  <c:v>9950000</c:v>
                </c:pt>
                <c:pt idx="3">
                  <c:v>8935750.5999999996</c:v>
                </c:pt>
                <c:pt idx="4">
                  <c:v>10112441.279999999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77-42A7-892A-1EE77EC86265}"/>
            </c:ext>
          </c:extLst>
        </c:ser>
        <c:overlap val="100"/>
        <c:axId val="73615232"/>
        <c:axId val="73616768"/>
      </c:barChart>
      <c:lineChart>
        <c:grouping val="standard"/>
        <c:ser>
          <c:idx val="2"/>
          <c:order val="4"/>
          <c:tx>
            <c:strRef>
              <c:f>Risultato_amministrazione!$A$24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5031289111389254E-2"/>
                  <c:y val="3.6613263515075156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F77-42A7-892A-1EE77EC862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031289111389254E-2"/>
                  <c:y val="2.135773705046049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F77-42A7-892A-1EE77EC8626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687526074259502E-2"/>
                  <c:y val="4.576657939384393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F77-42A7-892A-1EE77EC8626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0250312891114E-2"/>
                  <c:y val="4.5766579393843917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F77-42A7-892A-1EE77EC86265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Risultato_amministrazione!$B$24:$F$24</c:f>
              <c:numCache>
                <c:formatCode>0.0</c:formatCode>
                <c:ptCount val="5"/>
                <c:pt idx="0">
                  <c:v>1.4363475070986162</c:v>
                </c:pt>
                <c:pt idx="1">
                  <c:v>2.0798140006158339</c:v>
                </c:pt>
                <c:pt idx="2">
                  <c:v>3.1284159668226801</c:v>
                </c:pt>
                <c:pt idx="3">
                  <c:v>4.4320907720954921</c:v>
                </c:pt>
                <c:pt idx="4">
                  <c:v>4.9338796397219715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marker val="1"/>
        <c:axId val="73640576"/>
        <c:axId val="73639040"/>
      </c:lineChart>
      <c:catAx>
        <c:axId val="73615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616768"/>
        <c:crosses val="autoZero"/>
        <c:auto val="1"/>
        <c:lblAlgn val="ctr"/>
        <c:lblOffset val="100"/>
      </c:catAx>
      <c:valAx>
        <c:axId val="73616768"/>
        <c:scaling>
          <c:orientation val="minMax"/>
        </c:scaling>
        <c:axPos val="l"/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615232"/>
        <c:crosses val="autoZero"/>
        <c:crossBetween val="between"/>
      </c:valAx>
      <c:valAx>
        <c:axId val="73639040"/>
        <c:scaling>
          <c:orientation val="minMax"/>
        </c:scaling>
        <c:axPos val="r"/>
        <c:numFmt formatCode="0" sourceLinked="0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640576"/>
        <c:crosses val="max"/>
        <c:crossBetween val="between"/>
        <c:majorUnit val="1"/>
      </c:valAx>
      <c:catAx>
        <c:axId val="73640576"/>
        <c:scaling>
          <c:orientation val="minMax"/>
        </c:scaling>
        <c:delete val="1"/>
        <c:axPos val="b"/>
        <c:numFmt formatCode="General" sourceLinked="1"/>
        <c:tickLblPos val="none"/>
        <c:crossAx val="73639040"/>
        <c:crosses val="autoZero"/>
        <c:auto val="1"/>
        <c:lblAlgn val="ctr"/>
        <c:lblOffset val="100"/>
      </c:catAx>
      <c:spPr>
        <a:noFill/>
        <a:ln w="25400"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1.9214134818513712E-2"/>
          <c:y val="1.9227205294990467E-2"/>
          <c:w val="0.86253945222230222"/>
          <c:h val="0.96897896458594845"/>
        </c:manualLayout>
      </c:layout>
      <c:barChart>
        <c:barDir val="bar"/>
        <c:grouping val="clustered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dPt>
            <c:idx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6857051405159852E-2"/>
                  <c:y val="3.8647342995169927E-3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1963655837855647E-2"/>
                  <c:y val="3.8647342995169519E-3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Conto_economico!$C$1:$F$1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Conto_economico!$C$28:$F$28</c:f>
              <c:numCache>
                <c:formatCode>#,##0</c:formatCode>
                <c:ptCount val="4"/>
                <c:pt idx="0">
                  <c:v>367171473.20000076</c:v>
                </c:pt>
                <c:pt idx="1">
                  <c:v>224359491.31999934</c:v>
                </c:pt>
                <c:pt idx="2">
                  <c:v>342498667.31999958</c:v>
                </c:pt>
                <c:pt idx="3">
                  <c:v>273900556.53000093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axId val="73659904"/>
        <c:axId val="73661440"/>
      </c:barChart>
      <c:catAx>
        <c:axId val="73659904"/>
        <c:scaling>
          <c:orientation val="minMax"/>
        </c:scaling>
        <c:axPos val="l"/>
        <c:numFmt formatCode="General" sourceLinked="1"/>
        <c:maj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73661440"/>
        <c:crosses val="autoZero"/>
        <c:auto val="1"/>
        <c:lblAlgn val="ctr"/>
        <c:lblOffset val="100"/>
      </c:catAx>
      <c:valAx>
        <c:axId val="73661440"/>
        <c:scaling>
          <c:orientation val="minMax"/>
        </c:scaling>
        <c:delete val="1"/>
        <c:axPos val="b"/>
        <c:numFmt formatCode="#,##0" sourceLinked="1"/>
        <c:majorTickMark val="none"/>
        <c:tickLblPos val="none"/>
        <c:crossAx val="736599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stacked"/>
        <c:ser>
          <c:idx val="0"/>
          <c:order val="0"/>
          <c:tx>
            <c:strRef>
              <c:f>Stato_patrimoniale!$A$20</c:f>
              <c:strCache>
                <c:ptCount val="1"/>
                <c:pt idx="0">
                  <c:v>Debiti da finanziamento (D1)</c:v>
                </c:pt>
              </c:strCache>
            </c:strRef>
          </c:tx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Stato_patrimoniale!$B$20:$F$20</c:f>
              <c:numCache>
                <c:formatCode>#,##0</c:formatCode>
                <c:ptCount val="5"/>
                <c:pt idx="0">
                  <c:v>139986544.38</c:v>
                </c:pt>
                <c:pt idx="1">
                  <c:v>127580523.8</c:v>
                </c:pt>
                <c:pt idx="2">
                  <c:v>119614624.65000001</c:v>
                </c:pt>
                <c:pt idx="3">
                  <c:v>111619700.5</c:v>
                </c:pt>
                <c:pt idx="4">
                  <c:v>102323950.77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Stato_patrimoniale!$A$21</c:f>
              <c:strCache>
                <c:ptCount val="1"/>
                <c:pt idx="0">
                  <c:v>Debiti verso fornitori (D2)</c:v>
                </c:pt>
              </c:strCache>
            </c:strRef>
          </c:tx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Stato_patrimoniale!$B$21:$F$21</c:f>
              <c:numCache>
                <c:formatCode>#,##0</c:formatCode>
                <c:ptCount val="5"/>
                <c:pt idx="0">
                  <c:v>191554508.84999999</c:v>
                </c:pt>
                <c:pt idx="1">
                  <c:v>188174521.44999999</c:v>
                </c:pt>
                <c:pt idx="2">
                  <c:v>156382310.53999999</c:v>
                </c:pt>
                <c:pt idx="3">
                  <c:v>161442948.75</c:v>
                </c:pt>
                <c:pt idx="4">
                  <c:v>198188060.12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Stato_patrimoniale!$A$22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Stato_patrimoniale!$B$22:$F$22</c:f>
              <c:numCache>
                <c:formatCode>#,##0</c:formatCode>
                <c:ptCount val="5"/>
                <c:pt idx="0">
                  <c:v>1613956642.8299999</c:v>
                </c:pt>
                <c:pt idx="1">
                  <c:v>1715137017.03</c:v>
                </c:pt>
                <c:pt idx="2">
                  <c:v>1760755781.8</c:v>
                </c:pt>
                <c:pt idx="3">
                  <c:v>1746105233.0699999</c:v>
                </c:pt>
                <c:pt idx="4">
                  <c:v>1757285750.02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Stato_patrimoniale!$A$25</c:f>
              <c:strCache>
                <c:ptCount val="1"/>
                <c:pt idx="0">
                  <c:v>Altri debiti (D5)</c:v>
                </c:pt>
              </c:strCache>
            </c:strRef>
          </c:tx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Stato_patrimoniale!$B$25:$F$25</c:f>
              <c:numCache>
                <c:formatCode>#,##0</c:formatCode>
                <c:ptCount val="5"/>
                <c:pt idx="0">
                  <c:v>114007026.56999999</c:v>
                </c:pt>
                <c:pt idx="1">
                  <c:v>82637413.5</c:v>
                </c:pt>
                <c:pt idx="2">
                  <c:v>51654704.619999997</c:v>
                </c:pt>
                <c:pt idx="3">
                  <c:v>52458064.450000003</c:v>
                </c:pt>
                <c:pt idx="4">
                  <c:v>46241324.82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overlap val="100"/>
        <c:axId val="74412032"/>
        <c:axId val="74413568"/>
      </c:barChart>
      <c:catAx>
        <c:axId val="74412032"/>
        <c:scaling>
          <c:orientation val="minMax"/>
        </c:scaling>
        <c:axPos val="b"/>
        <c:numFmt formatCode="General" sourceLinked="1"/>
        <c:majorTickMark val="none"/>
        <c:tickLblPos val="nextTo"/>
        <c:crossAx val="74413568"/>
        <c:crosses val="autoZero"/>
        <c:auto val="1"/>
        <c:lblAlgn val="ctr"/>
        <c:lblOffset val="100"/>
      </c:catAx>
      <c:valAx>
        <c:axId val="74413568"/>
        <c:scaling>
          <c:orientation val="minMax"/>
        </c:scaling>
        <c:axPos val="l"/>
        <c:numFmt formatCode="#,##0" sourceLinked="1"/>
        <c:majorTickMark val="none"/>
        <c:tickLblPos val="nextTo"/>
        <c:crossAx val="74412032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spPr>
        <a:noFill/>
        <a:ln>
          <a:noFill/>
        </a:ln>
      </c:spPr>
    </c:legend>
    <c:plotVisOnly val="1"/>
    <c:dispBlanksAs val="gap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9.5140016946700559E-2"/>
          <c:y val="1.2121212121212118E-2"/>
          <c:w val="0.85332768443314899"/>
          <c:h val="0.8325141970890001"/>
        </c:manualLayout>
      </c:layout>
      <c:barChart>
        <c:barDir val="bar"/>
        <c:grouping val="stacked"/>
        <c:ser>
          <c:idx val="0"/>
          <c:order val="0"/>
          <c:tx>
            <c:strRef>
              <c:f>Stato_patrimoniale!$A$16</c:f>
              <c:strCache>
                <c:ptCount val="1"/>
                <c:pt idx="0">
                  <c:v>Fondo di dotazione (A1)</c:v>
                </c:pt>
              </c:strCache>
            </c:strRef>
          </c:tx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Stato_patrimoniale!$B$16:$F$16</c:f>
              <c:numCache>
                <c:formatCode>#,##0</c:formatCode>
                <c:ptCount val="5"/>
                <c:pt idx="0">
                  <c:v>656679235.79999995</c:v>
                </c:pt>
                <c:pt idx="1">
                  <c:v>656679235.79999995</c:v>
                </c:pt>
                <c:pt idx="2">
                  <c:v>721460210.36000001</c:v>
                </c:pt>
                <c:pt idx="3">
                  <c:v>721460210.36000001</c:v>
                </c:pt>
                <c:pt idx="4">
                  <c:v>721460210.36000001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Stato_patrimoniale!$A$17</c:f>
              <c:strCache>
                <c:ptCount val="1"/>
                <c:pt idx="0">
                  <c:v>Riserve (A2)</c:v>
                </c:pt>
              </c:strCache>
            </c:strRef>
          </c:tx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Stato_patrimoniale!$B$17:$F$17</c:f>
              <c:numCache>
                <c:formatCode>#,##0</c:formatCode>
                <c:ptCount val="5"/>
                <c:pt idx="0">
                  <c:v>6037385435.8999996</c:v>
                </c:pt>
                <c:pt idx="1">
                  <c:v>6037374489.8999996</c:v>
                </c:pt>
                <c:pt idx="2">
                  <c:v>6090001347.7200003</c:v>
                </c:pt>
                <c:pt idx="3">
                  <c:v>6314119273.4799995</c:v>
                </c:pt>
                <c:pt idx="4">
                  <c:v>6656623280.2700005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Stato_patrimoniale!$A$18</c:f>
              <c:strCache>
                <c:ptCount val="1"/>
                <c:pt idx="0">
                  <c:v>Risultato economico dell'esercizio (A3)</c:v>
                </c:pt>
              </c:strCache>
            </c:strRef>
          </c:tx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Stato_patrimoniale!$B$18:$F$18</c:f>
              <c:numCache>
                <c:formatCode>#,##0</c:formatCode>
                <c:ptCount val="5"/>
                <c:pt idx="0">
                  <c:v>0</c:v>
                </c:pt>
                <c:pt idx="1">
                  <c:v>367171473.19999999</c:v>
                </c:pt>
                <c:pt idx="2">
                  <c:v>224359491.31999999</c:v>
                </c:pt>
                <c:pt idx="3">
                  <c:v>342498667.31999999</c:v>
                </c:pt>
                <c:pt idx="4">
                  <c:v>273900556.52999997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overlap val="100"/>
        <c:axId val="74449664"/>
        <c:axId val="74451200"/>
      </c:barChart>
      <c:catAx>
        <c:axId val="74449664"/>
        <c:scaling>
          <c:orientation val="minMax"/>
        </c:scaling>
        <c:axPos val="l"/>
        <c:numFmt formatCode="General" sourceLinked="1"/>
        <c:maj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74451200"/>
        <c:crosses val="autoZero"/>
        <c:auto val="1"/>
        <c:lblAlgn val="ctr"/>
        <c:lblOffset val="100"/>
      </c:catAx>
      <c:valAx>
        <c:axId val="74451200"/>
        <c:scaling>
          <c:orientation val="minMax"/>
          <c:max val="8000000000"/>
        </c:scaling>
        <c:axPos val="b"/>
        <c:numFmt formatCode="#,##0" sourceLinked="0"/>
        <c:majorTickMark val="none"/>
        <c:tickLblPos val="nextTo"/>
        <c:crossAx val="74449664"/>
        <c:crosses val="autoZero"/>
        <c:crossBetween val="between"/>
        <c:majorUnit val="2000000000"/>
      </c:valAx>
      <c:spPr>
        <a:noFill/>
        <a:ln>
          <a:noFill/>
        </a:ln>
      </c:spPr>
    </c:plotArea>
    <c:legend>
      <c:legendPos val="b"/>
      <c:layout/>
      <c:spPr>
        <a:noFill/>
        <a:ln>
          <a:noFill/>
        </a:ln>
      </c:spPr>
    </c:legend>
    <c:plotVisOnly val="1"/>
    <c:dispBlanksAs val="gap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6.6133228191836882E-2"/>
          <c:y val="3.03012788295083E-2"/>
          <c:w val="0.9122663790737443"/>
          <c:h val="0.68340956050706358"/>
        </c:manualLayout>
      </c:layout>
      <c:lineChart>
        <c:grouping val="standard"/>
        <c:ser>
          <c:idx val="0"/>
          <c:order val="0"/>
          <c:tx>
            <c:strRef>
              <c:f>Piano_indicatori!$A$73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Piano_indicatori!$D$74:$H$74</c:f>
              <c:numCache>
                <c:formatCode>0.00</c:formatCode>
                <c:ptCount val="5"/>
                <c:pt idx="0">
                  <c:v>75.19</c:v>
                </c:pt>
                <c:pt idx="1">
                  <c:v>78.88</c:v>
                </c:pt>
                <c:pt idx="2">
                  <c:v>80.41</c:v>
                </c:pt>
                <c:pt idx="3">
                  <c:v>90.45</c:v>
                </c:pt>
                <c:pt idx="4">
                  <c:v>88.16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Piano_indicatori!$A$77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Piano_indicatori!$D$77:$H$77</c:f>
              <c:numCache>
                <c:formatCode>0.00</c:formatCode>
                <c:ptCount val="5"/>
                <c:pt idx="0">
                  <c:v>71.576379785015206</c:v>
                </c:pt>
                <c:pt idx="1">
                  <c:v>74.27436537346162</c:v>
                </c:pt>
                <c:pt idx="2">
                  <c:v>76.262141615953183</c:v>
                </c:pt>
                <c:pt idx="3">
                  <c:v>84.511404079033454</c:v>
                </c:pt>
                <c:pt idx="4">
                  <c:v>82.185023623732107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Piano_indicatori!$A$78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Piano_indicatori!$D$78:$H$78</c:f>
              <c:numCache>
                <c:formatCode>0.00</c:formatCode>
                <c:ptCount val="5"/>
                <c:pt idx="0">
                  <c:v>71.131613604548676</c:v>
                </c:pt>
                <c:pt idx="1">
                  <c:v>73.615575639724511</c:v>
                </c:pt>
                <c:pt idx="2">
                  <c:v>75.689193348012168</c:v>
                </c:pt>
                <c:pt idx="3">
                  <c:v>83.998117273546427</c:v>
                </c:pt>
                <c:pt idx="4">
                  <c:v>81.586071081231566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marker val="1"/>
        <c:axId val="74585984"/>
        <c:axId val="74587520"/>
      </c:lineChart>
      <c:catAx>
        <c:axId val="74585984"/>
        <c:scaling>
          <c:orientation val="minMax"/>
        </c:scaling>
        <c:axPos val="b"/>
        <c:numFmt formatCode="General" sourceLinked="1"/>
        <c:majorTickMark val="none"/>
        <c:tickLblPos val="nextTo"/>
        <c:crossAx val="74587520"/>
        <c:crosses val="autoZero"/>
        <c:auto val="1"/>
        <c:lblAlgn val="ctr"/>
        <c:lblOffset val="100"/>
      </c:catAx>
      <c:valAx>
        <c:axId val="74587520"/>
        <c:scaling>
          <c:orientation val="minMax"/>
          <c:max val="92"/>
          <c:min val="70"/>
        </c:scaling>
        <c:axPos val="l"/>
        <c:numFmt formatCode="0" sourceLinked="0"/>
        <c:majorTickMark val="none"/>
        <c:tickLblPos val="nextTo"/>
        <c:spPr>
          <a:ln>
            <a:noFill/>
          </a:ln>
        </c:spPr>
        <c:crossAx val="74585984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8021"/>
          <c:w val="0.96177967444791601"/>
          <c:h val="0.17956804601552609"/>
        </c:manualLayout>
      </c:layout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64495336004729686"/>
        </c:manualLayout>
      </c:layout>
      <c:barChart>
        <c:barDir val="col"/>
        <c:grouping val="stacked"/>
        <c:ser>
          <c:idx val="0"/>
          <c:order val="0"/>
          <c:tx>
            <c:strRef>
              <c:f>Piano_indicatori!$B$80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Piano_indicatori!$D$80:$H$80</c:f>
              <c:numCache>
                <c:formatCode>0.00</c:formatCode>
                <c:ptCount val="5"/>
                <c:pt idx="0">
                  <c:v>15.970102116012214</c:v>
                </c:pt>
                <c:pt idx="1">
                  <c:v>15.452353496173604</c:v>
                </c:pt>
                <c:pt idx="2">
                  <c:v>15.209680784477364</c:v>
                </c:pt>
                <c:pt idx="3">
                  <c:v>15.273564180353594</c:v>
                </c:pt>
                <c:pt idx="4">
                  <c:v>16.171548117154813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Piano_indicatori!$B$81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Piano_indicatori!$D$81:$H$81</c:f>
              <c:numCache>
                <c:formatCode>0.00</c:formatCode>
                <c:ptCount val="5"/>
                <c:pt idx="0">
                  <c:v>1.9686282766607013</c:v>
                </c:pt>
                <c:pt idx="1">
                  <c:v>1.7507076213439565</c:v>
                </c:pt>
                <c:pt idx="2">
                  <c:v>2.3263092009180055</c:v>
                </c:pt>
                <c:pt idx="3">
                  <c:v>3.316246469295951</c:v>
                </c:pt>
                <c:pt idx="4">
                  <c:v>3.3995815899581596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Piano_indicatori!$B$82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Piano_indicatori!$D$82:$H$82</c:f>
              <c:numCache>
                <c:formatCode>0.00</c:formatCode>
                <c:ptCount val="5"/>
                <c:pt idx="0">
                  <c:v>6.5375302663438255</c:v>
                </c:pt>
                <c:pt idx="1">
                  <c:v>7.1495963937519651</c:v>
                </c:pt>
                <c:pt idx="2">
                  <c:v>7.344043396620072</c:v>
                </c:pt>
                <c:pt idx="3">
                  <c:v>8.4632283711685332</c:v>
                </c:pt>
                <c:pt idx="4">
                  <c:v>10.251046025104603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Piano_indicatori!$B$83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Piano_indicatori!$D$83:$H$83</c:f>
              <c:numCache>
                <c:formatCode>0.00</c:formatCode>
                <c:ptCount val="5"/>
                <c:pt idx="0">
                  <c:v>3.5687967154437312</c:v>
                </c:pt>
                <c:pt idx="1">
                  <c:v>3.7215641052521224</c:v>
                </c:pt>
                <c:pt idx="2">
                  <c:v>4.7047778009597332</c:v>
                </c:pt>
                <c:pt idx="3">
                  <c:v>4.7494507793702265</c:v>
                </c:pt>
                <c:pt idx="4">
                  <c:v>4.8221757322175742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ser>
          <c:idx val="4"/>
          <c:order val="4"/>
          <c:tx>
            <c:strRef>
              <c:f>Piano_indicatori!$B$84</c:f>
              <c:strCache>
                <c:ptCount val="1"/>
                <c:pt idx="0">
                  <c:v>Tutela della salute </c:v>
                </c:pt>
              </c:strCache>
            </c:strRef>
          </c:tx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Piano_indicatori!$D$84:$H$84</c:f>
              <c:numCache>
                <c:formatCode>0.00</c:formatCode>
                <c:ptCount val="5"/>
                <c:pt idx="0">
                  <c:v>23.191914938414573</c:v>
                </c:pt>
                <c:pt idx="1">
                  <c:v>20.956075060278852</c:v>
                </c:pt>
                <c:pt idx="2">
                  <c:v>21.228875443354895</c:v>
                </c:pt>
                <c:pt idx="3">
                  <c:v>20.97499738466367</c:v>
                </c:pt>
                <c:pt idx="4">
                  <c:v>22.081589958158997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BA-4B62-A337-2E9B45A9DF88}"/>
            </c:ext>
          </c:extLst>
        </c:ser>
        <c:overlap val="100"/>
        <c:axId val="74698752"/>
        <c:axId val="74700288"/>
      </c:barChart>
      <c:catAx>
        <c:axId val="7469875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74700288"/>
        <c:crosses val="autoZero"/>
        <c:auto val="1"/>
        <c:lblAlgn val="ctr"/>
        <c:lblOffset val="100"/>
      </c:catAx>
      <c:valAx>
        <c:axId val="74700288"/>
        <c:scaling>
          <c:orientation val="minMax"/>
          <c:max val="100"/>
          <c:min val="0"/>
        </c:scaling>
        <c:axPos val="l"/>
        <c:numFmt formatCode="0" sourceLinked="0"/>
        <c:maj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74698752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7808438359249632"/>
          <c:w val="0.45563394884009523"/>
          <c:h val="0.21915616407503691"/>
        </c:manualLayout>
      </c:layout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6.6133073571989068E-2"/>
          <c:y val="3.0301278829508307E-2"/>
          <c:w val="0.9122665336936"/>
          <c:h val="0.71915787122354569"/>
        </c:manualLayout>
      </c:layout>
      <c:lineChart>
        <c:grouping val="standard"/>
        <c:ser>
          <c:idx val="0"/>
          <c:order val="0"/>
          <c:tx>
            <c:strRef>
              <c:f>Piano_indicatori!$B$86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Piano_indicatori!$D$86:$H$86</c:f>
              <c:numCache>
                <c:formatCode>0.00</c:formatCode>
                <c:ptCount val="5"/>
                <c:pt idx="0">
                  <c:v>84.047213864996195</c:v>
                </c:pt>
                <c:pt idx="1">
                  <c:v>83.77</c:v>
                </c:pt>
                <c:pt idx="2">
                  <c:v>85.78</c:v>
                </c:pt>
                <c:pt idx="3">
                  <c:v>83.88</c:v>
                </c:pt>
                <c:pt idx="4">
                  <c:v>85.18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Piano_indicatori!$B$87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Piano_indicatori!$D$87:$H$87</c:f>
              <c:numCache>
                <c:formatCode>0.00</c:formatCode>
                <c:ptCount val="5"/>
                <c:pt idx="0">
                  <c:v>54.08612303343677</c:v>
                </c:pt>
                <c:pt idx="1">
                  <c:v>46.87</c:v>
                </c:pt>
                <c:pt idx="2">
                  <c:v>61.89</c:v>
                </c:pt>
                <c:pt idx="3">
                  <c:v>58.68</c:v>
                </c:pt>
                <c:pt idx="4">
                  <c:v>68.459999999999994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Piano_indicatori!$B$88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Piano_indicatori!$D$88:$H$88</c:f>
              <c:numCache>
                <c:formatCode>0.00</c:formatCode>
                <c:ptCount val="5"/>
                <c:pt idx="0">
                  <c:v>70.70617013239395</c:v>
                </c:pt>
                <c:pt idx="1">
                  <c:v>63.69</c:v>
                </c:pt>
                <c:pt idx="2">
                  <c:v>73.27</c:v>
                </c:pt>
                <c:pt idx="3">
                  <c:v>65.63</c:v>
                </c:pt>
                <c:pt idx="4">
                  <c:v>65.63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Piano_indicatori!$B$89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Piano_indicatori!$D$89:$H$89</c:f>
              <c:numCache>
                <c:formatCode>0.00</c:formatCode>
                <c:ptCount val="5"/>
                <c:pt idx="0">
                  <c:v>93.358468789006409</c:v>
                </c:pt>
                <c:pt idx="1">
                  <c:v>90.06</c:v>
                </c:pt>
                <c:pt idx="2">
                  <c:v>93.02</c:v>
                </c:pt>
                <c:pt idx="3">
                  <c:v>91.87</c:v>
                </c:pt>
                <c:pt idx="4">
                  <c:v>92.8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ser>
          <c:idx val="4"/>
          <c:order val="4"/>
          <c:tx>
            <c:strRef>
              <c:f>Piano_indicatori!$B$90</c:f>
              <c:strCache>
                <c:ptCount val="1"/>
                <c:pt idx="0">
                  <c:v>Tutela della salute </c:v>
                </c:pt>
              </c:strCache>
            </c:strRef>
          </c:tx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Piano_indicatori!$D$90:$H$90</c:f>
              <c:numCache>
                <c:formatCode>0.00</c:formatCode>
                <c:ptCount val="5"/>
                <c:pt idx="0">
                  <c:v>78.846407817187966</c:v>
                </c:pt>
                <c:pt idx="1">
                  <c:v>78.66</c:v>
                </c:pt>
                <c:pt idx="2">
                  <c:v>78.75</c:v>
                </c:pt>
                <c:pt idx="3">
                  <c:v>77.56</c:v>
                </c:pt>
                <c:pt idx="4">
                  <c:v>79.5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02-46F7-858C-4DDD6528684A}"/>
            </c:ext>
          </c:extLst>
        </c:ser>
        <c:marker val="1"/>
        <c:axId val="74780672"/>
        <c:axId val="74782208"/>
      </c:lineChart>
      <c:catAx>
        <c:axId val="74780672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noFill/>
          </a:ln>
        </c:spPr>
        <c:crossAx val="74782208"/>
        <c:crosses val="autoZero"/>
        <c:auto val="1"/>
        <c:lblAlgn val="ctr"/>
        <c:lblOffset val="100"/>
      </c:catAx>
      <c:valAx>
        <c:axId val="74782208"/>
        <c:scaling>
          <c:orientation val="minMax"/>
          <c:max val="100"/>
          <c:min val="40"/>
        </c:scaling>
        <c:axPos val="l"/>
        <c:numFmt formatCode="0" sourceLinked="0"/>
        <c:majorTickMark val="none"/>
        <c:tickLblPos val="nextTo"/>
        <c:spPr>
          <a:ln>
            <a:noFill/>
          </a:ln>
        </c:spPr>
        <c:crossAx val="74780672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523468476014987"/>
          <c:w val="0.96716740304369175"/>
          <c:h val="0.14765315239850338"/>
        </c:manualLayout>
      </c:layout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7.8546882670594009E-3"/>
          <c:y val="4.4321329639889197E-2"/>
          <c:w val="0.97054491899852768"/>
          <c:h val="0.75816578329370909"/>
        </c:manualLayout>
      </c:layout>
      <c:barChart>
        <c:barDir val="col"/>
        <c:grouping val="clustered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Piano_indicatori!$D$20:$H$20</c:f>
              <c:numCache>
                <c:formatCode>0.00</c:formatCode>
                <c:ptCount val="5"/>
                <c:pt idx="0">
                  <c:v>1336.95</c:v>
                </c:pt>
                <c:pt idx="1">
                  <c:v>1400.07</c:v>
                </c:pt>
                <c:pt idx="2">
                  <c:v>1387.6</c:v>
                </c:pt>
                <c:pt idx="3">
                  <c:v>1397.94</c:v>
                </c:pt>
                <c:pt idx="4">
                  <c:v>1359.27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Piano_indicatori!$D$92:$H$92</c:f>
              <c:numCache>
                <c:formatCode>0.00</c:formatCode>
                <c:ptCount val="5"/>
                <c:pt idx="0">
                  <c:v>93.080814543787938</c:v>
                </c:pt>
                <c:pt idx="1">
                  <c:v>88.060780079821342</c:v>
                </c:pt>
                <c:pt idx="2">
                  <c:v>89.823506154392092</c:v>
                </c:pt>
                <c:pt idx="3">
                  <c:v>92.549410739486376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axId val="74858880"/>
        <c:axId val="74860416"/>
      </c:barChart>
      <c:catAx>
        <c:axId val="74858880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noFill/>
          </a:ln>
        </c:spPr>
        <c:crossAx val="74860416"/>
        <c:crosses val="autoZero"/>
        <c:auto val="1"/>
        <c:lblAlgn val="ctr"/>
        <c:lblOffset val="100"/>
      </c:catAx>
      <c:valAx>
        <c:axId val="74860416"/>
        <c:scaling>
          <c:orientation val="minMax"/>
          <c:min val="0"/>
        </c:scaling>
        <c:delete val="1"/>
        <c:axPos val="l"/>
        <c:numFmt formatCode="0" sourceLinked="0"/>
        <c:majorTickMark val="none"/>
        <c:tickLblPos val="none"/>
        <c:crossAx val="74858880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1171574</xdr:colOff>
      <xdr:row>26</xdr:row>
      <xdr:rowOff>142874</xdr:rowOff>
    </xdr:from>
    <xdr:to>
      <xdr:col>9</xdr:col>
      <xdr:colOff>247650</xdr:colOff>
      <xdr:row>49</xdr:row>
      <xdr:rowOff>38099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2381250</xdr:colOff>
      <xdr:row>52</xdr:row>
      <xdr:rowOff>133350</xdr:rowOff>
    </xdr:from>
    <xdr:to>
      <xdr:col>10</xdr:col>
      <xdr:colOff>9525</xdr:colOff>
      <xdr:row>74</xdr:row>
      <xdr:rowOff>104776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133349</xdr:rowOff>
    </xdr:from>
    <xdr:to>
      <xdr:col>9</xdr:col>
      <xdr:colOff>514349</xdr:colOff>
      <xdr:row>45</xdr:row>
      <xdr:rowOff>180974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30</xdr:row>
      <xdr:rowOff>38100</xdr:rowOff>
    </xdr:from>
    <xdr:to>
      <xdr:col>6</xdr:col>
      <xdr:colOff>638175</xdr:colOff>
      <xdr:row>50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53</xdr:row>
      <xdr:rowOff>85725</xdr:rowOff>
    </xdr:from>
    <xdr:to>
      <xdr:col>6</xdr:col>
      <xdr:colOff>514350</xdr:colOff>
      <xdr:row>75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181</xdr:row>
      <xdr:rowOff>28576</xdr:rowOff>
    </xdr:from>
    <xdr:to>
      <xdr:col>2</xdr:col>
      <xdr:colOff>752475</xdr:colOff>
      <xdr:row>199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201</xdr:row>
      <xdr:rowOff>123823</xdr:rowOff>
    </xdr:from>
    <xdr:to>
      <xdr:col>3</xdr:col>
      <xdr:colOff>85724</xdr:colOff>
      <xdr:row>219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221</xdr:row>
      <xdr:rowOff>0</xdr:rowOff>
    </xdr:from>
    <xdr:to>
      <xdr:col>3</xdr:col>
      <xdr:colOff>123825</xdr:colOff>
      <xdr:row>239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97</xdr:row>
      <xdr:rowOff>161924</xdr:rowOff>
    </xdr:from>
    <xdr:to>
      <xdr:col>3</xdr:col>
      <xdr:colOff>123825</xdr:colOff>
      <xdr:row>115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118</xdr:row>
      <xdr:rowOff>142875</xdr:rowOff>
    </xdr:from>
    <xdr:to>
      <xdr:col>3</xdr:col>
      <xdr:colOff>123825</xdr:colOff>
      <xdr:row>136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139</xdr:row>
      <xdr:rowOff>0</xdr:rowOff>
    </xdr:from>
    <xdr:to>
      <xdr:col>3</xdr:col>
      <xdr:colOff>123825</xdr:colOff>
      <xdr:row>157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160</xdr:row>
      <xdr:rowOff>0</xdr:rowOff>
    </xdr:from>
    <xdr:to>
      <xdr:col>3</xdr:col>
      <xdr:colOff>123825</xdr:colOff>
      <xdr:row>178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257173</xdr:colOff>
      <xdr:row>10</xdr:row>
      <xdr:rowOff>47624</xdr:rowOff>
    </xdr:from>
    <xdr:to>
      <xdr:col>11</xdr:col>
      <xdr:colOff>9525</xdr:colOff>
      <xdr:row>27</xdr:row>
      <xdr:rowOff>76200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3"/>
  <sheetViews>
    <sheetView workbookViewId="0">
      <pane xSplit="1" ySplit="2" topLeftCell="J51" activePane="bottomRight" state="frozen"/>
      <selection pane="topRight" activeCell="B1" sqref="B1"/>
      <selection pane="bottomLeft" activeCell="A3" sqref="A3"/>
      <selection pane="bottomRight" activeCell="N3" sqref="N3:O55"/>
    </sheetView>
  </sheetViews>
  <sheetFormatPr defaultRowHeight="15"/>
  <cols>
    <col min="1" max="1" width="60.7109375" bestFit="1" customWidth="1"/>
    <col min="2" max="3" width="15.28515625" bestFit="1" customWidth="1"/>
    <col min="4" max="4" width="7.140625" customWidth="1"/>
    <col min="5" max="6" width="15.28515625" bestFit="1" customWidth="1"/>
    <col min="7" max="7" width="7.140625" customWidth="1"/>
    <col min="8" max="9" width="15.28515625" bestFit="1" customWidth="1"/>
    <col min="10" max="10" width="7.140625" customWidth="1"/>
    <col min="11" max="12" width="15.28515625" bestFit="1" customWidth="1"/>
    <col min="13" max="13" width="7.140625" customWidth="1"/>
    <col min="14" max="15" width="15.28515625" bestFit="1" customWidth="1"/>
    <col min="16" max="16" width="7.140625" customWidth="1"/>
  </cols>
  <sheetData>
    <row r="1" spans="1:18">
      <c r="B1" s="110">
        <v>2016</v>
      </c>
      <c r="C1" s="110"/>
      <c r="D1" s="111"/>
      <c r="E1" s="112">
        <v>2017</v>
      </c>
      <c r="F1" s="110"/>
      <c r="G1" s="111"/>
      <c r="H1" s="112">
        <v>2018</v>
      </c>
      <c r="I1" s="110"/>
      <c r="J1" s="111"/>
      <c r="K1" s="112">
        <v>2019</v>
      </c>
      <c r="L1" s="110"/>
      <c r="M1" s="111"/>
      <c r="N1" s="112">
        <v>2020</v>
      </c>
      <c r="O1" s="110"/>
      <c r="P1" s="111"/>
      <c r="Q1" s="109" t="s">
        <v>232</v>
      </c>
      <c r="R1" s="109"/>
    </row>
    <row r="2" spans="1:18">
      <c r="B2" s="17" t="s">
        <v>72</v>
      </c>
      <c r="C2" s="17" t="s">
        <v>73</v>
      </c>
      <c r="D2" s="18" t="s">
        <v>233</v>
      </c>
      <c r="E2" s="23" t="s">
        <v>72</v>
      </c>
      <c r="F2" s="17" t="s">
        <v>73</v>
      </c>
      <c r="G2" s="18" t="s">
        <v>233</v>
      </c>
      <c r="H2" s="23" t="s">
        <v>72</v>
      </c>
      <c r="I2" s="17" t="s">
        <v>73</v>
      </c>
      <c r="J2" s="18" t="s">
        <v>233</v>
      </c>
      <c r="K2" s="23" t="s">
        <v>72</v>
      </c>
      <c r="L2" s="17" t="s">
        <v>73</v>
      </c>
      <c r="M2" s="18" t="s">
        <v>233</v>
      </c>
      <c r="N2" s="23" t="s">
        <v>72</v>
      </c>
      <c r="O2" s="17" t="s">
        <v>73</v>
      </c>
      <c r="P2" s="18" t="s">
        <v>233</v>
      </c>
      <c r="Q2" s="12" t="s">
        <v>72</v>
      </c>
      <c r="R2" s="12" t="s">
        <v>73</v>
      </c>
    </row>
    <row r="3" spans="1:18">
      <c r="A3" t="s">
        <v>19</v>
      </c>
      <c r="B3" s="28">
        <v>4142169736.5100002</v>
      </c>
      <c r="C3" s="28">
        <v>3830102488.48</v>
      </c>
      <c r="D3" s="20">
        <f>IF(B3&gt;0,C3/B3*100,"-")</f>
        <v>92.466092220234955</v>
      </c>
      <c r="E3" s="28">
        <v>4235526007.9099998</v>
      </c>
      <c r="F3" s="28">
        <v>3987540306.2600002</v>
      </c>
      <c r="G3" s="20">
        <f>IF(E3&gt;0,F3/E3*100,"-")</f>
        <v>94.14510261094189</v>
      </c>
      <c r="H3" s="27">
        <v>4262981159.5500002</v>
      </c>
      <c r="I3" s="27">
        <v>4072468350.1300001</v>
      </c>
      <c r="J3" s="20">
        <f>IF(H3&gt;0,I3/H3*100,"-")</f>
        <v>95.53099574476866</v>
      </c>
      <c r="K3" s="27">
        <v>4300716461.25</v>
      </c>
      <c r="L3" s="27">
        <v>4100545754.6900001</v>
      </c>
      <c r="M3" s="20">
        <f>IF(K3&gt;0,L3/K3*100,"-")</f>
        <v>95.345642793158689</v>
      </c>
      <c r="N3" s="27">
        <v>4052904794.7600002</v>
      </c>
      <c r="O3" s="27">
        <v>3862099083.6399999</v>
      </c>
      <c r="P3" s="20">
        <f>IF(N3&gt;0,O3/N3*100,"-")</f>
        <v>95.292124518525739</v>
      </c>
      <c r="Q3" s="13">
        <f>IF(K3&gt;0,N3/K3*100-100,"-")</f>
        <v>-5.7621019363358243</v>
      </c>
      <c r="R3" s="13">
        <f>IF(L3&gt;0,O3/L3*100-100,"-")</f>
        <v>-5.8149984249603079</v>
      </c>
    </row>
    <row r="4" spans="1:18">
      <c r="A4" t="s">
        <v>20</v>
      </c>
      <c r="B4" s="28">
        <v>78616695.280000001</v>
      </c>
      <c r="C4" s="28">
        <v>64273546.390000001</v>
      </c>
      <c r="D4" s="20">
        <f t="shared" ref="D4:D21" si="0">IF(B4&gt;0,C4/B4*100,"-")</f>
        <v>81.755594229806192</v>
      </c>
      <c r="E4" s="28">
        <v>71104544.859999999</v>
      </c>
      <c r="F4" s="28">
        <v>58989642.829999998</v>
      </c>
      <c r="G4" s="20">
        <f t="shared" ref="G4:G21" si="1">IF(E4&gt;0,F4/E4*100,"-")</f>
        <v>82.961845752822953</v>
      </c>
      <c r="H4" s="28">
        <v>144541720.74000001</v>
      </c>
      <c r="I4" s="28">
        <v>110550006.48</v>
      </c>
      <c r="J4" s="20">
        <f t="shared" ref="J4:J13" si="2">IF(H4&gt;0,I4/H4*100,"-")</f>
        <v>76.483112221180832</v>
      </c>
      <c r="K4" s="28">
        <v>142817357.31999999</v>
      </c>
      <c r="L4" s="28">
        <v>121178308.18000001</v>
      </c>
      <c r="M4" s="20">
        <f t="shared" ref="M4:M21" si="3">IF(K4&gt;0,L4/K4*100,"-")</f>
        <v>84.848445912974697</v>
      </c>
      <c r="N4" s="28">
        <v>336203064.55000001</v>
      </c>
      <c r="O4" s="28">
        <v>307913517.81</v>
      </c>
      <c r="P4" s="20">
        <f t="shared" ref="P4:P21" si="4">IF(N4&gt;0,O4/N4*100,"-")</f>
        <v>91.585577371858605</v>
      </c>
      <c r="Q4" s="13">
        <f t="shared" ref="Q4:R46" si="5">IF(K4&gt;0,N4/K4*100-100,"-")</f>
        <v>135.40770593919854</v>
      </c>
      <c r="R4" s="13">
        <f t="shared" si="5"/>
        <v>154.09953516814318</v>
      </c>
    </row>
    <row r="5" spans="1:18">
      <c r="A5" t="s">
        <v>21</v>
      </c>
      <c r="B5" s="28">
        <v>181622271.91999999</v>
      </c>
      <c r="C5" s="28">
        <v>142677612.25999999</v>
      </c>
      <c r="D5" s="20">
        <f t="shared" si="0"/>
        <v>78.557332617690122</v>
      </c>
      <c r="E5" s="28">
        <v>190156930.91</v>
      </c>
      <c r="F5" s="28">
        <v>143124976.19999999</v>
      </c>
      <c r="G5" s="20">
        <f t="shared" si="1"/>
        <v>75.26676809258143</v>
      </c>
      <c r="H5" s="28">
        <v>256645047.25999999</v>
      </c>
      <c r="I5" s="28">
        <v>221435794.36000001</v>
      </c>
      <c r="J5" s="20">
        <f t="shared" si="2"/>
        <v>86.280953684514145</v>
      </c>
      <c r="K5" s="28">
        <v>184307914.30000001</v>
      </c>
      <c r="L5" s="28">
        <v>158304401.18000001</v>
      </c>
      <c r="M5" s="20">
        <f t="shared" si="3"/>
        <v>85.891266135390254</v>
      </c>
      <c r="N5" s="28">
        <v>207851927.06</v>
      </c>
      <c r="O5" s="28">
        <v>178499001.43000001</v>
      </c>
      <c r="P5" s="20">
        <f t="shared" si="4"/>
        <v>85.877963199481528</v>
      </c>
      <c r="Q5" s="13">
        <f t="shared" si="5"/>
        <v>12.774282021160062</v>
      </c>
      <c r="R5" s="13">
        <f t="shared" si="5"/>
        <v>12.756815413513195</v>
      </c>
    </row>
    <row r="6" spans="1:18">
      <c r="A6" t="s">
        <v>22</v>
      </c>
      <c r="B6" s="28">
        <v>0</v>
      </c>
      <c r="C6" s="28">
        <v>0</v>
      </c>
      <c r="D6" s="20" t="str">
        <f t="shared" si="0"/>
        <v>-</v>
      </c>
      <c r="E6" s="28">
        <v>0</v>
      </c>
      <c r="F6" s="28">
        <v>0</v>
      </c>
      <c r="G6" s="20" t="str">
        <f t="shared" si="1"/>
        <v>-</v>
      </c>
      <c r="H6" s="28">
        <v>0</v>
      </c>
      <c r="I6" s="28">
        <v>0</v>
      </c>
      <c r="J6" s="20" t="str">
        <f t="shared" si="2"/>
        <v>-</v>
      </c>
      <c r="K6" s="28">
        <v>0</v>
      </c>
      <c r="L6" s="28">
        <v>0</v>
      </c>
      <c r="M6" s="20" t="str">
        <f t="shared" si="3"/>
        <v>-</v>
      </c>
      <c r="N6" s="28">
        <v>0</v>
      </c>
      <c r="O6" s="28">
        <v>0</v>
      </c>
      <c r="P6" s="20" t="str">
        <f t="shared" si="4"/>
        <v>-</v>
      </c>
      <c r="Q6" s="13" t="str">
        <f t="shared" si="5"/>
        <v>-</v>
      </c>
      <c r="R6" s="13" t="str">
        <f t="shared" si="5"/>
        <v>-</v>
      </c>
    </row>
    <row r="7" spans="1:18">
      <c r="A7" t="s">
        <v>23</v>
      </c>
      <c r="B7" s="28">
        <v>112999177.8</v>
      </c>
      <c r="C7" s="28">
        <v>31852705.699999999</v>
      </c>
      <c r="D7" s="20">
        <f t="shared" si="0"/>
        <v>28.188440234827972</v>
      </c>
      <c r="E7" s="28">
        <v>111157533.90000001</v>
      </c>
      <c r="F7" s="28">
        <v>18839156.899999999</v>
      </c>
      <c r="G7" s="20">
        <f t="shared" si="1"/>
        <v>16.94816018224024</v>
      </c>
      <c r="H7" s="28">
        <v>110720309.23999999</v>
      </c>
      <c r="I7" s="28">
        <v>91728215.790000007</v>
      </c>
      <c r="J7" s="20">
        <f t="shared" si="2"/>
        <v>82.846784315935864</v>
      </c>
      <c r="K7" s="28">
        <v>242115206.78999999</v>
      </c>
      <c r="L7" s="28">
        <v>228910576</v>
      </c>
      <c r="M7" s="20">
        <f t="shared" si="3"/>
        <v>94.546137367797343</v>
      </c>
      <c r="N7" s="28">
        <v>109554607.48999999</v>
      </c>
      <c r="O7" s="28">
        <v>95985719.180000007</v>
      </c>
      <c r="P7" s="20">
        <f t="shared" si="4"/>
        <v>87.614497809926846</v>
      </c>
      <c r="Q7" s="13">
        <f t="shared" si="5"/>
        <v>-54.751042306474034</v>
      </c>
      <c r="R7" s="13">
        <f t="shared" si="5"/>
        <v>-58.068464613011152</v>
      </c>
    </row>
    <row r="8" spans="1:18">
      <c r="A8" t="s">
        <v>24</v>
      </c>
      <c r="B8" s="28">
        <v>0</v>
      </c>
      <c r="C8" s="28">
        <v>0</v>
      </c>
      <c r="D8" s="20" t="str">
        <f t="shared" si="0"/>
        <v>-</v>
      </c>
      <c r="E8" s="28">
        <v>0</v>
      </c>
      <c r="F8" s="28">
        <v>0</v>
      </c>
      <c r="G8" s="20" t="str">
        <f t="shared" si="1"/>
        <v>-</v>
      </c>
      <c r="H8" s="28">
        <v>0</v>
      </c>
      <c r="I8" s="28">
        <v>0</v>
      </c>
      <c r="J8" s="20" t="str">
        <f t="shared" si="2"/>
        <v>-</v>
      </c>
      <c r="K8" s="28">
        <v>0</v>
      </c>
      <c r="L8" s="28">
        <v>0</v>
      </c>
      <c r="M8" s="20" t="str">
        <f t="shared" si="3"/>
        <v>-</v>
      </c>
      <c r="N8" s="28">
        <v>0</v>
      </c>
      <c r="O8" s="28">
        <v>0</v>
      </c>
      <c r="P8" s="20" t="str">
        <f t="shared" si="4"/>
        <v>-</v>
      </c>
      <c r="Q8" s="13" t="str">
        <f t="shared" si="5"/>
        <v>-</v>
      </c>
      <c r="R8" s="13" t="str">
        <f t="shared" si="5"/>
        <v>-</v>
      </c>
    </row>
    <row r="9" spans="1:18">
      <c r="A9" t="s">
        <v>25</v>
      </c>
      <c r="B9" s="28">
        <v>887587.7</v>
      </c>
      <c r="C9" s="28">
        <v>284350.55</v>
      </c>
      <c r="D9" s="20">
        <f t="shared" si="0"/>
        <v>32.03633286040354</v>
      </c>
      <c r="E9" s="28">
        <v>17507952.359999999</v>
      </c>
      <c r="F9" s="28">
        <v>17303482.359999999</v>
      </c>
      <c r="G9" s="20">
        <f t="shared" si="1"/>
        <v>98.832130703832917</v>
      </c>
      <c r="H9" s="28">
        <v>50384501.600000001</v>
      </c>
      <c r="I9" s="28">
        <v>50012237.5</v>
      </c>
      <c r="J9" s="20">
        <f t="shared" si="2"/>
        <v>99.261153552821881</v>
      </c>
      <c r="K9" s="28">
        <v>9645190.5</v>
      </c>
      <c r="L9" s="28">
        <v>9498760.5</v>
      </c>
      <c r="M9" s="20">
        <f t="shared" si="3"/>
        <v>98.4818340290946</v>
      </c>
      <c r="N9" s="28">
        <v>12802364.880000001</v>
      </c>
      <c r="O9" s="28">
        <v>12159590.449999999</v>
      </c>
      <c r="P9" s="20">
        <f t="shared" si="4"/>
        <v>94.979252380127434</v>
      </c>
      <c r="Q9" s="13">
        <f t="shared" si="5"/>
        <v>32.733146950285743</v>
      </c>
      <c r="R9" s="13">
        <f t="shared" si="5"/>
        <v>28.012391195672308</v>
      </c>
    </row>
    <row r="10" spans="1:18">
      <c r="A10" t="s">
        <v>26</v>
      </c>
      <c r="B10" s="28">
        <v>8705158.3300000001</v>
      </c>
      <c r="C10" s="28">
        <v>8705158.3300000001</v>
      </c>
      <c r="D10" s="20">
        <f t="shared" si="0"/>
        <v>100</v>
      </c>
      <c r="E10" s="28">
        <v>0</v>
      </c>
      <c r="F10" s="28">
        <v>0</v>
      </c>
      <c r="G10" s="20" t="str">
        <f t="shared" si="1"/>
        <v>-</v>
      </c>
      <c r="H10" s="28">
        <v>0</v>
      </c>
      <c r="I10" s="28">
        <v>0</v>
      </c>
      <c r="J10" s="20" t="str">
        <f t="shared" si="2"/>
        <v>-</v>
      </c>
      <c r="K10" s="28">
        <v>0</v>
      </c>
      <c r="L10" s="28">
        <v>0</v>
      </c>
      <c r="M10" s="20" t="str">
        <f t="shared" si="3"/>
        <v>-</v>
      </c>
      <c r="N10" s="28">
        <v>0</v>
      </c>
      <c r="O10" s="28">
        <v>0</v>
      </c>
      <c r="P10" s="20" t="str">
        <f t="shared" si="4"/>
        <v>-</v>
      </c>
      <c r="Q10" s="13" t="str">
        <f t="shared" si="5"/>
        <v>-</v>
      </c>
      <c r="R10" s="13" t="str">
        <f t="shared" si="5"/>
        <v>-</v>
      </c>
    </row>
    <row r="11" spans="1:18">
      <c r="A11" t="s">
        <v>27</v>
      </c>
      <c r="B11" s="28">
        <v>3782103</v>
      </c>
      <c r="C11" s="28">
        <v>3782103</v>
      </c>
      <c r="D11" s="20">
        <f t="shared" si="0"/>
        <v>100</v>
      </c>
      <c r="E11" s="28">
        <v>3652825.23</v>
      </c>
      <c r="F11" s="28">
        <v>3652656.23</v>
      </c>
      <c r="G11" s="20">
        <f t="shared" si="1"/>
        <v>99.995373444132724</v>
      </c>
      <c r="H11" s="28">
        <v>20207300.399999999</v>
      </c>
      <c r="I11" s="28">
        <v>20207300.399999999</v>
      </c>
      <c r="J11" s="20">
        <f t="shared" si="2"/>
        <v>100</v>
      </c>
      <c r="K11" s="28">
        <v>21202.12</v>
      </c>
      <c r="L11" s="28">
        <v>21202.12</v>
      </c>
      <c r="M11" s="20">
        <f t="shared" si="3"/>
        <v>100</v>
      </c>
      <c r="N11" s="28">
        <v>1326.36</v>
      </c>
      <c r="O11" s="28">
        <v>1326.36</v>
      </c>
      <c r="P11" s="20">
        <f t="shared" si="4"/>
        <v>100</v>
      </c>
      <c r="Q11" s="13">
        <f t="shared" si="5"/>
        <v>-93.744210484611912</v>
      </c>
      <c r="R11" s="13">
        <f t="shared" si="5"/>
        <v>-93.744210484611912</v>
      </c>
    </row>
    <row r="12" spans="1:18">
      <c r="A12" t="s">
        <v>28</v>
      </c>
      <c r="B12" s="28">
        <v>25126116.100000001</v>
      </c>
      <c r="C12" s="28">
        <v>7116246.0300000003</v>
      </c>
      <c r="D12" s="20">
        <f t="shared" si="0"/>
        <v>28.322109161948827</v>
      </c>
      <c r="E12" s="28">
        <v>17652481.879999999</v>
      </c>
      <c r="F12" s="28">
        <v>15602006.68</v>
      </c>
      <c r="G12" s="20">
        <f t="shared" si="1"/>
        <v>88.384210141446701</v>
      </c>
      <c r="H12" s="28">
        <v>29017754.18</v>
      </c>
      <c r="I12" s="28">
        <v>29017754.039999999</v>
      </c>
      <c r="J12" s="20">
        <f t="shared" si="2"/>
        <v>99.99999951753675</v>
      </c>
      <c r="K12" s="28">
        <v>30739220.66</v>
      </c>
      <c r="L12" s="28">
        <v>30739220.66</v>
      </c>
      <c r="M12" s="20">
        <f t="shared" si="3"/>
        <v>100</v>
      </c>
      <c r="N12" s="28">
        <v>41218164.079999998</v>
      </c>
      <c r="O12" s="28">
        <v>41218164.079999998</v>
      </c>
      <c r="P12" s="20">
        <f t="shared" si="4"/>
        <v>100</v>
      </c>
      <c r="Q12" s="13">
        <f t="shared" si="5"/>
        <v>34.089814884721278</v>
      </c>
      <c r="R12" s="13">
        <f t="shared" si="5"/>
        <v>34.089814884721278</v>
      </c>
    </row>
    <row r="13" spans="1:18">
      <c r="A13" t="s">
        <v>29</v>
      </c>
      <c r="B13" s="28">
        <v>11007345.140000001</v>
      </c>
      <c r="C13" s="28">
        <v>11007345.140000001</v>
      </c>
      <c r="D13" s="20">
        <f t="shared" si="0"/>
        <v>100</v>
      </c>
      <c r="E13" s="28">
        <v>12101081.470000001</v>
      </c>
      <c r="F13" s="28">
        <v>11475081.470000001</v>
      </c>
      <c r="G13" s="20">
        <f t="shared" si="1"/>
        <v>94.826908639926714</v>
      </c>
      <c r="H13" s="28">
        <v>25367423.010000002</v>
      </c>
      <c r="I13" s="28">
        <v>25366868.23</v>
      </c>
      <c r="J13" s="20">
        <f t="shared" si="2"/>
        <v>99.997813021843868</v>
      </c>
      <c r="K13" s="28">
        <v>35570354.850000001</v>
      </c>
      <c r="L13" s="28">
        <v>35565104.850000001</v>
      </c>
      <c r="M13" s="20">
        <f t="shared" si="3"/>
        <v>99.985240518341357</v>
      </c>
      <c r="N13" s="28">
        <v>19927264.640000001</v>
      </c>
      <c r="O13" s="28">
        <v>19893391.739999998</v>
      </c>
      <c r="P13" s="20">
        <f t="shared" si="4"/>
        <v>99.830017312401182</v>
      </c>
      <c r="Q13" s="13">
        <f t="shared" si="5"/>
        <v>-43.977886293141665</v>
      </c>
      <c r="R13" s="13">
        <f t="shared" si="5"/>
        <v>-44.064858450712542</v>
      </c>
    </row>
    <row r="14" spans="1:18">
      <c r="A14" t="s">
        <v>30</v>
      </c>
      <c r="B14" s="28">
        <f t="shared" ref="B14:C14" si="6">SUM(B3:B5)</f>
        <v>4402408703.71</v>
      </c>
      <c r="C14" s="28">
        <f t="shared" si="6"/>
        <v>4037053647.1300001</v>
      </c>
      <c r="D14" s="20">
        <f>IF(B14&gt;0,C14/B14*100,"-")</f>
        <v>91.701019120007913</v>
      </c>
      <c r="E14" s="28">
        <f t="shared" ref="E14:F14" si="7">SUM(E3:E5)</f>
        <v>4496787483.6799994</v>
      </c>
      <c r="F14" s="28">
        <f t="shared" si="7"/>
        <v>4189654925.29</v>
      </c>
      <c r="G14" s="20">
        <f>IF(E14&gt;0,F14/E14*100,"-")</f>
        <v>93.169956118569914</v>
      </c>
      <c r="H14" s="28">
        <f t="shared" ref="H14:I14" si="8">SUM(H3:H5)</f>
        <v>4664167927.5500002</v>
      </c>
      <c r="I14" s="28">
        <f t="shared" si="8"/>
        <v>4404454150.9700003</v>
      </c>
      <c r="J14" s="20">
        <f>IF(H14&gt;0,I14/H14*100,"-")</f>
        <v>94.431723286678007</v>
      </c>
      <c r="K14" s="28">
        <f>SUM(K3:K5)</f>
        <v>4627841732.8699999</v>
      </c>
      <c r="L14" s="28">
        <f>SUM(L3:L5)</f>
        <v>4380028464.0500002</v>
      </c>
      <c r="M14" s="20">
        <f>IF(K14&gt;0,L14/K14*100,"-")</f>
        <v>94.645165432951913</v>
      </c>
      <c r="N14" s="28">
        <f>SUM(N3:N5)</f>
        <v>4596959786.3700008</v>
      </c>
      <c r="O14" s="28">
        <f>SUM(O3:O5)</f>
        <v>4348511602.8800001</v>
      </c>
      <c r="P14" s="20">
        <f>IF(N14&gt;0,O14/N14*100,"-")</f>
        <v>94.595380533311385</v>
      </c>
      <c r="Q14" s="13">
        <f t="shared" si="5"/>
        <v>-0.66730774911023616</v>
      </c>
      <c r="R14" s="13">
        <f t="shared" si="5"/>
        <v>-0.71955836425907194</v>
      </c>
    </row>
    <row r="15" spans="1:18">
      <c r="A15" t="s">
        <v>31</v>
      </c>
      <c r="B15" s="27">
        <f t="shared" ref="B15:C15" si="9">SUM(B6:B10)</f>
        <v>122591923.83</v>
      </c>
      <c r="C15" s="27">
        <f t="shared" si="9"/>
        <v>40842214.579999998</v>
      </c>
      <c r="D15" s="20">
        <f>IF(B15&gt;0,C15/B15*100,"-")</f>
        <v>33.315583363090454</v>
      </c>
      <c r="E15" s="27">
        <f t="shared" ref="E15:F15" si="10">SUM(E6:E10)</f>
        <v>128665486.26000001</v>
      </c>
      <c r="F15" s="27">
        <f t="shared" si="10"/>
        <v>36142639.259999998</v>
      </c>
      <c r="G15" s="20">
        <f>IF(E15&gt;0,F15/E15*100,"-")</f>
        <v>28.090391845226449</v>
      </c>
      <c r="H15" s="27">
        <f t="shared" ref="H15:I15" si="11">SUM(H6:H10)</f>
        <v>161104810.84</v>
      </c>
      <c r="I15" s="27">
        <f t="shared" si="11"/>
        <v>141740453.29000002</v>
      </c>
      <c r="J15" s="20">
        <f>IF(H15&gt;0,I15/H15*100,"-")</f>
        <v>87.980273556677631</v>
      </c>
      <c r="K15" s="27">
        <f>SUM(K6:K10)</f>
        <v>251760397.28999999</v>
      </c>
      <c r="L15" s="27">
        <f>SUM(L6:L10)</f>
        <v>238409336.5</v>
      </c>
      <c r="M15" s="20">
        <f>IF(K15&gt;0,L15/K15*100,"-")</f>
        <v>94.696917810063255</v>
      </c>
      <c r="N15" s="27">
        <f>SUM(N6:N10)</f>
        <v>122356972.36999999</v>
      </c>
      <c r="O15" s="27">
        <f>SUM(O6:O10)</f>
        <v>108145309.63000001</v>
      </c>
      <c r="P15" s="20">
        <f>IF(N15&gt;0,O15/N15*100,"-")</f>
        <v>88.385081401798033</v>
      </c>
      <c r="Q15" s="13">
        <f t="shared" si="5"/>
        <v>-51.399436254837823</v>
      </c>
      <c r="R15" s="13">
        <f t="shared" si="5"/>
        <v>-54.638811039180922</v>
      </c>
    </row>
    <row r="16" spans="1:18">
      <c r="A16" t="s">
        <v>32</v>
      </c>
      <c r="B16" s="28">
        <f t="shared" ref="B16:C16" si="12">SUM(B11:B13)</f>
        <v>39915564.240000002</v>
      </c>
      <c r="C16" s="28">
        <f t="shared" si="12"/>
        <v>21905694.170000002</v>
      </c>
      <c r="D16" s="20">
        <f t="shared" si="0"/>
        <v>54.880081459672738</v>
      </c>
      <c r="E16" s="28">
        <f t="shared" ref="E16:F16" si="13">SUM(E11:E13)</f>
        <v>33406388.579999998</v>
      </c>
      <c r="F16" s="28">
        <f t="shared" si="13"/>
        <v>30729744.380000003</v>
      </c>
      <c r="G16" s="20">
        <f t="shared" si="1"/>
        <v>91.98762777487876</v>
      </c>
      <c r="H16" s="28">
        <f t="shared" ref="H16:I16" si="14">SUM(H11:H13)</f>
        <v>74592477.590000004</v>
      </c>
      <c r="I16" s="28">
        <f t="shared" si="14"/>
        <v>74591922.670000002</v>
      </c>
      <c r="J16" s="20">
        <f t="shared" ref="J16:J21" si="15">IF(H16&gt;0,I16/H16*100,"-")</f>
        <v>99.999256064394245</v>
      </c>
      <c r="K16" s="28">
        <f>SUM(K11:K13)</f>
        <v>66330777.630000003</v>
      </c>
      <c r="L16" s="28">
        <f>SUM(L11:L13)</f>
        <v>66325527.630000003</v>
      </c>
      <c r="M16" s="20">
        <f t="shared" ref="M16:M33" si="16">IF(K16&gt;0,L16/K16*100,"-")</f>
        <v>99.992085122189749</v>
      </c>
      <c r="N16" s="28">
        <f>SUM(N11:N13)</f>
        <v>61146755.079999998</v>
      </c>
      <c r="O16" s="28">
        <f>SUM(O11:O13)</f>
        <v>61112882.179999992</v>
      </c>
      <c r="P16" s="20">
        <f t="shared" si="4"/>
        <v>99.944603928768274</v>
      </c>
      <c r="Q16" s="13">
        <f t="shared" si="5"/>
        <v>-7.8154104854868791</v>
      </c>
      <c r="R16" s="13">
        <f t="shared" si="5"/>
        <v>-7.8591842933824694</v>
      </c>
    </row>
    <row r="17" spans="1:18">
      <c r="A17" t="s">
        <v>33</v>
      </c>
      <c r="B17" s="28">
        <v>18171806.25</v>
      </c>
      <c r="C17" s="28">
        <v>0</v>
      </c>
      <c r="D17" s="20">
        <f t="shared" si="0"/>
        <v>0</v>
      </c>
      <c r="E17" s="28">
        <v>6773127.6699999999</v>
      </c>
      <c r="F17" s="28">
        <v>0</v>
      </c>
      <c r="G17" s="20">
        <f t="shared" si="1"/>
        <v>0</v>
      </c>
      <c r="H17" s="28">
        <v>1651982.38</v>
      </c>
      <c r="I17" s="28">
        <v>0</v>
      </c>
      <c r="J17" s="20">
        <f t="shared" si="15"/>
        <v>0</v>
      </c>
      <c r="K17" s="28">
        <v>9779735.6799999997</v>
      </c>
      <c r="L17" s="28">
        <v>0</v>
      </c>
      <c r="M17" s="20">
        <f t="shared" si="16"/>
        <v>0</v>
      </c>
      <c r="N17" s="28">
        <v>5088105.71</v>
      </c>
      <c r="O17" s="28">
        <v>5088105.71</v>
      </c>
      <c r="P17" s="20">
        <f t="shared" si="4"/>
        <v>100</v>
      </c>
      <c r="Q17" s="13">
        <f t="shared" si="5"/>
        <v>-47.972973130496712</v>
      </c>
      <c r="R17" s="13" t="str">
        <f t="shared" si="5"/>
        <v>-</v>
      </c>
    </row>
    <row r="18" spans="1:18">
      <c r="A18" t="s">
        <v>34</v>
      </c>
      <c r="B18" s="28">
        <v>0</v>
      </c>
      <c r="C18" s="28">
        <v>0</v>
      </c>
      <c r="D18" s="20" t="str">
        <f t="shared" si="0"/>
        <v>-</v>
      </c>
      <c r="E18" s="28">
        <v>0</v>
      </c>
      <c r="F18" s="28">
        <v>0</v>
      </c>
      <c r="G18" s="20" t="str">
        <f t="shared" si="1"/>
        <v>-</v>
      </c>
      <c r="H18" s="28">
        <v>0</v>
      </c>
      <c r="I18" s="28">
        <v>0</v>
      </c>
      <c r="J18" s="20" t="str">
        <f t="shared" si="15"/>
        <v>-</v>
      </c>
      <c r="K18" s="28">
        <v>0</v>
      </c>
      <c r="L18" s="28">
        <v>0</v>
      </c>
      <c r="M18" s="20" t="str">
        <f t="shared" si="16"/>
        <v>-</v>
      </c>
      <c r="N18" s="28">
        <v>0</v>
      </c>
      <c r="O18" s="28">
        <v>0</v>
      </c>
      <c r="P18" s="20" t="str">
        <f t="shared" si="4"/>
        <v>-</v>
      </c>
      <c r="Q18" s="13" t="str">
        <f t="shared" si="5"/>
        <v>-</v>
      </c>
      <c r="R18" s="13" t="str">
        <f t="shared" si="5"/>
        <v>-</v>
      </c>
    </row>
    <row r="19" spans="1:18">
      <c r="A19" t="s">
        <v>35</v>
      </c>
      <c r="B19" s="28">
        <v>296609953.29000002</v>
      </c>
      <c r="C19" s="28">
        <v>289232521.10000002</v>
      </c>
      <c r="D19" s="20">
        <f t="shared" si="0"/>
        <v>97.51274962010902</v>
      </c>
      <c r="E19" s="28">
        <v>293802651.31999999</v>
      </c>
      <c r="F19" s="28">
        <v>290028192.69999999</v>
      </c>
      <c r="G19" s="20">
        <f t="shared" si="1"/>
        <v>98.71530818287647</v>
      </c>
      <c r="H19" s="28">
        <v>266993238.72</v>
      </c>
      <c r="I19" s="28">
        <v>263314371.09999999</v>
      </c>
      <c r="J19" s="20">
        <f t="shared" si="15"/>
        <v>98.622112066344087</v>
      </c>
      <c r="K19" s="28">
        <v>284825498.48000002</v>
      </c>
      <c r="L19" s="28">
        <v>270275538.31999999</v>
      </c>
      <c r="M19" s="20">
        <f t="shared" si="16"/>
        <v>94.891623033173872</v>
      </c>
      <c r="N19" s="28">
        <v>279717626.25</v>
      </c>
      <c r="O19" s="28">
        <v>270421415.45999998</v>
      </c>
      <c r="P19" s="20">
        <f t="shared" si="4"/>
        <v>96.67657311602828</v>
      </c>
      <c r="Q19" s="13">
        <f t="shared" si="5"/>
        <v>-1.7933339034808</v>
      </c>
      <c r="R19" s="13">
        <f t="shared" si="5"/>
        <v>5.3973489760394955E-2</v>
      </c>
    </row>
    <row r="20" spans="1:18">
      <c r="A20" t="s">
        <v>36</v>
      </c>
      <c r="B20" s="28">
        <f t="shared" ref="B20:C20" si="17">B14+B15+B16+B17+B18+B19</f>
        <v>4879697951.3199997</v>
      </c>
      <c r="C20" s="28">
        <f t="shared" si="17"/>
        <v>4389034076.9800005</v>
      </c>
      <c r="D20" s="20">
        <f t="shared" si="0"/>
        <v>89.944790041619882</v>
      </c>
      <c r="E20" s="28">
        <f t="shared" ref="E20:F20" si="18">E14+E15+E16+E17+E18+E19</f>
        <v>4959435137.5099993</v>
      </c>
      <c r="F20" s="28">
        <f t="shared" si="18"/>
        <v>4546555501.6300001</v>
      </c>
      <c r="G20" s="20">
        <f t="shared" si="1"/>
        <v>91.674865696755631</v>
      </c>
      <c r="H20" s="28">
        <f t="shared" ref="H20:I20" si="19">H14+H15+H16+H17+H18+H19</f>
        <v>5168510437.0800009</v>
      </c>
      <c r="I20" s="28">
        <f t="shared" si="19"/>
        <v>4884100898.0300007</v>
      </c>
      <c r="J20" s="20">
        <f t="shared" si="15"/>
        <v>94.497262944279157</v>
      </c>
      <c r="K20" s="28">
        <f t="shared" ref="K20:L20" si="20">K14+K15+K16+K17+K18+K19</f>
        <v>5240538141.9500008</v>
      </c>
      <c r="L20" s="28">
        <f t="shared" si="20"/>
        <v>4955038866.5</v>
      </c>
      <c r="M20" s="20">
        <f t="shared" si="16"/>
        <v>94.552100037883392</v>
      </c>
      <c r="N20" s="28">
        <f t="shared" ref="N20:O20" si="21">N14+N15+N16+N17+N18+N19</f>
        <v>5065269245.7800007</v>
      </c>
      <c r="O20" s="28">
        <f t="shared" si="21"/>
        <v>4793279315.8600006</v>
      </c>
      <c r="P20" s="20">
        <f t="shared" si="4"/>
        <v>94.630296698510122</v>
      </c>
      <c r="Q20" s="13">
        <f t="shared" si="5"/>
        <v>-3.3444827882653811</v>
      </c>
      <c r="R20" s="13">
        <f t="shared" si="5"/>
        <v>-3.2645465554997486</v>
      </c>
    </row>
    <row r="21" spans="1:18">
      <c r="A21" t="s">
        <v>37</v>
      </c>
      <c r="B21" s="28">
        <f t="shared" ref="B21:C21" si="22">B20-B19</f>
        <v>4583087998.0299997</v>
      </c>
      <c r="C21" s="28">
        <f t="shared" si="22"/>
        <v>4099801555.8800006</v>
      </c>
      <c r="D21" s="20">
        <f t="shared" si="0"/>
        <v>89.455004085504456</v>
      </c>
      <c r="E21" s="28">
        <f t="shared" ref="E21:F21" si="23">E20-E19</f>
        <v>4665632486.1899996</v>
      </c>
      <c r="F21" s="28">
        <f t="shared" si="23"/>
        <v>4256527308.9300003</v>
      </c>
      <c r="G21" s="20">
        <f t="shared" si="1"/>
        <v>91.231517302939594</v>
      </c>
      <c r="H21" s="28">
        <f t="shared" ref="H21:I21" si="24">H20-H19</f>
        <v>4901517198.3600006</v>
      </c>
      <c r="I21" s="28">
        <f t="shared" si="24"/>
        <v>4620786526.9300003</v>
      </c>
      <c r="J21" s="20">
        <f t="shared" si="15"/>
        <v>94.272576019442923</v>
      </c>
      <c r="K21" s="28">
        <f>K20-K19</f>
        <v>4955712643.4700012</v>
      </c>
      <c r="L21" s="28">
        <f>L20-L19</f>
        <v>4684763328.1800003</v>
      </c>
      <c r="M21" s="20">
        <f t="shared" si="16"/>
        <v>94.53258623364647</v>
      </c>
      <c r="N21" s="28">
        <f>N20-N19</f>
        <v>4785551619.5300007</v>
      </c>
      <c r="O21" s="28">
        <f>O20-O19</f>
        <v>4522857900.4000006</v>
      </c>
      <c r="P21" s="20">
        <f t="shared" si="4"/>
        <v>94.510690929381298</v>
      </c>
      <c r="Q21" s="13">
        <f t="shared" si="5"/>
        <v>-3.4336337915842847</v>
      </c>
      <c r="R21" s="13">
        <f t="shared" si="5"/>
        <v>-3.4560001527953119</v>
      </c>
    </row>
    <row r="22" spans="1:18">
      <c r="B22" s="12" t="s">
        <v>74</v>
      </c>
      <c r="C22" s="12" t="s">
        <v>75</v>
      </c>
      <c r="D22" s="18"/>
      <c r="E22" s="12" t="s">
        <v>74</v>
      </c>
      <c r="F22" s="12" t="s">
        <v>75</v>
      </c>
      <c r="G22" s="18"/>
      <c r="H22" s="12" t="s">
        <v>74</v>
      </c>
      <c r="I22" s="12" t="s">
        <v>75</v>
      </c>
      <c r="J22" s="18"/>
      <c r="K22" s="12" t="s">
        <v>74</v>
      </c>
      <c r="L22" s="12" t="s">
        <v>75</v>
      </c>
      <c r="M22" s="18"/>
      <c r="N22" s="12" t="s">
        <v>74</v>
      </c>
      <c r="O22" s="12" t="s">
        <v>75</v>
      </c>
      <c r="P22" s="18"/>
    </row>
    <row r="23" spans="1:18">
      <c r="A23" s="5" t="s">
        <v>38</v>
      </c>
      <c r="B23" s="27">
        <v>665769001.75999999</v>
      </c>
      <c r="C23" s="27">
        <v>658687303.76999998</v>
      </c>
      <c r="D23" s="20">
        <f>IF(B23&gt;0,C23/B23*100,"-")</f>
        <v>98.936313049829721</v>
      </c>
      <c r="E23" s="27">
        <v>714272201.35000002</v>
      </c>
      <c r="F23" s="27">
        <v>706543552.50999999</v>
      </c>
      <c r="G23" s="20">
        <f>IF(E23&gt;0,F23/E23*100,"-")</f>
        <v>98.9179686924127</v>
      </c>
      <c r="H23" s="27">
        <v>727128803.19000006</v>
      </c>
      <c r="I23" s="27">
        <v>725497329.51999998</v>
      </c>
      <c r="J23" s="20">
        <f>IF(H23&gt;0,I23/H23*100,"-")</f>
        <v>99.775627968134046</v>
      </c>
      <c r="K23" s="27">
        <v>732429908.27999997</v>
      </c>
      <c r="L23" s="27">
        <v>711002425.62</v>
      </c>
      <c r="M23" s="20">
        <f>IF(K23&gt;0,L23/K23*100,"-")</f>
        <v>97.074466455046988</v>
      </c>
      <c r="N23" s="27">
        <v>712784697.57000005</v>
      </c>
      <c r="O23" s="27">
        <v>688113191.24000001</v>
      </c>
      <c r="P23" s="20">
        <f>IF(N23&gt;0,O23/N23*100,"-")</f>
        <v>96.538715489528713</v>
      </c>
      <c r="Q23" s="13">
        <f t="shared" si="5"/>
        <v>-2.6821966836572386</v>
      </c>
      <c r="R23" s="13">
        <f t="shared" si="5"/>
        <v>-3.2192906177556893</v>
      </c>
    </row>
    <row r="24" spans="1:18">
      <c r="A24" s="5" t="s">
        <v>39</v>
      </c>
      <c r="B24" s="27">
        <v>43770633.869999997</v>
      </c>
      <c r="C24" s="27">
        <v>42908401.329999998</v>
      </c>
      <c r="D24" s="20">
        <f t="shared" ref="D24:D57" si="25">IF(B24&gt;0,C24/B24*100,"-")</f>
        <v>98.030111826662463</v>
      </c>
      <c r="E24" s="27">
        <v>44549937.130000003</v>
      </c>
      <c r="F24" s="27">
        <v>43391666.82</v>
      </c>
      <c r="G24" s="20">
        <f t="shared" ref="G24:G57" si="26">IF(E24&gt;0,F24/E24*100,"-")</f>
        <v>97.400062975128137</v>
      </c>
      <c r="H24" s="27">
        <v>44350067.509999998</v>
      </c>
      <c r="I24" s="27">
        <v>44144968.780000001</v>
      </c>
      <c r="J24" s="20">
        <f t="shared" ref="J24:J26" si="27">IF(H24&gt;0,I24/H24*100,"-")</f>
        <v>99.537545844876675</v>
      </c>
      <c r="K24" s="27">
        <v>44725302.909999996</v>
      </c>
      <c r="L24" s="27">
        <v>44530317.170000002</v>
      </c>
      <c r="M24" s="20">
        <f t="shared" ref="M24:M57" si="28">IF(K24&gt;0,L24/K24*100,"-")</f>
        <v>99.564037072275696</v>
      </c>
      <c r="N24" s="27">
        <v>45113896.289999999</v>
      </c>
      <c r="O24" s="27">
        <v>44578393.780000001</v>
      </c>
      <c r="P24" s="20">
        <f t="shared" ref="P24:P57" si="29">IF(N24&gt;0,O24/N24*100,"-")</f>
        <v>98.81299875639715</v>
      </c>
      <c r="Q24" s="13">
        <f t="shared" si="5"/>
        <v>0.86884460186209367</v>
      </c>
      <c r="R24" s="13">
        <f t="shared" si="5"/>
        <v>0.10796377177477723</v>
      </c>
    </row>
    <row r="25" spans="1:18">
      <c r="A25" s="5" t="s">
        <v>40</v>
      </c>
      <c r="B25" s="27">
        <v>152810858.34999999</v>
      </c>
      <c r="C25" s="27">
        <v>119614121.5</v>
      </c>
      <c r="D25" s="20">
        <f t="shared" si="25"/>
        <v>78.27593064495079</v>
      </c>
      <c r="E25" s="27">
        <v>177816908.99000001</v>
      </c>
      <c r="F25" s="27">
        <v>131284124.73999999</v>
      </c>
      <c r="G25" s="20">
        <f t="shared" si="26"/>
        <v>73.831068983087036</v>
      </c>
      <c r="H25" s="27">
        <v>183283819.71000001</v>
      </c>
      <c r="I25" s="27">
        <v>140299900.08000001</v>
      </c>
      <c r="J25" s="20">
        <f t="shared" si="27"/>
        <v>76.5478918444568</v>
      </c>
      <c r="K25" s="27">
        <v>173015313</v>
      </c>
      <c r="L25" s="27">
        <v>137901628.24000001</v>
      </c>
      <c r="M25" s="20">
        <f t="shared" si="28"/>
        <v>79.704868805456556</v>
      </c>
      <c r="N25" s="27">
        <v>168600555.03</v>
      </c>
      <c r="O25" s="27">
        <v>127084352.95</v>
      </c>
      <c r="P25" s="20">
        <f t="shared" si="29"/>
        <v>75.375999164052104</v>
      </c>
      <c r="Q25" s="13">
        <f t="shared" si="5"/>
        <v>-2.5516573611030537</v>
      </c>
      <c r="R25" s="13">
        <f t="shared" si="5"/>
        <v>-7.8441969308541672</v>
      </c>
    </row>
    <row r="26" spans="1:18">
      <c r="A26" s="5" t="s">
        <v>41</v>
      </c>
      <c r="B26" s="27">
        <v>1856239516.5</v>
      </c>
      <c r="C26" s="27">
        <v>1803787826.29</v>
      </c>
      <c r="D26" s="20">
        <f t="shared" si="25"/>
        <v>97.174303760707588</v>
      </c>
      <c r="E26" s="27">
        <v>2193857491.6900001</v>
      </c>
      <c r="F26" s="27">
        <v>2126411733.5999999</v>
      </c>
      <c r="G26" s="20">
        <f t="shared" si="26"/>
        <v>96.925700126581859</v>
      </c>
      <c r="H26" s="27">
        <v>2259502546.7399998</v>
      </c>
      <c r="I26" s="27">
        <v>2056738984.4000001</v>
      </c>
      <c r="J26" s="20">
        <f t="shared" si="27"/>
        <v>91.026185713640999</v>
      </c>
      <c r="K26" s="27">
        <v>2238729606.1100001</v>
      </c>
      <c r="L26" s="27">
        <v>2068267935.0899999</v>
      </c>
      <c r="M26" s="20">
        <f t="shared" si="28"/>
        <v>92.38578564580682</v>
      </c>
      <c r="N26" s="27">
        <v>2200740469.77</v>
      </c>
      <c r="O26" s="27">
        <v>1956510962.5899999</v>
      </c>
      <c r="P26" s="20">
        <f t="shared" si="29"/>
        <v>88.902393965358186</v>
      </c>
      <c r="Q26" s="13">
        <f t="shared" si="5"/>
        <v>-1.696905970078717</v>
      </c>
      <c r="R26" s="13">
        <f t="shared" si="5"/>
        <v>-5.4034088429232838</v>
      </c>
    </row>
    <row r="27" spans="1:18">
      <c r="A27" s="5" t="s">
        <v>350</v>
      </c>
      <c r="B27" s="27">
        <v>0</v>
      </c>
      <c r="C27" s="27">
        <v>0</v>
      </c>
      <c r="D27" s="20"/>
      <c r="E27" s="27">
        <v>0</v>
      </c>
      <c r="F27" s="27">
        <v>0</v>
      </c>
      <c r="G27" s="20"/>
      <c r="H27" s="27">
        <v>0</v>
      </c>
      <c r="I27" s="27">
        <v>0</v>
      </c>
      <c r="J27" s="20"/>
      <c r="K27" s="27">
        <v>0</v>
      </c>
      <c r="L27" s="27">
        <v>0</v>
      </c>
      <c r="M27" s="20"/>
      <c r="N27" s="27">
        <v>0</v>
      </c>
      <c r="O27" s="27">
        <v>0</v>
      </c>
      <c r="P27" s="20"/>
      <c r="Q27" s="13" t="str">
        <f t="shared" si="5"/>
        <v>-</v>
      </c>
      <c r="R27" s="13" t="str">
        <f t="shared" si="5"/>
        <v>-</v>
      </c>
    </row>
    <row r="28" spans="1:18">
      <c r="A28" s="5" t="s">
        <v>351</v>
      </c>
      <c r="B28" s="27">
        <v>277616012.38</v>
      </c>
      <c r="C28" s="27">
        <v>273801779.88999999</v>
      </c>
      <c r="D28" s="20"/>
      <c r="E28" s="27">
        <v>281538067.61000001</v>
      </c>
      <c r="F28" s="27">
        <v>276918147.67000002</v>
      </c>
      <c r="G28" s="20"/>
      <c r="H28" s="27">
        <v>308630625.14999998</v>
      </c>
      <c r="I28" s="27">
        <v>301171595.85000002</v>
      </c>
      <c r="J28" s="20"/>
      <c r="K28" s="27">
        <v>307739894.13999999</v>
      </c>
      <c r="L28" s="27">
        <v>304603719.60000002</v>
      </c>
      <c r="M28" s="20"/>
      <c r="N28" s="27">
        <v>249472516.78999999</v>
      </c>
      <c r="O28" s="27">
        <v>224712263.22999999</v>
      </c>
      <c r="P28" s="20"/>
      <c r="Q28" s="13">
        <f t="shared" si="5"/>
        <v>-18.933969387632416</v>
      </c>
      <c r="R28" s="13">
        <f t="shared" si="5"/>
        <v>-26.227997634077497</v>
      </c>
    </row>
    <row r="29" spans="1:18">
      <c r="A29" s="5" t="s">
        <v>42</v>
      </c>
      <c r="B29" s="27">
        <v>289478.09000000003</v>
      </c>
      <c r="C29" s="27">
        <v>289478.09000000003</v>
      </c>
      <c r="D29" s="20">
        <f t="shared" si="25"/>
        <v>100</v>
      </c>
      <c r="E29" s="27">
        <v>152963.23000000001</v>
      </c>
      <c r="F29" s="27">
        <v>152963.23000000001</v>
      </c>
      <c r="G29" s="20">
        <f t="shared" si="26"/>
        <v>100</v>
      </c>
      <c r="H29" s="27">
        <v>82328.009999999995</v>
      </c>
      <c r="I29" s="27">
        <v>82328.009999999995</v>
      </c>
      <c r="J29" s="20">
        <f t="shared" ref="J29:J57" si="30">IF(H29&gt;0,I29/H29*100,"-")</f>
        <v>100</v>
      </c>
      <c r="K29" s="27">
        <v>53258.05</v>
      </c>
      <c r="L29" s="27">
        <v>53258.05</v>
      </c>
      <c r="M29" s="20">
        <f t="shared" ref="M29:M62" si="31">IF(K29&gt;0,L29/K29*100,"-")</f>
        <v>100</v>
      </c>
      <c r="N29" s="27">
        <v>23190.79</v>
      </c>
      <c r="O29" s="27">
        <v>23190.79</v>
      </c>
      <c r="P29" s="20">
        <f t="shared" si="29"/>
        <v>100</v>
      </c>
      <c r="Q29" s="13">
        <f t="shared" si="5"/>
        <v>-56.455803394979725</v>
      </c>
      <c r="R29" s="13">
        <f t="shared" si="5"/>
        <v>-56.455803394979725</v>
      </c>
    </row>
    <row r="30" spans="1:18">
      <c r="A30" s="5" t="s">
        <v>43</v>
      </c>
      <c r="B30" s="27">
        <v>0</v>
      </c>
      <c r="C30" s="27">
        <v>0</v>
      </c>
      <c r="D30" s="20" t="str">
        <f t="shared" si="25"/>
        <v>-</v>
      </c>
      <c r="E30" s="27">
        <v>0</v>
      </c>
      <c r="F30" s="27">
        <v>0</v>
      </c>
      <c r="G30" s="20" t="str">
        <f t="shared" si="26"/>
        <v>-</v>
      </c>
      <c r="H30" s="27">
        <v>0</v>
      </c>
      <c r="I30" s="27">
        <v>0</v>
      </c>
      <c r="J30" s="20" t="str">
        <f t="shared" si="30"/>
        <v>-</v>
      </c>
      <c r="K30" s="27">
        <v>0</v>
      </c>
      <c r="L30" s="27">
        <v>0</v>
      </c>
      <c r="M30" s="20" t="str">
        <f t="shared" si="31"/>
        <v>-</v>
      </c>
      <c r="N30" s="27">
        <v>0</v>
      </c>
      <c r="O30" s="27">
        <v>0</v>
      </c>
      <c r="P30" s="20" t="str">
        <f t="shared" si="29"/>
        <v>-</v>
      </c>
      <c r="Q30" s="13" t="str">
        <f t="shared" si="5"/>
        <v>-</v>
      </c>
      <c r="R30" s="13" t="str">
        <f t="shared" si="5"/>
        <v>-</v>
      </c>
    </row>
    <row r="31" spans="1:18">
      <c r="A31" s="5" t="s">
        <v>44</v>
      </c>
      <c r="B31" s="27">
        <v>7737615.0499999998</v>
      </c>
      <c r="C31" s="27">
        <v>6422027.6100000003</v>
      </c>
      <c r="D31" s="20">
        <f t="shared" si="25"/>
        <v>82.997507222848981</v>
      </c>
      <c r="E31" s="27">
        <v>9181409.3000000007</v>
      </c>
      <c r="F31" s="27">
        <v>7585101.0700000003</v>
      </c>
      <c r="G31" s="20">
        <f t="shared" si="26"/>
        <v>82.613690580159627</v>
      </c>
      <c r="H31" s="27">
        <v>8951087.7400000002</v>
      </c>
      <c r="I31" s="27">
        <v>1911649.23</v>
      </c>
      <c r="J31" s="20">
        <f t="shared" si="30"/>
        <v>21.356613693521901</v>
      </c>
      <c r="K31" s="27">
        <v>9465652.7100000009</v>
      </c>
      <c r="L31" s="27">
        <v>7746270.5</v>
      </c>
      <c r="M31" s="20">
        <f t="shared" si="31"/>
        <v>81.835566308242463</v>
      </c>
      <c r="N31" s="27">
        <v>4443265.07</v>
      </c>
      <c r="O31" s="27">
        <v>2363803.2400000002</v>
      </c>
      <c r="P31" s="20">
        <f t="shared" si="29"/>
        <v>53.199689929820018</v>
      </c>
      <c r="Q31" s="13">
        <f t="shared" si="5"/>
        <v>-53.059073619868734</v>
      </c>
      <c r="R31" s="13">
        <f t="shared" si="5"/>
        <v>-69.484628247877481</v>
      </c>
    </row>
    <row r="32" spans="1:18">
      <c r="A32" s="5" t="s">
        <v>45</v>
      </c>
      <c r="B32" s="27">
        <v>3533725.04</v>
      </c>
      <c r="C32" s="27">
        <v>3464194.69</v>
      </c>
      <c r="D32" s="20">
        <f t="shared" si="25"/>
        <v>98.032378036973697</v>
      </c>
      <c r="E32" s="27">
        <v>2934234.33</v>
      </c>
      <c r="F32" s="27">
        <v>2883596.95</v>
      </c>
      <c r="G32" s="20">
        <f t="shared" si="26"/>
        <v>98.274255757889662</v>
      </c>
      <c r="H32" s="27">
        <v>4761190.4400000004</v>
      </c>
      <c r="I32" s="27">
        <v>3935099.84</v>
      </c>
      <c r="J32" s="20">
        <f t="shared" si="30"/>
        <v>82.649494692339999</v>
      </c>
      <c r="K32" s="27">
        <v>3921406.68</v>
      </c>
      <c r="L32" s="27">
        <v>3784307.08</v>
      </c>
      <c r="M32" s="20">
        <f t="shared" si="31"/>
        <v>96.503815819480366</v>
      </c>
      <c r="N32" s="27">
        <v>6697202.4299999997</v>
      </c>
      <c r="O32" s="27">
        <v>6431710.6200000001</v>
      </c>
      <c r="P32" s="20">
        <f t="shared" si="29"/>
        <v>96.035780420631539</v>
      </c>
      <c r="Q32" s="13">
        <f t="shared" si="5"/>
        <v>70.785714834351211</v>
      </c>
      <c r="R32" s="13">
        <f t="shared" si="5"/>
        <v>69.95741846615681</v>
      </c>
    </row>
    <row r="33" spans="1:18">
      <c r="A33" s="5" t="s">
        <v>46</v>
      </c>
      <c r="B33" s="27">
        <v>0</v>
      </c>
      <c r="C33" s="27">
        <v>0</v>
      </c>
      <c r="D33" s="20" t="str">
        <f t="shared" si="25"/>
        <v>-</v>
      </c>
      <c r="E33" s="27">
        <v>0</v>
      </c>
      <c r="F33" s="27">
        <v>0</v>
      </c>
      <c r="G33" s="20" t="str">
        <f t="shared" si="26"/>
        <v>-</v>
      </c>
      <c r="H33" s="27">
        <v>0</v>
      </c>
      <c r="I33" s="27">
        <v>0</v>
      </c>
      <c r="J33" s="20" t="str">
        <f t="shared" si="30"/>
        <v>-</v>
      </c>
      <c r="K33" s="27">
        <v>0</v>
      </c>
      <c r="L33" s="27">
        <v>0</v>
      </c>
      <c r="M33" s="20" t="str">
        <f t="shared" si="31"/>
        <v>-</v>
      </c>
      <c r="N33" s="27">
        <v>0</v>
      </c>
      <c r="O33" s="27">
        <v>0</v>
      </c>
      <c r="P33" s="20" t="str">
        <f t="shared" si="29"/>
        <v>-</v>
      </c>
      <c r="Q33" s="13" t="str">
        <f t="shared" si="5"/>
        <v>-</v>
      </c>
      <c r="R33" s="13" t="str">
        <f t="shared" si="5"/>
        <v>-</v>
      </c>
    </row>
    <row r="34" spans="1:18">
      <c r="A34" s="5" t="s">
        <v>47</v>
      </c>
      <c r="B34" s="27">
        <v>167150543.05000001</v>
      </c>
      <c r="C34" s="27">
        <v>118890878.95999999</v>
      </c>
      <c r="D34" s="20">
        <f t="shared" si="25"/>
        <v>71.128024348946312</v>
      </c>
      <c r="E34" s="27">
        <v>188183632.53999999</v>
      </c>
      <c r="F34" s="27">
        <v>148963634.05000001</v>
      </c>
      <c r="G34" s="20">
        <f t="shared" si="26"/>
        <v>79.15865585086766</v>
      </c>
      <c r="H34" s="27">
        <v>206688318.19</v>
      </c>
      <c r="I34" s="27">
        <v>180360794.44999999</v>
      </c>
      <c r="J34" s="20">
        <f t="shared" si="30"/>
        <v>87.26221008978446</v>
      </c>
      <c r="K34" s="27">
        <v>208134257.30000001</v>
      </c>
      <c r="L34" s="27">
        <v>175470254.11000001</v>
      </c>
      <c r="M34" s="20">
        <f t="shared" si="31"/>
        <v>84.306282101884435</v>
      </c>
      <c r="N34" s="27">
        <v>200330883.37</v>
      </c>
      <c r="O34" s="27">
        <v>164110166.49000001</v>
      </c>
      <c r="P34" s="20">
        <f t="shared" si="29"/>
        <v>81.919554154262713</v>
      </c>
      <c r="Q34" s="13">
        <f t="shared" si="5"/>
        <v>-3.7492020925476055</v>
      </c>
      <c r="R34" s="13">
        <f t="shared" si="5"/>
        <v>-6.4740817055399731</v>
      </c>
    </row>
    <row r="35" spans="1:18">
      <c r="A35" s="5" t="s">
        <v>48</v>
      </c>
      <c r="B35" s="27">
        <v>889349539.07000005</v>
      </c>
      <c r="C35" s="27">
        <v>446936484.81</v>
      </c>
      <c r="D35" s="20">
        <f t="shared" si="25"/>
        <v>50.254311176386857</v>
      </c>
      <c r="E35" s="27">
        <v>901129822.72000003</v>
      </c>
      <c r="F35" s="27">
        <v>562419049.44000006</v>
      </c>
      <c r="G35" s="20">
        <f t="shared" si="26"/>
        <v>62.412655231226935</v>
      </c>
      <c r="H35" s="27">
        <v>1027053797.37</v>
      </c>
      <c r="I35" s="27">
        <v>624334815.63</v>
      </c>
      <c r="J35" s="20">
        <f t="shared" si="30"/>
        <v>60.788910690827322</v>
      </c>
      <c r="K35" s="27">
        <v>1006870825.12</v>
      </c>
      <c r="L35" s="27">
        <v>671738909.75999999</v>
      </c>
      <c r="M35" s="20">
        <f t="shared" si="31"/>
        <v>66.715500439685641</v>
      </c>
      <c r="N35" s="27">
        <v>995289532.58000004</v>
      </c>
      <c r="O35" s="27">
        <v>617474004.32000005</v>
      </c>
      <c r="P35" s="20">
        <f t="shared" si="29"/>
        <v>62.039636116676263</v>
      </c>
      <c r="Q35" s="13">
        <f t="shared" si="5"/>
        <v>-1.150226250583799</v>
      </c>
      <c r="R35" s="13">
        <f t="shared" si="5"/>
        <v>-8.0782733665655542</v>
      </c>
    </row>
    <row r="36" spans="1:18">
      <c r="A36" s="5" t="s">
        <v>49</v>
      </c>
      <c r="B36" s="27">
        <v>0</v>
      </c>
      <c r="C36" s="27">
        <v>0</v>
      </c>
      <c r="D36" s="20" t="str">
        <f t="shared" si="25"/>
        <v>-</v>
      </c>
      <c r="E36" s="27">
        <v>0</v>
      </c>
      <c r="F36" s="27">
        <v>0</v>
      </c>
      <c r="G36" s="20" t="str">
        <f t="shared" si="26"/>
        <v>-</v>
      </c>
      <c r="H36" s="27">
        <v>0</v>
      </c>
      <c r="I36" s="27">
        <v>0</v>
      </c>
      <c r="J36" s="20" t="str">
        <f t="shared" si="30"/>
        <v>-</v>
      </c>
      <c r="K36" s="27">
        <v>0</v>
      </c>
      <c r="L36" s="27">
        <v>0</v>
      </c>
      <c r="M36" s="20" t="str">
        <f t="shared" si="31"/>
        <v>-</v>
      </c>
      <c r="N36" s="27">
        <v>0</v>
      </c>
      <c r="O36" s="27">
        <v>0</v>
      </c>
      <c r="P36" s="20" t="str">
        <f t="shared" si="29"/>
        <v>-</v>
      </c>
      <c r="Q36" s="13" t="str">
        <f t="shared" si="5"/>
        <v>-</v>
      </c>
      <c r="R36" s="13" t="str">
        <f t="shared" si="5"/>
        <v>-</v>
      </c>
    </row>
    <row r="37" spans="1:18">
      <c r="A37" s="5" t="s">
        <v>50</v>
      </c>
      <c r="B37" s="27">
        <v>250662.73</v>
      </c>
      <c r="C37" s="27">
        <v>142484.9</v>
      </c>
      <c r="D37" s="20">
        <f t="shared" si="25"/>
        <v>56.843273030657556</v>
      </c>
      <c r="E37" s="27">
        <v>5770073.9500000002</v>
      </c>
      <c r="F37" s="27">
        <v>2667583.42</v>
      </c>
      <c r="G37" s="20">
        <f t="shared" si="26"/>
        <v>46.23135583903565</v>
      </c>
      <c r="H37" s="27">
        <v>134758.72</v>
      </c>
      <c r="I37" s="27">
        <v>113723</v>
      </c>
      <c r="J37" s="20">
        <f t="shared" si="30"/>
        <v>84.390086222249664</v>
      </c>
      <c r="K37" s="27">
        <v>57760.51</v>
      </c>
      <c r="L37" s="27">
        <v>31920.14</v>
      </c>
      <c r="M37" s="20">
        <f t="shared" si="31"/>
        <v>55.262912325393245</v>
      </c>
      <c r="N37" s="27">
        <v>519373.47</v>
      </c>
      <c r="O37" s="27">
        <v>509476.83</v>
      </c>
      <c r="P37" s="20">
        <f t="shared" si="29"/>
        <v>98.094504133990526</v>
      </c>
      <c r="Q37" s="13">
        <f t="shared" si="5"/>
        <v>799.18435623231153</v>
      </c>
      <c r="R37" s="13">
        <f t="shared" si="5"/>
        <v>1496.0983567114681</v>
      </c>
    </row>
    <row r="38" spans="1:18">
      <c r="A38" s="5" t="s">
        <v>51</v>
      </c>
      <c r="B38" s="27">
        <v>18155182.27</v>
      </c>
      <c r="C38" s="27">
        <v>18155182.27</v>
      </c>
      <c r="D38" s="20">
        <f t="shared" si="25"/>
        <v>100</v>
      </c>
      <c r="E38" s="27">
        <v>21392558.440000001</v>
      </c>
      <c r="F38" s="27">
        <v>21386195</v>
      </c>
      <c r="G38" s="20">
        <f t="shared" si="26"/>
        <v>99.970253955281464</v>
      </c>
      <c r="H38" s="27">
        <v>40441029.990000002</v>
      </c>
      <c r="I38" s="27">
        <v>40441029.990000002</v>
      </c>
      <c r="J38" s="20">
        <f t="shared" si="30"/>
        <v>100</v>
      </c>
      <c r="K38" s="27">
        <v>6150737.5999999996</v>
      </c>
      <c r="L38" s="27">
        <v>5800737.5999999996</v>
      </c>
      <c r="M38" s="20">
        <f t="shared" si="31"/>
        <v>94.30962556425753</v>
      </c>
      <c r="N38" s="27">
        <v>0</v>
      </c>
      <c r="O38" s="27">
        <v>0</v>
      </c>
      <c r="P38" s="20" t="str">
        <f t="shared" si="29"/>
        <v>-</v>
      </c>
      <c r="Q38" s="13">
        <f t="shared" si="5"/>
        <v>-100</v>
      </c>
      <c r="R38" s="13">
        <f t="shared" si="5"/>
        <v>-100</v>
      </c>
    </row>
    <row r="39" spans="1:18">
      <c r="A39" s="5" t="s">
        <v>261</v>
      </c>
      <c r="B39" s="27">
        <v>0</v>
      </c>
      <c r="C39" s="27">
        <v>0</v>
      </c>
      <c r="D39" s="20" t="str">
        <f t="shared" si="25"/>
        <v>-</v>
      </c>
      <c r="E39" s="27">
        <v>0</v>
      </c>
      <c r="F39" s="27">
        <v>0</v>
      </c>
      <c r="G39" s="20" t="str">
        <f t="shared" si="26"/>
        <v>-</v>
      </c>
      <c r="H39" s="27">
        <v>0</v>
      </c>
      <c r="I39" s="27">
        <v>0</v>
      </c>
      <c r="J39" s="20" t="str">
        <f t="shared" si="30"/>
        <v>-</v>
      </c>
      <c r="K39" s="27">
        <v>0</v>
      </c>
      <c r="L39" s="27">
        <v>0</v>
      </c>
      <c r="M39" s="20" t="str">
        <f t="shared" si="31"/>
        <v>-</v>
      </c>
      <c r="N39" s="27">
        <v>0</v>
      </c>
      <c r="O39" s="27">
        <v>0</v>
      </c>
      <c r="P39" s="20" t="str">
        <f t="shared" si="29"/>
        <v>-</v>
      </c>
      <c r="Q39" s="13" t="str">
        <f t="shared" si="5"/>
        <v>-</v>
      </c>
      <c r="R39" s="13" t="str">
        <f t="shared" si="5"/>
        <v>-</v>
      </c>
    </row>
    <row r="40" spans="1:18">
      <c r="A40" s="5" t="s">
        <v>52</v>
      </c>
      <c r="B40" s="27">
        <v>18171806.170000002</v>
      </c>
      <c r="C40" s="27">
        <v>18171806.170000002</v>
      </c>
      <c r="D40" s="20">
        <f t="shared" si="25"/>
        <v>100</v>
      </c>
      <c r="E40" s="27">
        <v>6773127.75</v>
      </c>
      <c r="F40" s="27">
        <v>6773127.75</v>
      </c>
      <c r="G40" s="20">
        <f t="shared" si="26"/>
        <v>100</v>
      </c>
      <c r="H40" s="27">
        <v>9451982.3800000008</v>
      </c>
      <c r="I40" s="27">
        <v>9451982.3800000008</v>
      </c>
      <c r="J40" s="20">
        <f t="shared" si="30"/>
        <v>100</v>
      </c>
      <c r="K40" s="27">
        <v>9779735.6799999997</v>
      </c>
      <c r="L40" s="27">
        <v>9779735.6799999997</v>
      </c>
      <c r="M40" s="20">
        <f t="shared" si="31"/>
        <v>100</v>
      </c>
      <c r="N40" s="27">
        <v>5088105.71</v>
      </c>
      <c r="O40" s="27">
        <v>5088105.71</v>
      </c>
      <c r="P40" s="20">
        <f t="shared" si="29"/>
        <v>100</v>
      </c>
      <c r="Q40" s="13">
        <f t="shared" si="5"/>
        <v>-47.972973130496712</v>
      </c>
      <c r="R40" s="13">
        <f t="shared" si="5"/>
        <v>-47.972973130496712</v>
      </c>
    </row>
    <row r="41" spans="1:18">
      <c r="A41" s="5" t="s">
        <v>53</v>
      </c>
      <c r="B41" s="27">
        <v>11007345.140000001</v>
      </c>
      <c r="C41" s="27">
        <v>11007345.140000001</v>
      </c>
      <c r="D41" s="20">
        <f t="shared" si="25"/>
        <v>100</v>
      </c>
      <c r="E41" s="27">
        <v>11475081.470000001</v>
      </c>
      <c r="F41" s="27">
        <v>11475081.470000001</v>
      </c>
      <c r="G41" s="20">
        <f t="shared" si="26"/>
        <v>100</v>
      </c>
      <c r="H41" s="27">
        <v>16531295.57</v>
      </c>
      <c r="I41" s="27">
        <v>16531295.57</v>
      </c>
      <c r="J41" s="20">
        <f t="shared" si="30"/>
        <v>100</v>
      </c>
      <c r="K41" s="27">
        <v>35281397.600000001</v>
      </c>
      <c r="L41" s="27">
        <v>35281397.600000001</v>
      </c>
      <c r="M41" s="20">
        <f t="shared" si="31"/>
        <v>100</v>
      </c>
      <c r="N41" s="27">
        <v>19717751.949999999</v>
      </c>
      <c r="O41" s="27">
        <v>19717751.949999999</v>
      </c>
      <c r="P41" s="20">
        <f t="shared" si="29"/>
        <v>100</v>
      </c>
      <c r="Q41" s="13">
        <f t="shared" si="5"/>
        <v>-44.112894354275809</v>
      </c>
      <c r="R41" s="13">
        <f t="shared" si="5"/>
        <v>-44.112894354275809</v>
      </c>
    </row>
    <row r="42" spans="1:18">
      <c r="A42" s="5" t="s">
        <v>54</v>
      </c>
      <c r="B42" s="27">
        <v>0</v>
      </c>
      <c r="C42" s="27">
        <v>0</v>
      </c>
      <c r="D42" s="20" t="str">
        <f t="shared" si="25"/>
        <v>-</v>
      </c>
      <c r="E42" s="27">
        <v>0</v>
      </c>
      <c r="F42" s="27">
        <v>0</v>
      </c>
      <c r="G42" s="20" t="str">
        <f t="shared" si="26"/>
        <v>-</v>
      </c>
      <c r="H42" s="27">
        <v>0</v>
      </c>
      <c r="I42" s="27">
        <v>0</v>
      </c>
      <c r="J42" s="20" t="str">
        <f t="shared" si="30"/>
        <v>-</v>
      </c>
      <c r="K42" s="27">
        <v>0</v>
      </c>
      <c r="L42" s="27">
        <v>0</v>
      </c>
      <c r="M42" s="20" t="str">
        <f t="shared" si="31"/>
        <v>-</v>
      </c>
      <c r="N42" s="27">
        <v>0</v>
      </c>
      <c r="O42" s="27">
        <v>0</v>
      </c>
      <c r="P42" s="20" t="str">
        <f t="shared" si="29"/>
        <v>-</v>
      </c>
      <c r="Q42" s="13" t="str">
        <f t="shared" si="5"/>
        <v>-</v>
      </c>
      <c r="R42" s="13" t="str">
        <f t="shared" si="5"/>
        <v>-</v>
      </c>
    </row>
    <row r="43" spans="1:18">
      <c r="A43" s="5" t="s">
        <v>55</v>
      </c>
      <c r="B43" s="27">
        <v>0</v>
      </c>
      <c r="C43" s="27">
        <v>0</v>
      </c>
      <c r="D43" s="20" t="str">
        <f t="shared" si="25"/>
        <v>-</v>
      </c>
      <c r="E43" s="27">
        <v>0</v>
      </c>
      <c r="F43" s="27">
        <v>0</v>
      </c>
      <c r="G43" s="20" t="str">
        <f t="shared" si="26"/>
        <v>-</v>
      </c>
      <c r="H43" s="27">
        <v>0</v>
      </c>
      <c r="I43" s="27">
        <v>0</v>
      </c>
      <c r="J43" s="20" t="str">
        <f t="shared" si="30"/>
        <v>-</v>
      </c>
      <c r="K43" s="27">
        <v>0</v>
      </c>
      <c r="L43" s="27">
        <v>0</v>
      </c>
      <c r="M43" s="20" t="str">
        <f t="shared" si="31"/>
        <v>-</v>
      </c>
      <c r="N43" s="27">
        <v>0</v>
      </c>
      <c r="O43" s="27">
        <v>0</v>
      </c>
      <c r="P43" s="20" t="str">
        <f t="shared" si="29"/>
        <v>-</v>
      </c>
      <c r="Q43" s="13" t="str">
        <f t="shared" si="5"/>
        <v>-</v>
      </c>
      <c r="R43" s="13" t="str">
        <f t="shared" si="5"/>
        <v>-</v>
      </c>
    </row>
    <row r="44" spans="1:18">
      <c r="A44" s="5" t="s">
        <v>56</v>
      </c>
      <c r="B44" s="27">
        <v>3634986.22</v>
      </c>
      <c r="C44" s="27">
        <v>3634986.22</v>
      </c>
      <c r="D44" s="20">
        <f t="shared" si="25"/>
        <v>100</v>
      </c>
      <c r="E44" s="27">
        <v>12406020.58</v>
      </c>
      <c r="F44" s="27">
        <v>12406020.58</v>
      </c>
      <c r="G44" s="20">
        <f t="shared" si="26"/>
        <v>100</v>
      </c>
      <c r="H44" s="27">
        <v>7965899.1500000004</v>
      </c>
      <c r="I44" s="27">
        <v>7965899.1500000004</v>
      </c>
      <c r="J44" s="20">
        <f t="shared" si="30"/>
        <v>100</v>
      </c>
      <c r="K44" s="27">
        <v>7994924.1500000004</v>
      </c>
      <c r="L44" s="27">
        <v>7994924.1500000004</v>
      </c>
      <c r="M44" s="20">
        <f t="shared" si="31"/>
        <v>100</v>
      </c>
      <c r="N44" s="27">
        <v>9295749.7300000004</v>
      </c>
      <c r="O44" s="27">
        <v>9295749.7300000004</v>
      </c>
      <c r="P44" s="20">
        <f t="shared" si="29"/>
        <v>100</v>
      </c>
      <c r="Q44" s="13">
        <f t="shared" si="5"/>
        <v>16.270643168015539</v>
      </c>
      <c r="R44" s="13">
        <f t="shared" si="5"/>
        <v>16.270643168015539</v>
      </c>
    </row>
    <row r="45" spans="1:18">
      <c r="A45" s="5" t="s">
        <v>57</v>
      </c>
      <c r="B45" s="27">
        <v>0</v>
      </c>
      <c r="C45" s="27">
        <v>0</v>
      </c>
      <c r="D45" s="20" t="str">
        <f t="shared" si="25"/>
        <v>-</v>
      </c>
      <c r="E45" s="27">
        <v>0</v>
      </c>
      <c r="F45" s="27">
        <v>0</v>
      </c>
      <c r="G45" s="20" t="str">
        <f t="shared" si="26"/>
        <v>-</v>
      </c>
      <c r="H45" s="27">
        <v>0</v>
      </c>
      <c r="I45" s="27">
        <v>0</v>
      </c>
      <c r="J45" s="20" t="str">
        <f t="shared" si="30"/>
        <v>-</v>
      </c>
      <c r="K45" s="27">
        <v>0</v>
      </c>
      <c r="L45" s="27">
        <v>0</v>
      </c>
      <c r="M45" s="20" t="str">
        <f t="shared" si="31"/>
        <v>-</v>
      </c>
      <c r="N45" s="27">
        <v>0</v>
      </c>
      <c r="O45" s="27">
        <v>0</v>
      </c>
      <c r="P45" s="20" t="str">
        <f t="shared" si="29"/>
        <v>-</v>
      </c>
      <c r="Q45" s="13" t="str">
        <f t="shared" si="5"/>
        <v>-</v>
      </c>
      <c r="R45" s="13" t="str">
        <f t="shared" si="5"/>
        <v>-</v>
      </c>
    </row>
    <row r="46" spans="1:18">
      <c r="A46" s="5" t="s">
        <v>58</v>
      </c>
      <c r="B46" s="27">
        <v>0</v>
      </c>
      <c r="C46" s="27">
        <v>0</v>
      </c>
      <c r="D46" s="20" t="str">
        <f t="shared" si="25"/>
        <v>-</v>
      </c>
      <c r="E46" s="27">
        <v>0</v>
      </c>
      <c r="F46" s="27">
        <v>0</v>
      </c>
      <c r="G46" s="20" t="str">
        <f t="shared" si="26"/>
        <v>-</v>
      </c>
      <c r="H46" s="27">
        <v>0</v>
      </c>
      <c r="I46" s="27">
        <v>0</v>
      </c>
      <c r="J46" s="20" t="str">
        <f t="shared" si="30"/>
        <v>-</v>
      </c>
      <c r="K46" s="27">
        <v>0</v>
      </c>
      <c r="L46" s="27">
        <v>0</v>
      </c>
      <c r="M46" s="20" t="str">
        <f t="shared" si="31"/>
        <v>-</v>
      </c>
      <c r="N46" s="27">
        <v>0</v>
      </c>
      <c r="O46" s="27">
        <v>0</v>
      </c>
      <c r="P46" s="20" t="str">
        <f t="shared" si="29"/>
        <v>-</v>
      </c>
      <c r="Q46" s="13" t="str">
        <f t="shared" si="5"/>
        <v>-</v>
      </c>
      <c r="R46" s="13" t="str">
        <f t="shared" si="5"/>
        <v>-</v>
      </c>
    </row>
    <row r="47" spans="1:18">
      <c r="A47" s="5" t="s">
        <v>59</v>
      </c>
      <c r="B47" s="27">
        <v>0</v>
      </c>
      <c r="C47" s="27">
        <v>0</v>
      </c>
      <c r="D47" s="20" t="str">
        <f t="shared" si="25"/>
        <v>-</v>
      </c>
      <c r="E47" s="27">
        <v>0</v>
      </c>
      <c r="F47" s="27">
        <v>0</v>
      </c>
      <c r="G47" s="20" t="str">
        <f t="shared" si="26"/>
        <v>-</v>
      </c>
      <c r="H47" s="27">
        <v>0</v>
      </c>
      <c r="I47" s="27">
        <v>0</v>
      </c>
      <c r="J47" s="20" t="str">
        <f t="shared" si="30"/>
        <v>-</v>
      </c>
      <c r="K47" s="27">
        <v>0</v>
      </c>
      <c r="L47" s="27">
        <v>0</v>
      </c>
      <c r="M47" s="20" t="str">
        <f t="shared" si="31"/>
        <v>-</v>
      </c>
      <c r="N47" s="27">
        <v>0</v>
      </c>
      <c r="O47" s="27">
        <v>0</v>
      </c>
      <c r="P47" s="20" t="str">
        <f t="shared" si="29"/>
        <v>-</v>
      </c>
      <c r="Q47" s="13" t="str">
        <f t="shared" ref="Q47:R60" si="32">IF(K47&gt;0,N47/K47*100-100,"-")</f>
        <v>-</v>
      </c>
      <c r="R47" s="13" t="str">
        <f t="shared" si="32"/>
        <v>-</v>
      </c>
    </row>
    <row r="48" spans="1:18">
      <c r="A48" s="5" t="s">
        <v>60</v>
      </c>
      <c r="B48" s="27">
        <v>250928526.56</v>
      </c>
      <c r="C48" s="27">
        <v>0</v>
      </c>
      <c r="D48" s="20">
        <f t="shared" si="25"/>
        <v>0</v>
      </c>
      <c r="E48" s="27">
        <v>254689146.78</v>
      </c>
      <c r="F48" s="27">
        <v>0</v>
      </c>
      <c r="G48" s="20">
        <f t="shared" si="26"/>
        <v>0</v>
      </c>
      <c r="H48" s="27">
        <v>262527168.03</v>
      </c>
      <c r="I48" s="27">
        <v>0</v>
      </c>
      <c r="J48" s="20">
        <f t="shared" si="30"/>
        <v>0</v>
      </c>
      <c r="K48" s="27">
        <v>264641967.38</v>
      </c>
      <c r="L48" s="27">
        <v>0</v>
      </c>
      <c r="M48" s="20">
        <f t="shared" si="31"/>
        <v>0</v>
      </c>
      <c r="N48" s="27">
        <v>258082378.78999999</v>
      </c>
      <c r="O48" s="27">
        <v>0</v>
      </c>
      <c r="P48" s="20">
        <f t="shared" si="29"/>
        <v>0</v>
      </c>
      <c r="Q48" s="13">
        <f t="shared" si="32"/>
        <v>-2.4786652906721685</v>
      </c>
      <c r="R48" s="13" t="str">
        <f t="shared" si="32"/>
        <v>-</v>
      </c>
    </row>
    <row r="49" spans="1:18">
      <c r="A49" s="5" t="s">
        <v>61</v>
      </c>
      <c r="B49" s="27">
        <v>45681426.729999997</v>
      </c>
      <c r="C49" s="27">
        <v>0</v>
      </c>
      <c r="D49" s="20">
        <f t="shared" si="25"/>
        <v>0</v>
      </c>
      <c r="E49" s="27">
        <v>39113504.539999999</v>
      </c>
      <c r="F49" s="27">
        <v>0</v>
      </c>
      <c r="G49" s="20">
        <f t="shared" si="26"/>
        <v>0</v>
      </c>
      <c r="H49" s="27">
        <v>4466070.6900000004</v>
      </c>
      <c r="I49" s="27">
        <v>0</v>
      </c>
      <c r="J49" s="20">
        <f t="shared" si="30"/>
        <v>0</v>
      </c>
      <c r="K49" s="27">
        <v>20183531.100000001</v>
      </c>
      <c r="L49" s="27">
        <v>0</v>
      </c>
      <c r="M49" s="20">
        <f t="shared" si="31"/>
        <v>0</v>
      </c>
      <c r="N49" s="27">
        <v>21635247.460000001</v>
      </c>
      <c r="O49" s="27">
        <v>0</v>
      </c>
      <c r="P49" s="20">
        <f t="shared" si="29"/>
        <v>0</v>
      </c>
      <c r="Q49" s="13">
        <f t="shared" si="32"/>
        <v>7.1925787059133484</v>
      </c>
      <c r="R49" s="13" t="str">
        <f t="shared" si="32"/>
        <v>-</v>
      </c>
    </row>
    <row r="50" spans="1:18">
      <c r="A50" s="5" t="s">
        <v>62</v>
      </c>
      <c r="B50" s="27">
        <f t="shared" ref="B50:C50" si="33">SUM(B23:B32)</f>
        <v>3007766841.0400004</v>
      </c>
      <c r="C50" s="27">
        <f t="shared" si="33"/>
        <v>2908975133.1700001</v>
      </c>
      <c r="D50" s="20">
        <f t="shared" si="25"/>
        <v>96.715446605700294</v>
      </c>
      <c r="E50" s="27">
        <f t="shared" ref="E50:F50" si="34">SUM(E23:E32)</f>
        <v>3424303213.6300001</v>
      </c>
      <c r="F50" s="27">
        <f t="shared" si="34"/>
        <v>3295170886.5900002</v>
      </c>
      <c r="G50" s="20">
        <f t="shared" si="26"/>
        <v>96.228945891064626</v>
      </c>
      <c r="H50" s="27">
        <f t="shared" ref="H50:I50" si="35">SUM(H23:H32)</f>
        <v>3536690468.4899998</v>
      </c>
      <c r="I50" s="27">
        <f t="shared" si="35"/>
        <v>3273781855.7100005</v>
      </c>
      <c r="J50" s="20">
        <f t="shared" si="30"/>
        <v>92.566253249404411</v>
      </c>
      <c r="K50" s="27">
        <f t="shared" ref="K50:L50" si="36">SUM(K23:K32)</f>
        <v>3510080341.8800001</v>
      </c>
      <c r="L50" s="27">
        <f t="shared" si="36"/>
        <v>3277889861.3499999</v>
      </c>
      <c r="M50" s="20">
        <f t="shared" si="31"/>
        <v>93.385038007260007</v>
      </c>
      <c r="N50" s="27">
        <f t="shared" ref="N50:O50" si="37">SUM(N23:N32)</f>
        <v>3387875793.7399998</v>
      </c>
      <c r="O50" s="27">
        <f t="shared" si="37"/>
        <v>3049817868.4399996</v>
      </c>
      <c r="P50" s="20">
        <f t="shared" si="29"/>
        <v>90.021537214420562</v>
      </c>
      <c r="Q50" s="13">
        <f t="shared" si="32"/>
        <v>-3.4815313678702751</v>
      </c>
      <c r="R50" s="13">
        <f t="shared" si="32"/>
        <v>-6.9578906722652647</v>
      </c>
    </row>
    <row r="51" spans="1:18">
      <c r="A51" s="5" t="s">
        <v>63</v>
      </c>
      <c r="B51" s="27">
        <f t="shared" ref="B51:C51" si="38">SUM(B33:B37)</f>
        <v>1056750744.8500001</v>
      </c>
      <c r="C51" s="27">
        <f t="shared" si="38"/>
        <v>565969848.66999996</v>
      </c>
      <c r="D51" s="20">
        <f t="shared" si="25"/>
        <v>53.557553796693682</v>
      </c>
      <c r="E51" s="27">
        <f t="shared" ref="E51:F51" si="39">SUM(E33:E37)</f>
        <v>1095083529.21</v>
      </c>
      <c r="F51" s="27">
        <f t="shared" si="39"/>
        <v>714050266.90999997</v>
      </c>
      <c r="G51" s="20">
        <f t="shared" si="26"/>
        <v>65.205096037296826</v>
      </c>
      <c r="H51" s="27">
        <f t="shared" ref="H51:I51" si="40">SUM(H33:H37)</f>
        <v>1233876874.28</v>
      </c>
      <c r="I51" s="27">
        <f t="shared" si="40"/>
        <v>804809333.07999992</v>
      </c>
      <c r="J51" s="20">
        <f t="shared" si="30"/>
        <v>65.226065084462149</v>
      </c>
      <c r="K51" s="27">
        <f>SUM(K33:K37)</f>
        <v>1215062842.9300001</v>
      </c>
      <c r="L51" s="27">
        <f>SUM(L33:L37)</f>
        <v>847241084.00999999</v>
      </c>
      <c r="M51" s="20">
        <f t="shared" si="31"/>
        <v>69.728169941150085</v>
      </c>
      <c r="N51" s="27">
        <f>SUM(N33:N37)</f>
        <v>1196139789.4200001</v>
      </c>
      <c r="O51" s="27">
        <f>SUM(O33:O37)</f>
        <v>782093647.6400001</v>
      </c>
      <c r="P51" s="20">
        <f t="shared" si="29"/>
        <v>65.384803227658864</v>
      </c>
      <c r="Q51" s="13">
        <f t="shared" si="32"/>
        <v>-1.5573724124728301</v>
      </c>
      <c r="R51" s="13">
        <f t="shared" si="32"/>
        <v>-7.6893622841867568</v>
      </c>
    </row>
    <row r="52" spans="1:18">
      <c r="A52" s="5" t="s">
        <v>64</v>
      </c>
      <c r="B52" s="27">
        <f t="shared" ref="B52:C52" si="41">SUM(B38:B41)</f>
        <v>47334333.579999998</v>
      </c>
      <c r="C52" s="27">
        <f t="shared" si="41"/>
        <v>47334333.579999998</v>
      </c>
      <c r="D52" s="20">
        <f t="shared" si="25"/>
        <v>100</v>
      </c>
      <c r="E52" s="27">
        <f t="shared" ref="E52:F52" si="42">SUM(E38:E41)</f>
        <v>39640767.660000004</v>
      </c>
      <c r="F52" s="27">
        <f t="shared" si="42"/>
        <v>39634404.219999999</v>
      </c>
      <c r="G52" s="20">
        <f t="shared" si="26"/>
        <v>99.983947233175243</v>
      </c>
      <c r="H52" s="27">
        <f t="shared" ref="H52:I52" si="43">SUM(H38:H41)</f>
        <v>66424307.940000005</v>
      </c>
      <c r="I52" s="27">
        <f t="shared" si="43"/>
        <v>66424307.940000005</v>
      </c>
      <c r="J52" s="20">
        <f t="shared" si="30"/>
        <v>100</v>
      </c>
      <c r="K52" s="27">
        <f>SUM(K38:K41)</f>
        <v>51211870.880000003</v>
      </c>
      <c r="L52" s="27">
        <f>SUM(L38:L41)</f>
        <v>50861870.880000003</v>
      </c>
      <c r="M52" s="20">
        <f t="shared" si="31"/>
        <v>99.316564706608517</v>
      </c>
      <c r="N52" s="27">
        <f>SUM(N38:N41)</f>
        <v>24805857.66</v>
      </c>
      <c r="O52" s="27">
        <f>SUM(O38:O41)</f>
        <v>24805857.66</v>
      </c>
      <c r="P52" s="20">
        <f t="shared" si="29"/>
        <v>100</v>
      </c>
      <c r="Q52" s="13">
        <f t="shared" si="32"/>
        <v>-51.562289692315183</v>
      </c>
      <c r="R52" s="13">
        <f t="shared" si="32"/>
        <v>-51.228971269017542</v>
      </c>
    </row>
    <row r="53" spans="1:18">
      <c r="A53" s="5" t="s">
        <v>65</v>
      </c>
      <c r="B53" s="27">
        <f t="shared" ref="B53:C53" si="44">SUM(B42:B46)</f>
        <v>3634986.22</v>
      </c>
      <c r="C53" s="27">
        <f t="shared" si="44"/>
        <v>3634986.22</v>
      </c>
      <c r="D53" s="20">
        <f t="shared" si="25"/>
        <v>100</v>
      </c>
      <c r="E53" s="27">
        <f t="shared" ref="E53:F53" si="45">SUM(E42:E46)</f>
        <v>12406020.58</v>
      </c>
      <c r="F53" s="27">
        <f t="shared" si="45"/>
        <v>12406020.58</v>
      </c>
      <c r="G53" s="20">
        <f t="shared" si="26"/>
        <v>100</v>
      </c>
      <c r="H53" s="27">
        <f t="shared" ref="H53:I53" si="46">SUM(H42:H46)</f>
        <v>7965899.1500000004</v>
      </c>
      <c r="I53" s="27">
        <f t="shared" si="46"/>
        <v>7965899.1500000004</v>
      </c>
      <c r="J53" s="20">
        <f t="shared" si="30"/>
        <v>100</v>
      </c>
      <c r="K53" s="27">
        <f>SUM(K42:K46)</f>
        <v>7994924.1500000004</v>
      </c>
      <c r="L53" s="27">
        <f>SUM(L42:L46)</f>
        <v>7994924.1500000004</v>
      </c>
      <c r="M53" s="20">
        <f t="shared" si="31"/>
        <v>100</v>
      </c>
      <c r="N53" s="27">
        <f>SUM(N42:N46)</f>
        <v>9295749.7300000004</v>
      </c>
      <c r="O53" s="27">
        <f>SUM(O42:O46)</f>
        <v>9295749.7300000004</v>
      </c>
      <c r="P53" s="20">
        <f t="shared" si="29"/>
        <v>100</v>
      </c>
      <c r="Q53" s="13">
        <f t="shared" si="32"/>
        <v>16.270643168015539</v>
      </c>
      <c r="R53" s="13">
        <f t="shared" si="32"/>
        <v>16.270643168015539</v>
      </c>
    </row>
    <row r="54" spans="1:18">
      <c r="A54" s="5" t="s">
        <v>66</v>
      </c>
      <c r="B54" s="27">
        <f t="shared" ref="B54:C54" si="47">B47</f>
        <v>0</v>
      </c>
      <c r="C54" s="27">
        <f t="shared" si="47"/>
        <v>0</v>
      </c>
      <c r="D54" s="20" t="str">
        <f t="shared" si="25"/>
        <v>-</v>
      </c>
      <c r="E54" s="27">
        <f t="shared" ref="E54:F54" si="48">E47</f>
        <v>0</v>
      </c>
      <c r="F54" s="27">
        <f t="shared" si="48"/>
        <v>0</v>
      </c>
      <c r="G54" s="20" t="str">
        <f t="shared" si="26"/>
        <v>-</v>
      </c>
      <c r="H54" s="27">
        <f t="shared" ref="H54:I54" si="49">H47</f>
        <v>0</v>
      </c>
      <c r="I54" s="27">
        <f t="shared" si="49"/>
        <v>0</v>
      </c>
      <c r="J54" s="20" t="str">
        <f t="shared" si="30"/>
        <v>-</v>
      </c>
      <c r="K54" s="27">
        <f>K47</f>
        <v>0</v>
      </c>
      <c r="L54" s="27">
        <f>L47</f>
        <v>0</v>
      </c>
      <c r="M54" s="20" t="str">
        <f t="shared" si="31"/>
        <v>-</v>
      </c>
      <c r="N54" s="27">
        <f>N47</f>
        <v>0</v>
      </c>
      <c r="O54" s="27">
        <f>O47</f>
        <v>0</v>
      </c>
      <c r="P54" s="20" t="str">
        <f t="shared" si="29"/>
        <v>-</v>
      </c>
      <c r="Q54" s="13" t="str">
        <f t="shared" si="32"/>
        <v>-</v>
      </c>
      <c r="R54" s="13" t="str">
        <f t="shared" si="32"/>
        <v>-</v>
      </c>
    </row>
    <row r="55" spans="1:18">
      <c r="A55" s="5" t="s">
        <v>67</v>
      </c>
      <c r="B55" s="27">
        <f>SUM(B48:B49)</f>
        <v>296609953.29000002</v>
      </c>
      <c r="C55" s="29">
        <v>259875041.81</v>
      </c>
      <c r="D55" s="20">
        <f t="shared" si="25"/>
        <v>87.615077959274103</v>
      </c>
      <c r="E55" s="27">
        <f>SUM(E48:E49)</f>
        <v>293802651.31999999</v>
      </c>
      <c r="F55" s="29">
        <v>263387937.33000001</v>
      </c>
      <c r="G55" s="20">
        <f t="shared" si="26"/>
        <v>89.647910305318078</v>
      </c>
      <c r="H55" s="27">
        <f>SUM(H48:H49)</f>
        <v>266993238.72</v>
      </c>
      <c r="I55" s="29">
        <v>236823031.74000001</v>
      </c>
      <c r="J55" s="20">
        <f t="shared" si="30"/>
        <v>88.700010859960415</v>
      </c>
      <c r="K55" s="27">
        <f>SUM(K48:K49)</f>
        <v>284825498.48000002</v>
      </c>
      <c r="L55" s="29">
        <v>233236012.34999999</v>
      </c>
      <c r="M55" s="20">
        <f t="shared" si="31"/>
        <v>81.887335787942959</v>
      </c>
      <c r="N55" s="27">
        <f>SUM(N48:N49)</f>
        <v>279717626.25</v>
      </c>
      <c r="O55" s="29">
        <v>228050110.80000001</v>
      </c>
      <c r="P55" s="20">
        <f t="shared" si="29"/>
        <v>81.528688004873274</v>
      </c>
      <c r="Q55" s="13">
        <f t="shared" si="32"/>
        <v>-1.7933339034808</v>
      </c>
      <c r="R55" s="13">
        <f t="shared" si="32"/>
        <v>-2.2234566170758825</v>
      </c>
    </row>
    <row r="56" spans="1:18">
      <c r="A56" s="5" t="s">
        <v>68</v>
      </c>
      <c r="B56" s="19">
        <f t="shared" ref="B56:C56" si="50">SUM(B50:B55)</f>
        <v>4412096858.9800005</v>
      </c>
      <c r="C56" s="19">
        <f t="shared" si="50"/>
        <v>3785789343.4499998</v>
      </c>
      <c r="D56" s="20">
        <f t="shared" si="25"/>
        <v>85.804765046005997</v>
      </c>
      <c r="E56" s="19">
        <f t="shared" ref="E56:F56" si="51">SUM(E50:E55)</f>
        <v>4865236182.3999996</v>
      </c>
      <c r="F56" s="19">
        <f t="shared" si="51"/>
        <v>4324649515.6300001</v>
      </c>
      <c r="G56" s="20">
        <f t="shared" si="26"/>
        <v>88.888788817168376</v>
      </c>
      <c r="H56" s="24">
        <f t="shared" ref="H56:I56" si="52">SUM(H50:H55)</f>
        <v>5111950788.579999</v>
      </c>
      <c r="I56" s="19">
        <f t="shared" si="52"/>
        <v>4389804427.6200008</v>
      </c>
      <c r="J56" s="20">
        <f t="shared" si="30"/>
        <v>85.873370248922214</v>
      </c>
      <c r="K56" s="24">
        <f t="shared" ref="K56:L56" si="53">SUM(K50:K55)</f>
        <v>5069175478.3199997</v>
      </c>
      <c r="L56" s="19">
        <f t="shared" si="53"/>
        <v>4417223752.7399998</v>
      </c>
      <c r="M56" s="20">
        <f t="shared" si="31"/>
        <v>87.138900036736018</v>
      </c>
      <c r="N56" s="24">
        <f t="shared" ref="N56:O56" si="54">SUM(N50:N55)</f>
        <v>4897834816.7999992</v>
      </c>
      <c r="O56" s="19">
        <f t="shared" si="54"/>
        <v>4094063234.27</v>
      </c>
      <c r="P56" s="20">
        <f t="shared" si="29"/>
        <v>83.589246828557933</v>
      </c>
      <c r="Q56" s="13">
        <f t="shared" si="32"/>
        <v>-3.3800499164567412</v>
      </c>
      <c r="R56" s="13">
        <f t="shared" si="32"/>
        <v>-7.3159191510174963</v>
      </c>
    </row>
    <row r="57" spans="1:18">
      <c r="A57" s="14" t="s">
        <v>69</v>
      </c>
      <c r="B57" s="15">
        <f t="shared" ref="B57:C57" si="55">B56-B55</f>
        <v>4115486905.6900005</v>
      </c>
      <c r="C57" s="15">
        <f t="shared" si="55"/>
        <v>3525914301.6399999</v>
      </c>
      <c r="D57" s="21">
        <f t="shared" si="25"/>
        <v>85.674292797897905</v>
      </c>
      <c r="E57" s="15">
        <f t="shared" ref="E57:F57" si="56">E56-E55</f>
        <v>4571433531.0799999</v>
      </c>
      <c r="F57" s="15">
        <f t="shared" si="56"/>
        <v>4061261578.3000002</v>
      </c>
      <c r="G57" s="21">
        <f t="shared" si="26"/>
        <v>88.840000640685858</v>
      </c>
      <c r="H57" s="25">
        <f t="shared" ref="H57:I57" si="57">H56-H55</f>
        <v>4844957549.8599987</v>
      </c>
      <c r="I57" s="15">
        <f t="shared" si="57"/>
        <v>4152981395.8800011</v>
      </c>
      <c r="J57" s="21">
        <f t="shared" si="30"/>
        <v>85.7176013028227</v>
      </c>
      <c r="K57" s="25">
        <f t="shared" ref="K57:L57" si="58">K56-K55</f>
        <v>4784349979.8400002</v>
      </c>
      <c r="L57" s="15">
        <f t="shared" si="58"/>
        <v>4183987740.3899999</v>
      </c>
      <c r="M57" s="21">
        <f t="shared" si="31"/>
        <v>87.451540084237777</v>
      </c>
      <c r="N57" s="25">
        <f t="shared" ref="N57:O57" si="59">N56-N55</f>
        <v>4618117190.5499992</v>
      </c>
      <c r="O57" s="15">
        <f t="shared" si="59"/>
        <v>3866013123.4699998</v>
      </c>
      <c r="P57" s="21">
        <f t="shared" si="29"/>
        <v>83.714054103715213</v>
      </c>
      <c r="Q57" s="114">
        <f t="shared" si="32"/>
        <v>-3.4745114799390109</v>
      </c>
      <c r="R57" s="16">
        <f t="shared" si="32"/>
        <v>-7.5997980073039315</v>
      </c>
    </row>
    <row r="58" spans="1:18">
      <c r="A58" s="5" t="s">
        <v>70</v>
      </c>
      <c r="B58" s="19">
        <f>B14-B50</f>
        <v>1394641862.6699996</v>
      </c>
      <c r="C58" s="19">
        <f>C14-C50</f>
        <v>1128078513.96</v>
      </c>
      <c r="D58" s="22"/>
      <c r="E58" s="19">
        <f>E14-E50</f>
        <v>1072484270.0499992</v>
      </c>
      <c r="F58" s="19">
        <f>F14-F50</f>
        <v>894484038.69999981</v>
      </c>
      <c r="G58" s="22"/>
      <c r="H58" s="19">
        <f>H14-H50</f>
        <v>1127477459.0600004</v>
      </c>
      <c r="I58" s="19">
        <f>I14-I50</f>
        <v>1130672295.2599998</v>
      </c>
      <c r="J58" s="22"/>
      <c r="K58" s="19">
        <f>K14-K50</f>
        <v>1117761390.9899998</v>
      </c>
      <c r="L58" s="19">
        <f>L14-L50</f>
        <v>1102138602.7000003</v>
      </c>
      <c r="M58" s="22"/>
      <c r="N58" s="19">
        <f>N14-N50</f>
        <v>1209083992.6300011</v>
      </c>
      <c r="O58" s="19">
        <f>O14-O50</f>
        <v>1298693734.4400005</v>
      </c>
      <c r="P58" s="22"/>
      <c r="Q58" s="13">
        <f t="shared" si="32"/>
        <v>8.1701338385929461</v>
      </c>
      <c r="R58" s="13">
        <f t="shared" si="32"/>
        <v>17.833975804720282</v>
      </c>
    </row>
    <row r="59" spans="1:18">
      <c r="A59" s="5" t="s">
        <v>71</v>
      </c>
      <c r="B59" s="19">
        <f>B15-B51</f>
        <v>-934158821.0200001</v>
      </c>
      <c r="C59" s="19">
        <f>C15-C51</f>
        <v>-525127634.08999997</v>
      </c>
      <c r="D59" s="22"/>
      <c r="E59" s="19">
        <f>E15-E51</f>
        <v>-966418042.95000005</v>
      </c>
      <c r="F59" s="19">
        <f>F15-F51</f>
        <v>-677907627.64999998</v>
      </c>
      <c r="G59" s="22"/>
      <c r="H59" s="19">
        <f>H15-H51</f>
        <v>-1072772063.4399999</v>
      </c>
      <c r="I59" s="19">
        <f>I15-I51</f>
        <v>-663068879.78999996</v>
      </c>
      <c r="J59" s="22"/>
      <c r="K59" s="19">
        <f>K15-K51</f>
        <v>-963302445.6400001</v>
      </c>
      <c r="L59" s="19">
        <f>L15-L51</f>
        <v>-608831747.50999999</v>
      </c>
      <c r="M59" s="22"/>
      <c r="N59" s="19">
        <f>N15-N51</f>
        <v>-1073782817.0500002</v>
      </c>
      <c r="O59" s="19">
        <f>O15-O51</f>
        <v>-673948338.01000011</v>
      </c>
      <c r="P59" s="22"/>
      <c r="Q59" s="13" t="str">
        <f t="shared" si="32"/>
        <v>-</v>
      </c>
      <c r="R59" s="13" t="str">
        <f t="shared" si="32"/>
        <v>-</v>
      </c>
    </row>
    <row r="60" spans="1:18">
      <c r="A60" s="5" t="s">
        <v>368</v>
      </c>
      <c r="B60" s="19">
        <f>SUM(B14:B16)-SUM(B50:B52)</f>
        <v>453064272.30999947</v>
      </c>
      <c r="C60" s="19">
        <f>SUM(C14:C16)-SUM(C50:C52)</f>
        <v>577522240.46000004</v>
      </c>
      <c r="D60" s="22"/>
      <c r="E60" s="19">
        <f>SUM(E14:E16)-SUM(E50:E52)</f>
        <v>99831848.019999504</v>
      </c>
      <c r="F60" s="19">
        <f>SUM(F14:F16)-SUM(F50:F52)</f>
        <v>207671751.21000051</v>
      </c>
      <c r="G60" s="22"/>
      <c r="H60" s="19">
        <f>SUM(H14:H16)-SUM(H50:H52)</f>
        <v>62873565.270001411</v>
      </c>
      <c r="I60" s="19">
        <f>SUM(I14:I16)-SUM(I50:I52)</f>
        <v>475771030.19999981</v>
      </c>
      <c r="J60" s="22"/>
      <c r="K60" s="19">
        <f>SUM(K14:K16)-SUM(K50:K52)</f>
        <v>169577852.09999943</v>
      </c>
      <c r="L60" s="19">
        <f>SUM(L14:L16)-SUM(L50:L52)</f>
        <v>508770511.94000053</v>
      </c>
      <c r="M60" s="22"/>
      <c r="N60" s="19">
        <f>SUM(N14:N16)-SUM(N50:N52)</f>
        <v>171642073.00000095</v>
      </c>
      <c r="O60" s="19">
        <f>SUM(O14:O16)-SUM(O50:O52)</f>
        <v>661052420.95000076</v>
      </c>
      <c r="P60" s="22"/>
      <c r="Q60" s="13">
        <f t="shared" si="32"/>
        <v>1.2172703418747517</v>
      </c>
      <c r="R60" s="13">
        <f t="shared" si="32"/>
        <v>29.931355185922968</v>
      </c>
    </row>
    <row r="61" spans="1:18">
      <c r="A61" s="5" t="s">
        <v>369</v>
      </c>
      <c r="B61" s="28">
        <f>B21-B57</f>
        <v>467601092.3399992</v>
      </c>
      <c r="C61" s="28">
        <f>C21-C57</f>
        <v>573887254.24000072</v>
      </c>
      <c r="D61" s="107"/>
      <c r="E61" s="28">
        <f>E21-E57</f>
        <v>94198955.109999657</v>
      </c>
      <c r="F61" s="28">
        <f>F21-F57</f>
        <v>195265730.63000011</v>
      </c>
      <c r="G61" s="107"/>
      <c r="H61" s="28">
        <f>H21-H57</f>
        <v>56559648.500001907</v>
      </c>
      <c r="I61" s="28">
        <f>I21-I57</f>
        <v>467805131.04999924</v>
      </c>
      <c r="J61" s="107"/>
      <c r="K61" s="28">
        <f>K21-K57</f>
        <v>171362663.63000107</v>
      </c>
      <c r="L61" s="28">
        <f>L21-L57</f>
        <v>500775587.79000044</v>
      </c>
      <c r="M61" s="107"/>
      <c r="N61" s="28">
        <f>N21-N57</f>
        <v>167434428.98000145</v>
      </c>
      <c r="O61" s="28">
        <f>O21-O57</f>
        <v>656844776.93000078</v>
      </c>
      <c r="P61" s="107"/>
    </row>
    <row r="62" spans="1:18">
      <c r="A62" s="5" t="s">
        <v>370</v>
      </c>
      <c r="C62" s="6">
        <f>SUM(C14:C16)/SUM(B14:B16)*100</f>
        <v>89.81110240890014</v>
      </c>
      <c r="D62" s="107"/>
      <c r="F62" s="6">
        <f>SUM(F14:F16)/SUM(E14:E16)*100</f>
        <v>91.364151208938623</v>
      </c>
      <c r="G62" s="107"/>
      <c r="I62" s="6">
        <f>SUM(I14:I16)/SUM(H14:H16)*100</f>
        <v>94.304359880352692</v>
      </c>
      <c r="J62" s="107"/>
      <c r="L62" s="6">
        <f>SUM(L14:L16)/SUM(K14:K16)*100</f>
        <v>94.71950824082856</v>
      </c>
      <c r="M62" s="107"/>
      <c r="O62" s="6">
        <f>SUM(O14:O16)/SUM(N14:N16)*100</f>
        <v>94.504848361030895</v>
      </c>
      <c r="P62" s="107"/>
    </row>
    <row r="63" spans="1:18">
      <c r="A63" s="5" t="s">
        <v>371</v>
      </c>
      <c r="C63" s="6">
        <f>SUM(C50:C52)/SUM(B50:B52)*100</f>
        <v>85.661628492545674</v>
      </c>
      <c r="D63" s="107"/>
      <c r="F63" s="6">
        <f>SUM(F50:F52)/SUM(E50:E52)*100</f>
        <v>88.809632062868417</v>
      </c>
      <c r="G63" s="107"/>
      <c r="I63" s="6">
        <f>SUM(I50:I52)/SUM(H50:H52)*100</f>
        <v>85.694080040877751</v>
      </c>
      <c r="J63" s="107"/>
      <c r="L63" s="6">
        <f>SUM(L50:L52)/SUM(K50:K52)*100</f>
        <v>87.430535786178666</v>
      </c>
      <c r="M63" s="107"/>
      <c r="O63" s="6">
        <f>SUM(O50:O52)/SUM(N50:N52)*100</f>
        <v>83.681206209928888</v>
      </c>
      <c r="P63" s="107"/>
    </row>
  </sheetData>
  <mergeCells count="6">
    <mergeCell ref="Q1:R1"/>
    <mergeCell ref="B1:D1"/>
    <mergeCell ref="E1:G1"/>
    <mergeCell ref="N1:P1"/>
    <mergeCell ref="H1:J1"/>
    <mergeCell ref="K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9"/>
  <sheetViews>
    <sheetView showGridLines="0" tabSelected="1" workbookViewId="0">
      <selection activeCell="J6" sqref="J6"/>
    </sheetView>
  </sheetViews>
  <sheetFormatPr defaultRowHeight="15"/>
  <cols>
    <col min="1" max="2" width="10.28515625" bestFit="1" customWidth="1"/>
    <col min="3" max="3" width="50.7109375" bestFit="1" customWidth="1"/>
    <col min="4" max="4" width="7.42578125" customWidth="1"/>
    <col min="5" max="9" width="7.5703125" customWidth="1"/>
  </cols>
  <sheetData>
    <row r="1" spans="1:9" ht="23.25" customHeight="1">
      <c r="A1" s="74" t="s">
        <v>308</v>
      </c>
      <c r="B1" s="74" t="s">
        <v>309</v>
      </c>
      <c r="C1" s="74" t="s">
        <v>319</v>
      </c>
      <c r="D1" s="42" t="s">
        <v>210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</row>
    <row r="2" spans="1:9" ht="29.25" customHeight="1">
      <c r="A2" s="75" t="s">
        <v>310</v>
      </c>
      <c r="B2" s="75" t="s">
        <v>77</v>
      </c>
      <c r="C2" s="77" t="s">
        <v>318</v>
      </c>
      <c r="D2" s="89" t="s">
        <v>325</v>
      </c>
      <c r="E2" s="82">
        <f>Piano_indicatori!D3</f>
        <v>16.71</v>
      </c>
      <c r="F2" s="82">
        <f>Piano_indicatori!E3</f>
        <v>17.350000000000001</v>
      </c>
      <c r="G2" s="82">
        <f>Piano_indicatori!F3</f>
        <v>16.850000000000001</v>
      </c>
      <c r="H2" s="82">
        <f>Piano_indicatori!G3</f>
        <v>16.57</v>
      </c>
      <c r="I2" s="82">
        <f>Piano_indicatori!H3</f>
        <v>16.309999999999999</v>
      </c>
    </row>
    <row r="3" spans="1:9" ht="29.25" customHeight="1">
      <c r="A3" s="76" t="s">
        <v>311</v>
      </c>
      <c r="B3" s="76" t="s">
        <v>94</v>
      </c>
      <c r="C3" s="78" t="s">
        <v>95</v>
      </c>
      <c r="D3" s="90" t="s">
        <v>326</v>
      </c>
      <c r="E3" s="83">
        <f>Piano_indicatori!D12</f>
        <v>105.83</v>
      </c>
      <c r="F3" s="83">
        <f>Piano_indicatori!E12</f>
        <v>116.94</v>
      </c>
      <c r="G3" s="83">
        <f>Piano_indicatori!F12</f>
        <v>99.31</v>
      </c>
      <c r="H3" s="83">
        <f>Piano_indicatori!G12</f>
        <v>114.37</v>
      </c>
      <c r="I3" s="83">
        <f>Piano_indicatori!H12</f>
        <v>102.64</v>
      </c>
    </row>
    <row r="4" spans="1:9" ht="29.25" customHeight="1">
      <c r="A4" s="75" t="s">
        <v>312</v>
      </c>
      <c r="B4" s="75" t="s">
        <v>99</v>
      </c>
      <c r="C4" s="79" t="s">
        <v>321</v>
      </c>
      <c r="D4" s="89" t="s">
        <v>327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</row>
    <row r="5" spans="1:9" ht="29.25" customHeight="1">
      <c r="A5" s="76" t="s">
        <v>313</v>
      </c>
      <c r="B5" s="76" t="s">
        <v>164</v>
      </c>
      <c r="C5" s="80" t="s">
        <v>322</v>
      </c>
      <c r="D5" s="91" t="s">
        <v>328</v>
      </c>
      <c r="E5" s="85">
        <f>Piano_indicatori!D51</f>
        <v>0</v>
      </c>
      <c r="F5" s="85">
        <f>Piano_indicatori!E51</f>
        <v>0.23</v>
      </c>
      <c r="G5" s="85">
        <f>Piano_indicatori!F51</f>
        <v>0.15</v>
      </c>
      <c r="H5" s="85">
        <f>Piano_indicatori!G51</f>
        <v>0.15</v>
      </c>
      <c r="I5" s="85">
        <f>Piano_indicatori!H51</f>
        <v>0.18</v>
      </c>
    </row>
    <row r="6" spans="1:9" ht="29.25" customHeight="1">
      <c r="A6" s="75" t="s">
        <v>314</v>
      </c>
      <c r="B6" s="75" t="s">
        <v>184</v>
      </c>
      <c r="C6" s="93" t="s">
        <v>185</v>
      </c>
      <c r="D6" s="92" t="s">
        <v>329</v>
      </c>
      <c r="E6" s="86">
        <f>Piano_indicatori!D62</f>
        <v>0.27</v>
      </c>
      <c r="F6" s="86">
        <f>Piano_indicatori!E62</f>
        <v>0.26</v>
      </c>
      <c r="G6" s="86">
        <f>Piano_indicatori!F62</f>
        <v>0.57999999999999996</v>
      </c>
      <c r="H6" s="86">
        <f>Piano_indicatori!G62</f>
        <v>0</v>
      </c>
      <c r="I6" s="86">
        <f>Piano_indicatori!H62</f>
        <v>0</v>
      </c>
    </row>
    <row r="7" spans="1:9" ht="29.25" customHeight="1">
      <c r="A7" s="76" t="s">
        <v>315</v>
      </c>
      <c r="B7" s="76" t="s">
        <v>187</v>
      </c>
      <c r="C7" s="80" t="s">
        <v>188</v>
      </c>
      <c r="D7" s="90" t="s">
        <v>330</v>
      </c>
      <c r="E7" s="87">
        <f>Piano_indicatori!D65</f>
        <v>0.18</v>
      </c>
      <c r="F7" s="87">
        <f>Piano_indicatori!E65</f>
        <v>0.08</v>
      </c>
      <c r="G7" s="87">
        <f>Piano_indicatori!F65</f>
        <v>0.04</v>
      </c>
      <c r="H7" s="87">
        <f>Piano_indicatori!G65</f>
        <v>0.04</v>
      </c>
      <c r="I7" s="87">
        <f>Piano_indicatori!H65</f>
        <v>0.04</v>
      </c>
    </row>
    <row r="8" spans="1:9" ht="29.25" customHeight="1">
      <c r="A8" s="75" t="s">
        <v>316</v>
      </c>
      <c r="B8" s="75" t="s">
        <v>320</v>
      </c>
      <c r="C8" s="79" t="s">
        <v>323</v>
      </c>
      <c r="D8" s="89" t="s">
        <v>331</v>
      </c>
      <c r="E8" s="84">
        <f>Piano_indicatori!D66+Piano_indicatori!D67</f>
        <v>0</v>
      </c>
      <c r="F8" s="84">
        <f>Piano_indicatori!E66+Piano_indicatori!E67</f>
        <v>0</v>
      </c>
      <c r="G8" s="84">
        <f>Piano_indicatori!F66+Piano_indicatori!F67</f>
        <v>0</v>
      </c>
      <c r="H8" s="84">
        <f>Piano_indicatori!G66+Piano_indicatori!G67</f>
        <v>0</v>
      </c>
      <c r="I8" s="84">
        <f>Piano_indicatori!H66+Piano_indicatori!H67</f>
        <v>0</v>
      </c>
    </row>
    <row r="9" spans="1:9" ht="29.25" customHeight="1">
      <c r="A9" s="76" t="s">
        <v>317</v>
      </c>
      <c r="B9" s="76"/>
      <c r="C9" s="81" t="s">
        <v>324</v>
      </c>
      <c r="D9" s="91" t="s">
        <v>332</v>
      </c>
      <c r="E9" s="88">
        <f>Piano_indicatori!D77</f>
        <v>71.576379785015206</v>
      </c>
      <c r="F9" s="88">
        <f>Piano_indicatori!E77</f>
        <v>74.27436537346162</v>
      </c>
      <c r="G9" s="88">
        <f>Piano_indicatori!F77</f>
        <v>76.262141615953183</v>
      </c>
      <c r="H9" s="88">
        <f>Piano_indicatori!G77</f>
        <v>84.511404079033454</v>
      </c>
      <c r="I9" s="88">
        <f>Piano_indicatori!H77</f>
        <v>82.185023623732107</v>
      </c>
    </row>
  </sheetData>
  <conditionalFormatting sqref="E2:F2 I2">
    <cfRule type="cellIs" dxfId="31" priority="24" operator="greaterThan">
      <formula>48</formula>
    </cfRule>
  </conditionalFormatting>
  <conditionalFormatting sqref="E3:F3 I3">
    <cfRule type="cellIs" dxfId="30" priority="23" operator="lessThan">
      <formula>22</formula>
    </cfRule>
  </conditionalFormatting>
  <conditionalFormatting sqref="E4:F4 I4">
    <cfRule type="cellIs" dxfId="29" priority="22" operator="greaterThan">
      <formula>0</formula>
    </cfRule>
  </conditionalFormatting>
  <conditionalFormatting sqref="E5:F5 I5">
    <cfRule type="cellIs" dxfId="28" priority="21" operator="greaterThan">
      <formula>16</formula>
    </cfRule>
  </conditionalFormatting>
  <conditionalFormatting sqref="E6:F6 I6">
    <cfRule type="cellIs" dxfId="27" priority="20" operator="greaterThan">
      <formula>1.2</formula>
    </cfRule>
  </conditionalFormatting>
  <conditionalFormatting sqref="E7:F7 I7">
    <cfRule type="cellIs" dxfId="26" priority="19" operator="greaterThan">
      <formula>1</formula>
    </cfRule>
  </conditionalFormatting>
  <conditionalFormatting sqref="E8:F8 I8">
    <cfRule type="cellIs" dxfId="25" priority="18" operator="greaterThan">
      <formula>0.6</formula>
    </cfRule>
  </conditionalFormatting>
  <conditionalFormatting sqref="E9:F9 I9">
    <cfRule type="cellIs" dxfId="24" priority="17" operator="lessThan">
      <formula>47</formula>
    </cfRule>
  </conditionalFormatting>
  <conditionalFormatting sqref="G2:H2">
    <cfRule type="cellIs" dxfId="23" priority="16" operator="greaterThan">
      <formula>48</formula>
    </cfRule>
  </conditionalFormatting>
  <conditionalFormatting sqref="G3:H3">
    <cfRule type="cellIs" dxfId="22" priority="15" operator="lessThan">
      <formula>22</formula>
    </cfRule>
  </conditionalFormatting>
  <conditionalFormatting sqref="G4:H4">
    <cfRule type="cellIs" dxfId="21" priority="14" operator="greaterThan">
      <formula>0</formula>
    </cfRule>
  </conditionalFormatting>
  <conditionalFormatting sqref="G5:H5">
    <cfRule type="cellIs" dxfId="20" priority="13" operator="greaterThan">
      <formula>16</formula>
    </cfRule>
  </conditionalFormatting>
  <conditionalFormatting sqref="G6:H6">
    <cfRule type="cellIs" dxfId="19" priority="12" operator="greaterThan">
      <formula>1.2</formula>
    </cfRule>
  </conditionalFormatting>
  <conditionalFormatting sqref="G7:H7">
    <cfRule type="cellIs" dxfId="18" priority="11" operator="greaterThan">
      <formula>1</formula>
    </cfRule>
  </conditionalFormatting>
  <conditionalFormatting sqref="G8:H8">
    <cfRule type="cellIs" dxfId="17" priority="10" operator="greaterThan">
      <formula>0.6</formula>
    </cfRule>
  </conditionalFormatting>
  <conditionalFormatting sqref="G9:H9">
    <cfRule type="cellIs" dxfId="16" priority="9" operator="lessThan">
      <formula>47</formula>
    </cfRule>
  </conditionalFormatting>
  <conditionalFormatting sqref="H2">
    <cfRule type="cellIs" dxfId="15" priority="8" operator="greaterThan">
      <formula>48</formula>
    </cfRule>
  </conditionalFormatting>
  <conditionalFormatting sqref="H3">
    <cfRule type="cellIs" dxfId="13" priority="7" operator="lessThan">
      <formula>22</formula>
    </cfRule>
  </conditionalFormatting>
  <conditionalFormatting sqref="H4">
    <cfRule type="cellIs" dxfId="11" priority="6" operator="greaterThan">
      <formula>0</formula>
    </cfRule>
  </conditionalFormatting>
  <conditionalFormatting sqref="H5">
    <cfRule type="cellIs" dxfId="9" priority="5" operator="greaterThan">
      <formula>16</formula>
    </cfRule>
  </conditionalFormatting>
  <conditionalFormatting sqref="H6">
    <cfRule type="cellIs" dxfId="7" priority="4" operator="greaterThan">
      <formula>1.2</formula>
    </cfRule>
  </conditionalFormatting>
  <conditionalFormatting sqref="H7">
    <cfRule type="cellIs" dxfId="5" priority="3" operator="greaterThan">
      <formula>1</formula>
    </cfRule>
  </conditionalFormatting>
  <conditionalFormatting sqref="H8">
    <cfRule type="cellIs" dxfId="3" priority="2" operator="greaterThan">
      <formula>0.6</formula>
    </cfRule>
  </conditionalFormatting>
  <conditionalFormatting sqref="H9">
    <cfRule type="cellIs" dxfId="1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9"/>
  <sheetViews>
    <sheetView workbookViewId="0">
      <selection activeCell="J10" sqref="J10"/>
    </sheetView>
  </sheetViews>
  <sheetFormatPr defaultRowHeight="15"/>
  <cols>
    <col min="2" max="2" width="12.28515625" bestFit="1" customWidth="1"/>
    <col min="5" max="5" width="10.28515625" customWidth="1"/>
  </cols>
  <sheetData>
    <row r="1" spans="1:19" ht="30">
      <c r="A1" s="100" t="s">
        <v>362</v>
      </c>
      <c r="B1" s="100" t="s">
        <v>363</v>
      </c>
      <c r="C1" s="100" t="s">
        <v>232</v>
      </c>
      <c r="D1" s="100" t="s">
        <v>346</v>
      </c>
      <c r="E1" s="100" t="s">
        <v>347</v>
      </c>
      <c r="F1" s="101" t="s">
        <v>348</v>
      </c>
    </row>
    <row r="2" spans="1:19">
      <c r="A2" s="31">
        <v>2021</v>
      </c>
      <c r="B2" s="95">
        <v>542166</v>
      </c>
      <c r="C2" s="102">
        <f>B2/B3*100-100</f>
        <v>-0.59751569876701183</v>
      </c>
    </row>
    <row r="3" spans="1:19">
      <c r="A3" s="31">
        <v>2020</v>
      </c>
      <c r="B3" s="95">
        <v>545425</v>
      </c>
      <c r="C3" s="102">
        <f>B3/B4*100-100</f>
        <v>0.31339602479947359</v>
      </c>
      <c r="D3" s="95">
        <v>-2478</v>
      </c>
      <c r="E3" s="95">
        <v>-781</v>
      </c>
      <c r="F3" s="1">
        <f t="shared" ref="F3:F8" si="0">B2-B3-D3-E3</f>
        <v>0</v>
      </c>
    </row>
    <row r="4" spans="1:19">
      <c r="A4" s="31">
        <v>2019</v>
      </c>
      <c r="B4" s="95">
        <v>543721</v>
      </c>
      <c r="C4" s="102">
        <f>B4/B5*100-100</f>
        <v>0.32382105150507812</v>
      </c>
      <c r="D4" s="95">
        <v>-835</v>
      </c>
      <c r="E4" s="95">
        <v>2539</v>
      </c>
      <c r="F4" s="1">
        <f t="shared" si="0"/>
        <v>0</v>
      </c>
      <c r="J4" s="105"/>
      <c r="K4" s="106"/>
      <c r="L4" s="106"/>
      <c r="M4" s="106"/>
      <c r="N4" s="106"/>
      <c r="O4" s="106"/>
      <c r="P4" s="106"/>
      <c r="Q4" s="106"/>
      <c r="R4" s="106"/>
      <c r="S4" s="106"/>
    </row>
    <row r="5" spans="1:19">
      <c r="A5" s="31">
        <v>2018</v>
      </c>
      <c r="B5" s="95">
        <v>541966</v>
      </c>
      <c r="C5" s="102">
        <f t="shared" ref="C5:C7" si="1">B5/B6*100-100</f>
        <v>0.31206041311912713</v>
      </c>
      <c r="D5" s="95">
        <v>-661</v>
      </c>
      <c r="E5" s="95">
        <v>2416</v>
      </c>
      <c r="F5" s="1">
        <f t="shared" si="0"/>
        <v>0</v>
      </c>
      <c r="J5" s="105"/>
      <c r="K5" s="106"/>
      <c r="L5" s="106"/>
      <c r="M5" s="106"/>
      <c r="N5" s="106"/>
      <c r="O5" s="106"/>
      <c r="P5" s="106"/>
      <c r="Q5" s="106"/>
      <c r="R5" s="106"/>
      <c r="S5" s="106"/>
    </row>
    <row r="6" spans="1:19">
      <c r="A6" s="31">
        <v>2017</v>
      </c>
      <c r="B6" s="95">
        <v>540280</v>
      </c>
      <c r="C6" s="102">
        <f t="shared" si="1"/>
        <v>0.1421652490301426</v>
      </c>
      <c r="D6" s="95">
        <v>-567</v>
      </c>
      <c r="E6" s="95">
        <v>2253</v>
      </c>
      <c r="F6" s="1">
        <f t="shared" si="0"/>
        <v>0</v>
      </c>
      <c r="J6" s="105"/>
      <c r="K6" s="106"/>
      <c r="L6" s="106"/>
      <c r="M6" s="106"/>
      <c r="N6" s="106"/>
      <c r="O6" s="106"/>
      <c r="P6" s="106"/>
      <c r="Q6" s="106"/>
      <c r="R6" s="106"/>
      <c r="S6" s="106"/>
    </row>
    <row r="7" spans="1:19">
      <c r="A7" s="31">
        <v>2016</v>
      </c>
      <c r="B7" s="95">
        <v>539513</v>
      </c>
      <c r="C7" s="102">
        <f t="shared" si="1"/>
        <v>0.24619649639159036</v>
      </c>
      <c r="D7" s="95">
        <v>-317</v>
      </c>
      <c r="E7" s="95">
        <v>1084</v>
      </c>
      <c r="F7" s="1">
        <f t="shared" si="0"/>
        <v>0</v>
      </c>
      <c r="J7" s="105"/>
      <c r="K7" s="106"/>
      <c r="L7" s="106"/>
      <c r="M7" s="106"/>
      <c r="N7" s="106"/>
      <c r="O7" s="106"/>
      <c r="P7" s="106"/>
      <c r="Q7" s="106"/>
      <c r="R7" s="106"/>
      <c r="S7" s="106"/>
    </row>
    <row r="8" spans="1:19">
      <c r="A8" s="103">
        <v>2015</v>
      </c>
      <c r="B8" s="104">
        <v>538188</v>
      </c>
      <c r="C8" s="104"/>
      <c r="D8" s="104">
        <v>-215</v>
      </c>
      <c r="E8" s="104">
        <v>1540</v>
      </c>
      <c r="F8" s="1">
        <f t="shared" si="0"/>
        <v>0</v>
      </c>
    </row>
    <row r="9" spans="1:19">
      <c r="A9" t="s">
        <v>364</v>
      </c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showGridLines="0" workbookViewId="0">
      <selection activeCell="J2" sqref="J2"/>
    </sheetView>
  </sheetViews>
  <sheetFormatPr defaultRowHeight="15"/>
  <cols>
    <col min="1" max="1" width="55.7109375" bestFit="1" customWidth="1"/>
    <col min="2" max="6" width="15.28515625" bestFit="1" customWidth="1"/>
    <col min="7" max="7" width="8.42578125" customWidth="1"/>
    <col min="8" max="8" width="6.5703125" bestFit="1" customWidth="1"/>
    <col min="9" max="9" width="15.28515625" bestFit="1" customWidth="1"/>
    <col min="10" max="10" width="7" bestFit="1" customWidth="1"/>
  </cols>
  <sheetData>
    <row r="1" spans="1:10" ht="30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295</v>
      </c>
      <c r="H1" s="42" t="s">
        <v>232</v>
      </c>
      <c r="I1" s="54" t="s">
        <v>372</v>
      </c>
      <c r="J1" s="42" t="s">
        <v>267</v>
      </c>
    </row>
    <row r="2" spans="1:10">
      <c r="A2" s="55" t="s">
        <v>19</v>
      </c>
      <c r="B2" s="56">
        <f>Entrate_Uscite!B3</f>
        <v>4142169736.5100002</v>
      </c>
      <c r="C2" s="56">
        <f>Entrate_Uscite!E3</f>
        <v>4235526007.9099998</v>
      </c>
      <c r="D2" s="56">
        <f>Entrate_Uscite!H3</f>
        <v>4262981159.5500002</v>
      </c>
      <c r="E2" s="56">
        <f>Entrate_Uscite!K3</f>
        <v>4300716461.25</v>
      </c>
      <c r="F2" s="56">
        <f>Entrate_Uscite!N3</f>
        <v>4052904794.7600002</v>
      </c>
      <c r="G2" s="56">
        <f>F2/F$21*100</f>
        <v>84.690441499365647</v>
      </c>
      <c r="H2" s="57">
        <f>IF(E2&gt;0,F2/E2*100-100,"-")</f>
        <v>-5.7621019363358243</v>
      </c>
      <c r="I2" s="56">
        <f>Entrate_Uscite!O3</f>
        <v>3862099083.6399999</v>
      </c>
      <c r="J2" s="58">
        <f>IF(F2&gt;0,I2/F2*100,"-")</f>
        <v>95.292124518525739</v>
      </c>
    </row>
    <row r="3" spans="1:10">
      <c r="A3" s="55" t="s">
        <v>20</v>
      </c>
      <c r="B3" s="56">
        <f>Entrate_Uscite!B4</f>
        <v>78616695.280000001</v>
      </c>
      <c r="C3" s="56">
        <f>Entrate_Uscite!E4</f>
        <v>71104544.859999999</v>
      </c>
      <c r="D3" s="56">
        <f>Entrate_Uscite!H4</f>
        <v>144541720.74000001</v>
      </c>
      <c r="E3" s="56">
        <f>Entrate_Uscite!K4</f>
        <v>142817357.31999999</v>
      </c>
      <c r="F3" s="56">
        <f>Entrate_Uscite!N4</f>
        <v>336203064.55000001</v>
      </c>
      <c r="G3" s="56">
        <f t="shared" ref="G3:G21" si="0">F3/F$21*100</f>
        <v>7.0253774544598731</v>
      </c>
      <c r="H3" s="57">
        <f t="shared" ref="H3:H21" si="1">IF(E3&gt;0,F3/E3*100-100,"-")</f>
        <v>135.40770593919854</v>
      </c>
      <c r="I3" s="56">
        <f>Entrate_Uscite!O4</f>
        <v>307913517.81</v>
      </c>
      <c r="J3" s="58">
        <f t="shared" ref="J3:J21" si="2">IF(F3&gt;0,I3/F3*100,"-")</f>
        <v>91.585577371858605</v>
      </c>
    </row>
    <row r="4" spans="1:10">
      <c r="A4" s="55" t="s">
        <v>21</v>
      </c>
      <c r="B4" s="56">
        <f>Entrate_Uscite!B5</f>
        <v>181622271.91999999</v>
      </c>
      <c r="C4" s="56">
        <f>Entrate_Uscite!E5</f>
        <v>190156930.91</v>
      </c>
      <c r="D4" s="56">
        <f>Entrate_Uscite!H5</f>
        <v>256645047.25999999</v>
      </c>
      <c r="E4" s="56">
        <f>Entrate_Uscite!K5</f>
        <v>184307914.30000001</v>
      </c>
      <c r="F4" s="56">
        <f>Entrate_Uscite!N5</f>
        <v>207851927.06</v>
      </c>
      <c r="G4" s="56">
        <f t="shared" si="0"/>
        <v>4.3433222245842913</v>
      </c>
      <c r="H4" s="57">
        <f t="shared" si="1"/>
        <v>12.774282021160062</v>
      </c>
      <c r="I4" s="56">
        <f>Entrate_Uscite!O5</f>
        <v>178499001.43000001</v>
      </c>
      <c r="J4" s="58">
        <f t="shared" si="2"/>
        <v>85.877963199481528</v>
      </c>
    </row>
    <row r="5" spans="1:10">
      <c r="A5" s="4" t="s">
        <v>30</v>
      </c>
      <c r="B5" s="43">
        <f>SUM(B2:B4)</f>
        <v>4402408703.71</v>
      </c>
      <c r="C5" s="43">
        <f>SUM(C2:C4)</f>
        <v>4496787483.6799994</v>
      </c>
      <c r="D5" s="43">
        <f>SUM(D2:D4)</f>
        <v>4664167927.5500002</v>
      </c>
      <c r="E5" s="43">
        <f>SUM(E2:E4)</f>
        <v>4627841732.8699999</v>
      </c>
      <c r="F5" s="43">
        <f>SUM(F2:F4)</f>
        <v>4596959786.3700008</v>
      </c>
      <c r="G5" s="43">
        <f t="shared" si="0"/>
        <v>96.059141178409817</v>
      </c>
      <c r="H5" s="44">
        <f t="shared" si="1"/>
        <v>-0.66730774911023616</v>
      </c>
      <c r="I5" s="43">
        <f>SUM(I2:I4)</f>
        <v>4348511602.8800001</v>
      </c>
      <c r="J5" s="45">
        <f>IF(F5&gt;0,I5/F5*100,"-")</f>
        <v>94.595380533311385</v>
      </c>
    </row>
    <row r="6" spans="1:10">
      <c r="A6" s="55" t="s">
        <v>22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0</v>
      </c>
      <c r="F6" s="56">
        <f>Entrate_Uscite!N6</f>
        <v>0</v>
      </c>
      <c r="G6" s="56">
        <f t="shared" si="0"/>
        <v>0</v>
      </c>
      <c r="H6" s="57" t="str">
        <f t="shared" si="1"/>
        <v>-</v>
      </c>
      <c r="I6" s="56">
        <f>Entrate_Uscite!O6</f>
        <v>0</v>
      </c>
      <c r="J6" s="58" t="str">
        <f t="shared" si="2"/>
        <v>-</v>
      </c>
    </row>
    <row r="7" spans="1:10">
      <c r="A7" s="55" t="s">
        <v>23</v>
      </c>
      <c r="B7" s="56">
        <f>Entrate_Uscite!B7</f>
        <v>112999177.8</v>
      </c>
      <c r="C7" s="56">
        <f>Entrate_Uscite!E7</f>
        <v>111157533.90000001</v>
      </c>
      <c r="D7" s="56">
        <f>Entrate_Uscite!H7</f>
        <v>110720309.23999999</v>
      </c>
      <c r="E7" s="56">
        <f>Entrate_Uscite!K7</f>
        <v>242115206.78999999</v>
      </c>
      <c r="F7" s="56">
        <f>Entrate_Uscite!N7</f>
        <v>109554607.48999999</v>
      </c>
      <c r="G7" s="56">
        <f t="shared" si="0"/>
        <v>2.2892785659839898</v>
      </c>
      <c r="H7" s="57">
        <f t="shared" si="1"/>
        <v>-54.751042306474034</v>
      </c>
      <c r="I7" s="56">
        <f>Entrate_Uscite!O7</f>
        <v>95985719.180000007</v>
      </c>
      <c r="J7" s="58">
        <f t="shared" si="2"/>
        <v>87.614497809926846</v>
      </c>
    </row>
    <row r="8" spans="1:10">
      <c r="A8" s="55" t="s">
        <v>24</v>
      </c>
      <c r="B8" s="56">
        <f>Entrate_Uscite!B8</f>
        <v>0</v>
      </c>
      <c r="C8" s="56">
        <f>Entrate_Uscite!E8</f>
        <v>0</v>
      </c>
      <c r="D8" s="56">
        <f>Entrate_Uscite!H8</f>
        <v>0</v>
      </c>
      <c r="E8" s="56">
        <f>Entrate_Uscite!K8</f>
        <v>0</v>
      </c>
      <c r="F8" s="56">
        <f>Entrate_Uscite!N8</f>
        <v>0</v>
      </c>
      <c r="G8" s="56">
        <f t="shared" si="0"/>
        <v>0</v>
      </c>
      <c r="H8" s="57" t="str">
        <f t="shared" si="1"/>
        <v>-</v>
      </c>
      <c r="I8" s="56">
        <f>Entrate_Uscite!O8</f>
        <v>0</v>
      </c>
      <c r="J8" s="58" t="str">
        <f t="shared" si="2"/>
        <v>-</v>
      </c>
    </row>
    <row r="9" spans="1:10">
      <c r="A9" s="55" t="s">
        <v>25</v>
      </c>
      <c r="B9" s="56">
        <f>Entrate_Uscite!B9</f>
        <v>887587.7</v>
      </c>
      <c r="C9" s="56">
        <f>Entrate_Uscite!E9</f>
        <v>17507952.359999999</v>
      </c>
      <c r="D9" s="56">
        <f>Entrate_Uscite!H9</f>
        <v>50384501.600000001</v>
      </c>
      <c r="E9" s="56">
        <f>Entrate_Uscite!K9</f>
        <v>9645190.5</v>
      </c>
      <c r="F9" s="56">
        <f>Entrate_Uscite!N9</f>
        <v>12802364.880000001</v>
      </c>
      <c r="G9" s="56">
        <f t="shared" si="0"/>
        <v>0.26752119500191179</v>
      </c>
      <c r="H9" s="57">
        <f t="shared" si="1"/>
        <v>32.733146950285743</v>
      </c>
      <c r="I9" s="56">
        <f>Entrate_Uscite!O9</f>
        <v>12159590.449999999</v>
      </c>
      <c r="J9" s="58">
        <f t="shared" si="2"/>
        <v>94.979252380127434</v>
      </c>
    </row>
    <row r="10" spans="1:10">
      <c r="A10" s="55" t="s">
        <v>26</v>
      </c>
      <c r="B10" s="56">
        <f>Entrate_Uscite!B10</f>
        <v>8705158.3300000001</v>
      </c>
      <c r="C10" s="56">
        <f>Entrate_Uscite!E10</f>
        <v>0</v>
      </c>
      <c r="D10" s="56">
        <f>Entrate_Uscite!H10</f>
        <v>0</v>
      </c>
      <c r="E10" s="56">
        <f>Entrate_Uscite!K10</f>
        <v>0</v>
      </c>
      <c r="F10" s="56">
        <f>Entrate_Uscite!N10</f>
        <v>0</v>
      </c>
      <c r="G10" s="56">
        <f t="shared" si="0"/>
        <v>0</v>
      </c>
      <c r="H10" s="57" t="str">
        <f t="shared" si="1"/>
        <v>-</v>
      </c>
      <c r="I10" s="56">
        <f>Entrate_Uscite!O10</f>
        <v>0</v>
      </c>
      <c r="J10" s="58" t="str">
        <f t="shared" si="2"/>
        <v>-</v>
      </c>
    </row>
    <row r="11" spans="1:10">
      <c r="A11" s="4" t="s">
        <v>31</v>
      </c>
      <c r="B11" s="46">
        <f>SUM(B6:B10)</f>
        <v>122591923.83</v>
      </c>
      <c r="C11" s="46">
        <f>SUM(C6:C10)</f>
        <v>128665486.26000001</v>
      </c>
      <c r="D11" s="46">
        <f>SUM(D6:D10)</f>
        <v>161104810.84</v>
      </c>
      <c r="E11" s="46">
        <f>SUM(E6:E10)</f>
        <v>251760397.28999999</v>
      </c>
      <c r="F11" s="46">
        <f>SUM(F6:F10)</f>
        <v>122356972.36999999</v>
      </c>
      <c r="G11" s="46">
        <f t="shared" si="0"/>
        <v>2.5567997609859012</v>
      </c>
      <c r="H11" s="44">
        <f t="shared" si="1"/>
        <v>-51.399436254837823</v>
      </c>
      <c r="I11" s="46">
        <f>SUM(I6:I10)</f>
        <v>108145309.63000001</v>
      </c>
      <c r="J11" s="45">
        <f>IF(F11&gt;0,I11/F11*100,"-")</f>
        <v>88.385081401798033</v>
      </c>
    </row>
    <row r="12" spans="1:10">
      <c r="A12" s="55" t="s">
        <v>27</v>
      </c>
      <c r="B12" s="56">
        <f>Entrate_Uscite!B11</f>
        <v>3782103</v>
      </c>
      <c r="C12" s="56">
        <f>Entrate_Uscite!E11</f>
        <v>3652825.23</v>
      </c>
      <c r="D12" s="56">
        <f>Entrate_Uscite!H11</f>
        <v>20207300.399999999</v>
      </c>
      <c r="E12" s="56">
        <f>Entrate_Uscite!K11</f>
        <v>21202.12</v>
      </c>
      <c r="F12" s="56">
        <f>Entrate_Uscite!N11</f>
        <v>1326.36</v>
      </c>
      <c r="G12" s="56">
        <f t="shared" si="0"/>
        <v>2.7715927137575512E-5</v>
      </c>
      <c r="H12" s="57">
        <f t="shared" si="1"/>
        <v>-93.744210484611912</v>
      </c>
      <c r="I12" s="56">
        <f>Entrate_Uscite!O11</f>
        <v>1326.36</v>
      </c>
      <c r="J12" s="58">
        <f t="shared" si="2"/>
        <v>100</v>
      </c>
    </row>
    <row r="13" spans="1:10">
      <c r="A13" s="55" t="s">
        <v>28</v>
      </c>
      <c r="B13" s="56">
        <f>Entrate_Uscite!B12</f>
        <v>25126116.100000001</v>
      </c>
      <c r="C13" s="56">
        <f>Entrate_Uscite!E12</f>
        <v>17652481.879999999</v>
      </c>
      <c r="D13" s="56">
        <f>Entrate_Uscite!H12</f>
        <v>29017754.18</v>
      </c>
      <c r="E13" s="56">
        <f>Entrate_Uscite!K12</f>
        <v>30739220.66</v>
      </c>
      <c r="F13" s="56">
        <f>Entrate_Uscite!N12</f>
        <v>41218164.079999998</v>
      </c>
      <c r="G13" s="56">
        <f t="shared" si="0"/>
        <v>0.8613043460191141</v>
      </c>
      <c r="H13" s="57">
        <f t="shared" si="1"/>
        <v>34.089814884721278</v>
      </c>
      <c r="I13" s="56">
        <f>Entrate_Uscite!O12</f>
        <v>41218164.079999998</v>
      </c>
      <c r="J13" s="58">
        <f t="shared" si="2"/>
        <v>100</v>
      </c>
    </row>
    <row r="14" spans="1:10">
      <c r="A14" s="55" t="s">
        <v>29</v>
      </c>
      <c r="B14" s="56">
        <f>Entrate_Uscite!B13</f>
        <v>11007345.140000001</v>
      </c>
      <c r="C14" s="56">
        <f>Entrate_Uscite!E13</f>
        <v>12101081.470000001</v>
      </c>
      <c r="D14" s="56">
        <f>Entrate_Uscite!H13</f>
        <v>25367423.010000002</v>
      </c>
      <c r="E14" s="56">
        <f>Entrate_Uscite!K13</f>
        <v>35570354.850000001</v>
      </c>
      <c r="F14" s="56">
        <f>Entrate_Uscite!N13</f>
        <v>19927264.640000001</v>
      </c>
      <c r="G14" s="56">
        <f t="shared" si="0"/>
        <v>0.41640475799437932</v>
      </c>
      <c r="H14" s="57">
        <f t="shared" si="1"/>
        <v>-43.977886293141665</v>
      </c>
      <c r="I14" s="56">
        <f>Entrate_Uscite!O13</f>
        <v>19893391.739999998</v>
      </c>
      <c r="J14" s="58">
        <f t="shared" si="2"/>
        <v>99.830017312401182</v>
      </c>
    </row>
    <row r="15" spans="1:10">
      <c r="A15" s="4" t="s">
        <v>32</v>
      </c>
      <c r="B15" s="43">
        <f>SUM(B12:B14)</f>
        <v>39915564.240000002</v>
      </c>
      <c r="C15" s="43">
        <f>SUM(C12:C14)</f>
        <v>33406388.579999998</v>
      </c>
      <c r="D15" s="43">
        <f>SUM(D12:D14)</f>
        <v>74592477.590000004</v>
      </c>
      <c r="E15" s="43">
        <f>SUM(E12:E14)</f>
        <v>66330777.630000003</v>
      </c>
      <c r="F15" s="43">
        <f>SUM(F12:F14)</f>
        <v>61146755.079999998</v>
      </c>
      <c r="G15" s="43">
        <f t="shared" si="0"/>
        <v>1.2777368199406309</v>
      </c>
      <c r="H15" s="44">
        <f t="shared" si="1"/>
        <v>-7.8154104854868791</v>
      </c>
      <c r="I15" s="43">
        <f>SUM(I12:I14)</f>
        <v>61112882.179999992</v>
      </c>
      <c r="J15" s="45">
        <f t="shared" si="2"/>
        <v>99.944603928768274</v>
      </c>
    </row>
    <row r="16" spans="1:10">
      <c r="A16" s="47" t="s">
        <v>343</v>
      </c>
      <c r="B16" s="48">
        <f>B5+B11+B15</f>
        <v>4564916191.7799997</v>
      </c>
      <c r="C16" s="48">
        <f t="shared" ref="C16:F16" si="3">C5+C11+C15</f>
        <v>4658859358.5199995</v>
      </c>
      <c r="D16" s="48">
        <f t="shared" ref="D16:E16" si="4">D5+D11+D15</f>
        <v>4899865215.9800005</v>
      </c>
      <c r="E16" s="48">
        <f t="shared" si="4"/>
        <v>4945932907.79</v>
      </c>
      <c r="F16" s="48">
        <f t="shared" si="3"/>
        <v>4780463513.8200006</v>
      </c>
      <c r="G16" s="48">
        <f t="shared" si="0"/>
        <v>99.893677759336356</v>
      </c>
      <c r="H16" s="49">
        <f t="shared" si="1"/>
        <v>-3.3455648722889038</v>
      </c>
      <c r="I16" s="48">
        <f t="shared" ref="I16" si="5">I5+I11+I15</f>
        <v>4517769794.6900005</v>
      </c>
      <c r="J16" s="50">
        <f t="shared" si="2"/>
        <v>94.504848361030895</v>
      </c>
    </row>
    <row r="17" spans="1:10">
      <c r="A17" s="4" t="s">
        <v>33</v>
      </c>
      <c r="B17" s="43">
        <f>Entrate_Uscite!B17</f>
        <v>18171806.25</v>
      </c>
      <c r="C17" s="43">
        <f>Entrate_Uscite!E17</f>
        <v>6773127.6699999999</v>
      </c>
      <c r="D17" s="43">
        <f>Entrate_Uscite!H17</f>
        <v>1651982.38</v>
      </c>
      <c r="E17" s="43">
        <f>Entrate_Uscite!K17</f>
        <v>9779735.6799999997</v>
      </c>
      <c r="F17" s="43">
        <f>Entrate_Uscite!N17</f>
        <v>5088105.71</v>
      </c>
      <c r="G17" s="43">
        <f t="shared" si="0"/>
        <v>0.10632224066365234</v>
      </c>
      <c r="H17" s="44">
        <f t="shared" si="1"/>
        <v>-47.972973130496712</v>
      </c>
      <c r="I17" s="43">
        <f>Entrate_Uscite!O17</f>
        <v>5088105.71</v>
      </c>
      <c r="J17" s="45">
        <f t="shared" si="2"/>
        <v>100</v>
      </c>
    </row>
    <row r="18" spans="1:10">
      <c r="A18" s="4" t="s">
        <v>34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 t="shared" si="0"/>
        <v>0</v>
      </c>
      <c r="H18" s="44" t="str">
        <f t="shared" si="1"/>
        <v>-</v>
      </c>
      <c r="I18" s="43">
        <f>Entrate_Uscite!O18</f>
        <v>0</v>
      </c>
      <c r="J18" s="45" t="str">
        <f t="shared" si="2"/>
        <v>-</v>
      </c>
    </row>
    <row r="19" spans="1:10">
      <c r="A19" s="4" t="s">
        <v>35</v>
      </c>
      <c r="B19" s="43">
        <f>Entrate_Uscite!B19</f>
        <v>296609953.29000002</v>
      </c>
      <c r="C19" s="43">
        <f>Entrate_Uscite!E19</f>
        <v>293802651.31999999</v>
      </c>
      <c r="D19" s="43">
        <f>Entrate_Uscite!H19</f>
        <v>266993238.72</v>
      </c>
      <c r="E19" s="43">
        <f>Entrate_Uscite!K19</f>
        <v>284825498.48000002</v>
      </c>
      <c r="F19" s="43">
        <f>Entrate_Uscite!N19</f>
        <v>279717626.25</v>
      </c>
      <c r="G19" s="43"/>
      <c r="H19" s="44">
        <f t="shared" si="1"/>
        <v>-1.7933339034808</v>
      </c>
      <c r="I19" s="43">
        <f>Entrate_Uscite!O19</f>
        <v>270421415.45999998</v>
      </c>
      <c r="J19" s="45">
        <f t="shared" si="2"/>
        <v>96.67657311602828</v>
      </c>
    </row>
    <row r="20" spans="1:10">
      <c r="A20" s="47" t="s">
        <v>36</v>
      </c>
      <c r="B20" s="48">
        <f>B5+B11+B15+B17+B18+B19</f>
        <v>4879697951.3199997</v>
      </c>
      <c r="C20" s="48">
        <f>C5+C11+C15+C17+C18+C19</f>
        <v>4959435137.5099993</v>
      </c>
      <c r="D20" s="48">
        <f>D5+D11+D15+D17+D18+D19</f>
        <v>5168510437.0800009</v>
      </c>
      <c r="E20" s="48">
        <f>E5+E11+E15+E17+E18+E19</f>
        <v>5240538141.9500008</v>
      </c>
      <c r="F20" s="48">
        <f>F5+F11+F15+F17+F18+F19</f>
        <v>5065269245.7800007</v>
      </c>
      <c r="G20" s="48"/>
      <c r="H20" s="49">
        <f t="shared" si="1"/>
        <v>-3.3444827882653811</v>
      </c>
      <c r="I20" s="48">
        <f>I5+I11+I15+I17+I18+I19</f>
        <v>4793279315.8600006</v>
      </c>
      <c r="J20" s="50">
        <f t="shared" si="2"/>
        <v>94.630296698510122</v>
      </c>
    </row>
    <row r="21" spans="1:10">
      <c r="A21" s="38" t="s">
        <v>37</v>
      </c>
      <c r="B21" s="51">
        <f>B20-B19</f>
        <v>4583087998.0299997</v>
      </c>
      <c r="C21" s="51">
        <f>C20-C19</f>
        <v>4665632486.1899996</v>
      </c>
      <c r="D21" s="51">
        <f>D20-D19</f>
        <v>4901517198.3600006</v>
      </c>
      <c r="E21" s="51">
        <f>E20-E19</f>
        <v>4955712643.4700012</v>
      </c>
      <c r="F21" s="51">
        <f>F20-F19</f>
        <v>4785551619.5300007</v>
      </c>
      <c r="G21" s="51">
        <f t="shared" si="0"/>
        <v>100</v>
      </c>
      <c r="H21" s="52">
        <f t="shared" si="1"/>
        <v>-3.4336337915842847</v>
      </c>
      <c r="I21" s="51">
        <f>I20-I19</f>
        <v>4522857900.4000006</v>
      </c>
      <c r="J21" s="53">
        <f t="shared" si="2"/>
        <v>94.510690929381298</v>
      </c>
    </row>
    <row r="22" spans="1:10">
      <c r="I22" s="6"/>
    </row>
    <row r="23" spans="1:10">
      <c r="I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3"/>
  <sheetViews>
    <sheetView showGridLines="0" workbookViewId="0">
      <selection activeCell="I2" sqref="I2"/>
    </sheetView>
  </sheetViews>
  <sheetFormatPr defaultRowHeight="15"/>
  <cols>
    <col min="1" max="1" width="50.7109375" bestFit="1" customWidth="1"/>
    <col min="2" max="6" width="15.28515625" bestFit="1" customWidth="1"/>
    <col min="7" max="7" width="8.5703125" customWidth="1"/>
    <col min="8" max="8" width="6.5703125" bestFit="1" customWidth="1"/>
    <col min="9" max="9" width="15.28515625" bestFit="1" customWidth="1"/>
    <col min="10" max="10" width="7" bestFit="1" customWidth="1"/>
  </cols>
  <sheetData>
    <row r="1" spans="1:10" ht="30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295</v>
      </c>
      <c r="H1" s="42" t="s">
        <v>232</v>
      </c>
      <c r="I1" s="54" t="s">
        <v>373</v>
      </c>
      <c r="J1" s="42" t="s">
        <v>334</v>
      </c>
    </row>
    <row r="2" spans="1:10">
      <c r="A2" s="59" t="s">
        <v>268</v>
      </c>
      <c r="B2" s="56">
        <f>Entrate_Uscite!B23</f>
        <v>665769001.75999999</v>
      </c>
      <c r="C2" s="56">
        <f>Entrate_Uscite!E23</f>
        <v>714272201.35000002</v>
      </c>
      <c r="D2" s="56">
        <f>Entrate_Uscite!H23</f>
        <v>727128803.19000006</v>
      </c>
      <c r="E2" s="56">
        <f>Entrate_Uscite!K23</f>
        <v>732429908.27999997</v>
      </c>
      <c r="F2" s="56">
        <f>Entrate_Uscite!N23</f>
        <v>712784697.57000005</v>
      </c>
      <c r="G2" s="56">
        <f>F2/F$31*100</f>
        <v>16.315922918869973</v>
      </c>
      <c r="H2" s="57">
        <f>IF(E2&gt;0,F2/E2*100-100,"-")</f>
        <v>-2.6821966836572386</v>
      </c>
      <c r="I2" s="56">
        <f>Entrate_Uscite!O23</f>
        <v>688113191.24000001</v>
      </c>
      <c r="J2" s="58">
        <f>IF(F2&gt;0,I2/F2*100,"-")</f>
        <v>96.538715489528713</v>
      </c>
    </row>
    <row r="3" spans="1:10">
      <c r="A3" s="59" t="s">
        <v>269</v>
      </c>
      <c r="B3" s="56">
        <f>Entrate_Uscite!B24</f>
        <v>43770633.869999997</v>
      </c>
      <c r="C3" s="56">
        <f>Entrate_Uscite!E24</f>
        <v>44549937.130000003</v>
      </c>
      <c r="D3" s="56">
        <f>Entrate_Uscite!H24</f>
        <v>44350067.509999998</v>
      </c>
      <c r="E3" s="56">
        <f>Entrate_Uscite!K24</f>
        <v>44725302.909999996</v>
      </c>
      <c r="F3" s="56">
        <f>Entrate_Uscite!N24</f>
        <v>45113896.289999999</v>
      </c>
      <c r="G3" s="56">
        <f t="shared" ref="G3:G31" si="0">F3/F$31*100</f>
        <v>1.0326748833791379</v>
      </c>
      <c r="H3" s="57">
        <f t="shared" ref="H3:H31" si="1">IF(E3&gt;0,F3/E3*100-100,"-")</f>
        <v>0.86884460186209367</v>
      </c>
      <c r="I3" s="56">
        <f>Entrate_Uscite!O24</f>
        <v>44578393.780000001</v>
      </c>
      <c r="J3" s="58">
        <f>IF(F3&gt;0,I3/F3*100,"-")</f>
        <v>98.81299875639715</v>
      </c>
    </row>
    <row r="4" spans="1:10">
      <c r="A4" s="59" t="s">
        <v>270</v>
      </c>
      <c r="B4" s="56">
        <f>Entrate_Uscite!B25</f>
        <v>152810858.34999999</v>
      </c>
      <c r="C4" s="56">
        <f>Entrate_Uscite!E25</f>
        <v>177816908.99000001</v>
      </c>
      <c r="D4" s="56">
        <f>Entrate_Uscite!H25</f>
        <v>183283819.71000001</v>
      </c>
      <c r="E4" s="56">
        <f>Entrate_Uscite!K25</f>
        <v>173015313</v>
      </c>
      <c r="F4" s="56">
        <f>Entrate_Uscite!N25</f>
        <v>168600555.03</v>
      </c>
      <c r="G4" s="56">
        <f t="shared" si="0"/>
        <v>3.8593332170659029</v>
      </c>
      <c r="H4" s="57">
        <f t="shared" si="1"/>
        <v>-2.5516573611030537</v>
      </c>
      <c r="I4" s="56">
        <f>Entrate_Uscite!O25</f>
        <v>127084352.95</v>
      </c>
      <c r="J4" s="58">
        <f t="shared" ref="J4:J9" si="2">IF(F4&gt;0,I4/F4*100,"-")</f>
        <v>75.375999164052104</v>
      </c>
    </row>
    <row r="5" spans="1:10">
      <c r="A5" s="59" t="s">
        <v>271</v>
      </c>
      <c r="B5" s="56">
        <f>Entrate_Uscite!B26</f>
        <v>1856239516.5</v>
      </c>
      <c r="C5" s="56">
        <f>Entrate_Uscite!E26</f>
        <v>2193857491.6900001</v>
      </c>
      <c r="D5" s="56">
        <f>Entrate_Uscite!H26</f>
        <v>2259502546.7399998</v>
      </c>
      <c r="E5" s="56">
        <f>Entrate_Uscite!K26</f>
        <v>2238729606.1100001</v>
      </c>
      <c r="F5" s="56">
        <f>Entrate_Uscite!N26</f>
        <v>2200740469.77</v>
      </c>
      <c r="G5" s="56">
        <f t="shared" si="0"/>
        <v>50.375817538757836</v>
      </c>
      <c r="H5" s="57">
        <f t="shared" si="1"/>
        <v>-1.696905970078717</v>
      </c>
      <c r="I5" s="56">
        <f>Entrate_Uscite!O26</f>
        <v>1956510962.5899999</v>
      </c>
      <c r="J5" s="58">
        <f t="shared" si="2"/>
        <v>88.902393965358186</v>
      </c>
    </row>
    <row r="6" spans="1:10">
      <c r="A6" s="59" t="s">
        <v>272</v>
      </c>
      <c r="B6" s="56">
        <f>Entrate_Uscite!B29</f>
        <v>289478.09000000003</v>
      </c>
      <c r="C6" s="56">
        <f>Entrate_Uscite!E29</f>
        <v>152963.23000000001</v>
      </c>
      <c r="D6" s="56">
        <f>Entrate_Uscite!H29</f>
        <v>82328.009999999995</v>
      </c>
      <c r="E6" s="56">
        <f>Entrate_Uscite!K29</f>
        <v>53258.05</v>
      </c>
      <c r="F6" s="56">
        <f>Entrate_Uscite!N29</f>
        <v>23190.79</v>
      </c>
      <c r="G6" s="56">
        <f t="shared" si="0"/>
        <v>5.3084633179928961E-4</v>
      </c>
      <c r="H6" s="57">
        <f t="shared" si="1"/>
        <v>-56.455803394979725</v>
      </c>
      <c r="I6" s="56">
        <f>Entrate_Uscite!O29</f>
        <v>23190.79</v>
      </c>
      <c r="J6" s="58">
        <f t="shared" si="2"/>
        <v>100</v>
      </c>
    </row>
    <row r="7" spans="1:10">
      <c r="A7" s="59" t="s">
        <v>273</v>
      </c>
      <c r="B7" s="56">
        <f>Entrate_Uscite!B30</f>
        <v>0</v>
      </c>
      <c r="C7" s="56">
        <f>Entrate_Uscite!E30</f>
        <v>0</v>
      </c>
      <c r="D7" s="56">
        <f>Entrate_Uscite!H30</f>
        <v>0</v>
      </c>
      <c r="E7" s="56">
        <f>Entrate_Uscite!K30</f>
        <v>0</v>
      </c>
      <c r="F7" s="56">
        <f>Entrate_Uscite!N30</f>
        <v>0</v>
      </c>
      <c r="G7" s="56">
        <f t="shared" si="0"/>
        <v>0</v>
      </c>
      <c r="H7" s="57" t="str">
        <f t="shared" si="1"/>
        <v>-</v>
      </c>
      <c r="I7" s="56">
        <f>Entrate_Uscite!O30</f>
        <v>0</v>
      </c>
      <c r="J7" s="58" t="str">
        <f t="shared" si="2"/>
        <v>-</v>
      </c>
    </row>
    <row r="8" spans="1:10">
      <c r="A8" s="59" t="s">
        <v>274</v>
      </c>
      <c r="B8" s="56">
        <f>Entrate_Uscite!B31</f>
        <v>7737615.0499999998</v>
      </c>
      <c r="C8" s="56">
        <f>Entrate_Uscite!E31</f>
        <v>9181409.3000000007</v>
      </c>
      <c r="D8" s="56">
        <f>Entrate_Uscite!H31</f>
        <v>8951087.7400000002</v>
      </c>
      <c r="E8" s="56">
        <f>Entrate_Uscite!K31</f>
        <v>9465652.7100000009</v>
      </c>
      <c r="F8" s="56">
        <f>Entrate_Uscite!N31</f>
        <v>4443265.07</v>
      </c>
      <c r="G8" s="56">
        <f t="shared" si="0"/>
        <v>0.10170809030746318</v>
      </c>
      <c r="H8" s="57">
        <f t="shared" si="1"/>
        <v>-53.059073619868734</v>
      </c>
      <c r="I8" s="56">
        <f>Entrate_Uscite!O31</f>
        <v>2363803.2400000002</v>
      </c>
      <c r="J8" s="58">
        <f t="shared" si="2"/>
        <v>53.199689929820018</v>
      </c>
    </row>
    <row r="9" spans="1:10">
      <c r="A9" s="59" t="s">
        <v>275</v>
      </c>
      <c r="B9" s="56">
        <f>Entrate_Uscite!B32</f>
        <v>3533725.04</v>
      </c>
      <c r="C9" s="56">
        <f>Entrate_Uscite!E32</f>
        <v>2934234.33</v>
      </c>
      <c r="D9" s="56">
        <f>Entrate_Uscite!H32</f>
        <v>4761190.4400000004</v>
      </c>
      <c r="E9" s="56">
        <f>Entrate_Uscite!K32</f>
        <v>3921406.68</v>
      </c>
      <c r="F9" s="56">
        <f>Entrate_Uscite!N32</f>
        <v>6697202.4299999997</v>
      </c>
      <c r="G9" s="56">
        <f t="shared" si="0"/>
        <v>0.15330160564960438</v>
      </c>
      <c r="H9" s="57">
        <f t="shared" si="1"/>
        <v>70.785714834351211</v>
      </c>
      <c r="I9" s="56">
        <f>Entrate_Uscite!O32</f>
        <v>6431710.6200000001</v>
      </c>
      <c r="J9" s="58">
        <f t="shared" si="2"/>
        <v>96.035780420631539</v>
      </c>
    </row>
    <row r="10" spans="1:10">
      <c r="A10" s="4" t="s">
        <v>280</v>
      </c>
      <c r="B10" s="43">
        <f>SUM(B2:B9)</f>
        <v>2730150828.6600003</v>
      </c>
      <c r="C10" s="43">
        <f>SUM(C2:C9)</f>
        <v>3142765146.02</v>
      </c>
      <c r="D10" s="43">
        <f>SUM(D2:D9)</f>
        <v>3228059843.3399997</v>
      </c>
      <c r="E10" s="43">
        <f>SUM(E2:E9)</f>
        <v>3202340447.7400002</v>
      </c>
      <c r="F10" s="43">
        <f>SUM(F2:F9)</f>
        <v>3138403276.9499998</v>
      </c>
      <c r="G10" s="43">
        <f t="shared" si="0"/>
        <v>71.839289100361711</v>
      </c>
      <c r="H10" s="44">
        <f t="shared" si="1"/>
        <v>-1.9965763114013413</v>
      </c>
      <c r="I10" s="43">
        <f>SUM(I2:I9)</f>
        <v>2825105605.2099996</v>
      </c>
      <c r="J10" s="45">
        <f t="shared" ref="J10:J17" si="3">IF(F10&gt;0,I10/F10*100,"-")</f>
        <v>90.017290829352149</v>
      </c>
    </row>
    <row r="11" spans="1:10">
      <c r="A11" s="59" t="s">
        <v>276</v>
      </c>
      <c r="B11" s="56">
        <f>Entrate_Uscite!B34</f>
        <v>167150543.05000001</v>
      </c>
      <c r="C11" s="56">
        <f>Entrate_Uscite!E34</f>
        <v>188183632.53999999</v>
      </c>
      <c r="D11" s="56">
        <f>Entrate_Uscite!H34</f>
        <v>206688318.19</v>
      </c>
      <c r="E11" s="56">
        <f>Entrate_Uscite!K34</f>
        <v>208134257.30000001</v>
      </c>
      <c r="F11" s="56">
        <f>Entrate_Uscite!N34</f>
        <v>200330883.37</v>
      </c>
      <c r="G11" s="56">
        <f t="shared" si="0"/>
        <v>4.5856529502908616</v>
      </c>
      <c r="H11" s="57">
        <f t="shared" si="1"/>
        <v>-3.7492020925476055</v>
      </c>
      <c r="I11" s="56">
        <f>Entrate_Uscite!O34</f>
        <v>164110166.49000001</v>
      </c>
      <c r="J11" s="58">
        <f t="shared" si="3"/>
        <v>81.919554154262713</v>
      </c>
    </row>
    <row r="12" spans="1:10">
      <c r="A12" s="59" t="s">
        <v>277</v>
      </c>
      <c r="B12" s="56">
        <f>Entrate_Uscite!B35</f>
        <v>889349539.07000005</v>
      </c>
      <c r="C12" s="56">
        <f>Entrate_Uscite!E35</f>
        <v>901129822.72000003</v>
      </c>
      <c r="D12" s="56">
        <f>Entrate_Uscite!H35</f>
        <v>1027053797.37</v>
      </c>
      <c r="E12" s="56">
        <f>Entrate_Uscite!K35</f>
        <v>1006870825.12</v>
      </c>
      <c r="F12" s="56">
        <f>Entrate_Uscite!N35</f>
        <v>995289532.58000004</v>
      </c>
      <c r="G12" s="56">
        <f t="shared" si="0"/>
        <v>22.782570039585654</v>
      </c>
      <c r="H12" s="57">
        <f t="shared" si="1"/>
        <v>-1.150226250583799</v>
      </c>
      <c r="I12" s="56">
        <f>Entrate_Uscite!O35</f>
        <v>617474004.32000005</v>
      </c>
      <c r="J12" s="58">
        <f t="shared" si="3"/>
        <v>62.039636116676263</v>
      </c>
    </row>
    <row r="13" spans="1:10">
      <c r="A13" s="59" t="s">
        <v>278</v>
      </c>
      <c r="B13" s="56">
        <f>Entrate_Uscite!B36</f>
        <v>0</v>
      </c>
      <c r="C13" s="56">
        <f>Entrate_Uscite!E36</f>
        <v>0</v>
      </c>
      <c r="D13" s="56">
        <f>Entrate_Uscite!H36</f>
        <v>0</v>
      </c>
      <c r="E13" s="56">
        <f>Entrate_Uscite!K36</f>
        <v>0</v>
      </c>
      <c r="F13" s="56">
        <f>Entrate_Uscite!N36</f>
        <v>0</v>
      </c>
      <c r="G13" s="56">
        <f t="shared" si="0"/>
        <v>0</v>
      </c>
      <c r="H13" s="57" t="str">
        <f t="shared" si="1"/>
        <v>-</v>
      </c>
      <c r="I13" s="56">
        <f>Entrate_Uscite!O36</f>
        <v>0</v>
      </c>
      <c r="J13" s="58" t="str">
        <f t="shared" si="3"/>
        <v>-</v>
      </c>
    </row>
    <row r="14" spans="1:10">
      <c r="A14" s="59" t="s">
        <v>279</v>
      </c>
      <c r="B14" s="56">
        <f>Entrate_Uscite!B37</f>
        <v>250662.73</v>
      </c>
      <c r="C14" s="56">
        <f>Entrate_Uscite!E37</f>
        <v>5770073.9500000002</v>
      </c>
      <c r="D14" s="56">
        <f>Entrate_Uscite!H37</f>
        <v>134758.72</v>
      </c>
      <c r="E14" s="56">
        <f>Entrate_Uscite!K37</f>
        <v>57760.51</v>
      </c>
      <c r="F14" s="56">
        <f>Entrate_Uscite!N37</f>
        <v>519373.47</v>
      </c>
      <c r="G14" s="56">
        <f t="shared" si="0"/>
        <v>1.1888663619625222E-2</v>
      </c>
      <c r="H14" s="108">
        <f t="shared" si="1"/>
        <v>799.18435623231153</v>
      </c>
      <c r="I14" s="56">
        <f>Entrate_Uscite!O37</f>
        <v>509476.83</v>
      </c>
      <c r="J14" s="58">
        <f t="shared" si="3"/>
        <v>98.094504133990526</v>
      </c>
    </row>
    <row r="15" spans="1:10">
      <c r="A15" s="4" t="s">
        <v>281</v>
      </c>
      <c r="B15" s="46">
        <f>SUM(B11:B14)</f>
        <v>1056750744.8500001</v>
      </c>
      <c r="C15" s="46">
        <f>SUM(C11:C14)</f>
        <v>1095083529.21</v>
      </c>
      <c r="D15" s="46">
        <f>SUM(D11:D14)</f>
        <v>1233876874.28</v>
      </c>
      <c r="E15" s="46">
        <f>SUM(E11:E14)</f>
        <v>1215062842.9300001</v>
      </c>
      <c r="F15" s="46">
        <f>SUM(F11:F14)</f>
        <v>1196139789.4200001</v>
      </c>
      <c r="G15" s="46">
        <f t="shared" si="0"/>
        <v>27.380111653496144</v>
      </c>
      <c r="H15" s="44">
        <f t="shared" si="1"/>
        <v>-1.5573724124728301</v>
      </c>
      <c r="I15" s="46">
        <f>SUM(I11:I14)</f>
        <v>782093647.6400001</v>
      </c>
      <c r="J15" s="45">
        <f t="shared" si="3"/>
        <v>65.384803227658864</v>
      </c>
    </row>
    <row r="16" spans="1:10">
      <c r="A16" s="59" t="s">
        <v>282</v>
      </c>
      <c r="B16" s="56">
        <f>Entrate_Uscite!B38</f>
        <v>18155182.27</v>
      </c>
      <c r="C16" s="56">
        <f>Entrate_Uscite!E38</f>
        <v>21392558.440000001</v>
      </c>
      <c r="D16" s="56">
        <f>Entrate_Uscite!H38</f>
        <v>40441029.990000002</v>
      </c>
      <c r="E16" s="56">
        <f>Entrate_Uscite!K38</f>
        <v>6150737.5999999996</v>
      </c>
      <c r="F16" s="56">
        <f>Entrate_Uscite!N38</f>
        <v>0</v>
      </c>
      <c r="G16" s="56">
        <f t="shared" si="0"/>
        <v>0</v>
      </c>
      <c r="H16" s="57">
        <f t="shared" si="1"/>
        <v>-100</v>
      </c>
      <c r="I16" s="56">
        <f>Entrate_Uscite!O38</f>
        <v>0</v>
      </c>
      <c r="J16" s="58" t="str">
        <f t="shared" si="3"/>
        <v>-</v>
      </c>
    </row>
    <row r="17" spans="1:10">
      <c r="A17" s="59" t="s">
        <v>283</v>
      </c>
      <c r="B17" s="56">
        <f>Entrate_Uscite!B39</f>
        <v>0</v>
      </c>
      <c r="C17" s="56">
        <f>Entrate_Uscite!E39</f>
        <v>0</v>
      </c>
      <c r="D17" s="56">
        <f>Entrate_Uscite!H39</f>
        <v>0</v>
      </c>
      <c r="E17" s="56">
        <f>Entrate_Uscite!K39</f>
        <v>0</v>
      </c>
      <c r="F17" s="56">
        <f>Entrate_Uscite!N39</f>
        <v>0</v>
      </c>
      <c r="G17" s="56">
        <f t="shared" si="0"/>
        <v>0</v>
      </c>
      <c r="H17" s="57" t="str">
        <f t="shared" si="1"/>
        <v>-</v>
      </c>
      <c r="I17" s="56">
        <f>Entrate_Uscite!O39</f>
        <v>0</v>
      </c>
      <c r="J17" s="58" t="str">
        <f t="shared" si="3"/>
        <v>-</v>
      </c>
    </row>
    <row r="18" spans="1:10">
      <c r="A18" s="59" t="s">
        <v>284</v>
      </c>
      <c r="B18" s="56">
        <f>Entrate_Uscite!B40</f>
        <v>18171806.170000002</v>
      </c>
      <c r="C18" s="56">
        <f>Entrate_Uscite!E40</f>
        <v>6773127.75</v>
      </c>
      <c r="D18" s="56">
        <f>Entrate_Uscite!H40</f>
        <v>9451982.3800000008</v>
      </c>
      <c r="E18" s="56">
        <f>Entrate_Uscite!K40</f>
        <v>9779735.6799999997</v>
      </c>
      <c r="F18" s="56">
        <f>Entrate_Uscite!N40</f>
        <v>5088105.71</v>
      </c>
      <c r="G18" s="56">
        <f t="shared" si="0"/>
        <v>0.11646874694482251</v>
      </c>
      <c r="H18" s="57">
        <f t="shared" si="1"/>
        <v>-47.972973130496712</v>
      </c>
      <c r="I18" s="56">
        <f>Entrate_Uscite!O40</f>
        <v>5088105.71</v>
      </c>
      <c r="J18" s="58">
        <f t="shared" ref="J18:J26" si="4">IF(F18&gt;0,I18/F18*100,"-")</f>
        <v>100</v>
      </c>
    </row>
    <row r="19" spans="1:10">
      <c r="A19" s="59" t="s">
        <v>285</v>
      </c>
      <c r="B19" s="56">
        <f>Entrate_Uscite!B41</f>
        <v>11007345.140000001</v>
      </c>
      <c r="C19" s="56">
        <f>Entrate_Uscite!E41</f>
        <v>11475081.470000001</v>
      </c>
      <c r="D19" s="56">
        <f>Entrate_Uscite!H41</f>
        <v>16531295.57</v>
      </c>
      <c r="E19" s="56">
        <f>Entrate_Uscite!K41</f>
        <v>35281397.600000001</v>
      </c>
      <c r="F19" s="56">
        <f>Entrate_Uscite!N41</f>
        <v>19717751.949999999</v>
      </c>
      <c r="G19" s="56">
        <f t="shared" si="0"/>
        <v>0.45134712073136746</v>
      </c>
      <c r="H19" s="57">
        <f t="shared" si="1"/>
        <v>-44.112894354275809</v>
      </c>
      <c r="I19" s="56">
        <f>Entrate_Uscite!O41</f>
        <v>19717751.949999999</v>
      </c>
      <c r="J19" s="58">
        <f t="shared" si="4"/>
        <v>100</v>
      </c>
    </row>
    <row r="20" spans="1:10">
      <c r="A20" s="4" t="s">
        <v>286</v>
      </c>
      <c r="B20" s="43">
        <f>SUM(B16:B19)</f>
        <v>47334333.579999998</v>
      </c>
      <c r="C20" s="43">
        <f>SUM(C16:C19)</f>
        <v>39640767.660000004</v>
      </c>
      <c r="D20" s="43">
        <f>SUM(D16:D19)</f>
        <v>66424307.940000005</v>
      </c>
      <c r="E20" s="43">
        <f>SUM(E16:E19)</f>
        <v>51211870.880000003</v>
      </c>
      <c r="F20" s="43">
        <f>SUM(F16:F19)</f>
        <v>24805857.66</v>
      </c>
      <c r="G20" s="43">
        <f t="shared" si="0"/>
        <v>0.56781586767618997</v>
      </c>
      <c r="H20" s="44">
        <f t="shared" si="1"/>
        <v>-51.562289692315183</v>
      </c>
      <c r="I20" s="43">
        <f>SUM(I16:I19)</f>
        <v>24805857.66</v>
      </c>
      <c r="J20" s="40">
        <f t="shared" si="4"/>
        <v>100</v>
      </c>
    </row>
    <row r="21" spans="1:10">
      <c r="A21" s="47" t="s">
        <v>344</v>
      </c>
      <c r="B21" s="48">
        <f>B10+B15+B20</f>
        <v>3834235907.0900002</v>
      </c>
      <c r="C21" s="48">
        <f>C10+C15+C20</f>
        <v>4277489442.8899999</v>
      </c>
      <c r="D21" s="48">
        <f>D10+D15+D20</f>
        <v>4528361025.5599995</v>
      </c>
      <c r="E21" s="48">
        <f>E10+E15+E20</f>
        <v>4468615161.5500002</v>
      </c>
      <c r="F21" s="48">
        <f>F10+F15+F20</f>
        <v>4359348924.0299997</v>
      </c>
      <c r="G21" s="48">
        <f>F21/F$31*100</f>
        <v>99.787216621534043</v>
      </c>
      <c r="H21" s="49">
        <f t="shared" si="1"/>
        <v>-2.4451923821987833</v>
      </c>
      <c r="I21" s="48">
        <f>I10+I15+I20</f>
        <v>3632005110.5099993</v>
      </c>
      <c r="J21" s="50">
        <f>IF(F21&gt;0,I21/F21*100,"-")</f>
        <v>83.315310928412501</v>
      </c>
    </row>
    <row r="22" spans="1:10">
      <c r="A22" s="59" t="s">
        <v>287</v>
      </c>
      <c r="B22" s="60">
        <f>Entrate_Uscite!B42</f>
        <v>0</v>
      </c>
      <c r="C22" s="60">
        <f>Entrate_Uscite!E42</f>
        <v>0</v>
      </c>
      <c r="D22" s="60">
        <f>Entrate_Uscite!H42</f>
        <v>0</v>
      </c>
      <c r="E22" s="60">
        <f>Entrate_Uscite!K42</f>
        <v>0</v>
      </c>
      <c r="F22" s="60">
        <f>Entrate_Uscite!N42</f>
        <v>0</v>
      </c>
      <c r="G22" s="60">
        <f t="shared" si="0"/>
        <v>0</v>
      </c>
      <c r="H22" s="61" t="str">
        <f t="shared" si="1"/>
        <v>-</v>
      </c>
      <c r="I22" s="60">
        <f>Entrate_Uscite!O42</f>
        <v>0</v>
      </c>
      <c r="J22" s="58" t="str">
        <f t="shared" si="4"/>
        <v>-</v>
      </c>
    </row>
    <row r="23" spans="1:10">
      <c r="A23" s="59" t="s">
        <v>288</v>
      </c>
      <c r="B23" s="60">
        <f>Entrate_Uscite!B43</f>
        <v>0</v>
      </c>
      <c r="C23" s="60">
        <f>Entrate_Uscite!E43</f>
        <v>0</v>
      </c>
      <c r="D23" s="60">
        <f>Entrate_Uscite!H43</f>
        <v>0</v>
      </c>
      <c r="E23" s="60">
        <f>Entrate_Uscite!K43</f>
        <v>0</v>
      </c>
      <c r="F23" s="60">
        <f>Entrate_Uscite!N43</f>
        <v>0</v>
      </c>
      <c r="G23" s="60">
        <f t="shared" si="0"/>
        <v>0</v>
      </c>
      <c r="H23" s="61" t="str">
        <f t="shared" si="1"/>
        <v>-</v>
      </c>
      <c r="I23" s="60">
        <f>Entrate_Uscite!O43</f>
        <v>0</v>
      </c>
      <c r="J23" s="58" t="str">
        <f t="shared" si="4"/>
        <v>-</v>
      </c>
    </row>
    <row r="24" spans="1:10">
      <c r="A24" s="59" t="s">
        <v>289</v>
      </c>
      <c r="B24" s="60">
        <f>Entrate_Uscite!B44</f>
        <v>3634986.22</v>
      </c>
      <c r="C24" s="60">
        <f>Entrate_Uscite!E44</f>
        <v>12406020.58</v>
      </c>
      <c r="D24" s="60">
        <f>Entrate_Uscite!H44</f>
        <v>7965899.1500000004</v>
      </c>
      <c r="E24" s="60">
        <f>Entrate_Uscite!K44</f>
        <v>7994924.1500000004</v>
      </c>
      <c r="F24" s="60">
        <f>Entrate_Uscite!N44</f>
        <v>9295749.7300000004</v>
      </c>
      <c r="G24" s="60">
        <f t="shared" si="0"/>
        <v>0.21278337846596587</v>
      </c>
      <c r="H24" s="61">
        <f t="shared" si="1"/>
        <v>16.270643168015539</v>
      </c>
      <c r="I24" s="60">
        <f>Entrate_Uscite!O44</f>
        <v>9295749.7300000004</v>
      </c>
      <c r="J24" s="58">
        <f t="shared" si="4"/>
        <v>100</v>
      </c>
    </row>
    <row r="25" spans="1:10">
      <c r="A25" s="59" t="s">
        <v>290</v>
      </c>
      <c r="B25" s="60">
        <f>Entrate_Uscite!B45</f>
        <v>0</v>
      </c>
      <c r="C25" s="60">
        <f>Entrate_Uscite!E45</f>
        <v>0</v>
      </c>
      <c r="D25" s="60">
        <f>Entrate_Uscite!H45</f>
        <v>0</v>
      </c>
      <c r="E25" s="60">
        <f>Entrate_Uscite!K45</f>
        <v>0</v>
      </c>
      <c r="F25" s="60">
        <f>Entrate_Uscite!N45</f>
        <v>0</v>
      </c>
      <c r="G25" s="60">
        <f t="shared" si="0"/>
        <v>0</v>
      </c>
      <c r="H25" s="61" t="str">
        <f t="shared" si="1"/>
        <v>-</v>
      </c>
      <c r="I25" s="60">
        <f>Entrate_Uscite!O45</f>
        <v>0</v>
      </c>
      <c r="J25" s="58" t="str">
        <f t="shared" si="4"/>
        <v>-</v>
      </c>
    </row>
    <row r="26" spans="1:10">
      <c r="A26" s="59" t="s">
        <v>291</v>
      </c>
      <c r="B26" s="60">
        <f>Entrate_Uscite!B46</f>
        <v>0</v>
      </c>
      <c r="C26" s="60">
        <f>Entrate_Uscite!E46</f>
        <v>0</v>
      </c>
      <c r="D26" s="60">
        <f>Entrate_Uscite!H46</f>
        <v>0</v>
      </c>
      <c r="E26" s="60">
        <f>Entrate_Uscite!K46</f>
        <v>0</v>
      </c>
      <c r="F26" s="60">
        <f>Entrate_Uscite!N46</f>
        <v>0</v>
      </c>
      <c r="G26" s="60">
        <f t="shared" si="0"/>
        <v>0</v>
      </c>
      <c r="H26" s="61" t="str">
        <f t="shared" si="1"/>
        <v>-</v>
      </c>
      <c r="I26" s="60">
        <f>Entrate_Uscite!O46</f>
        <v>0</v>
      </c>
      <c r="J26" s="58" t="str">
        <f t="shared" si="4"/>
        <v>-</v>
      </c>
    </row>
    <row r="27" spans="1:10">
      <c r="A27" s="4" t="s">
        <v>292</v>
      </c>
      <c r="B27" s="43">
        <f>SUM(B22:B26)</f>
        <v>3634986.22</v>
      </c>
      <c r="C27" s="43">
        <f>SUM(C22:C26)</f>
        <v>12406020.58</v>
      </c>
      <c r="D27" s="43">
        <f>SUM(D22:D26)</f>
        <v>7965899.1500000004</v>
      </c>
      <c r="E27" s="43">
        <f>SUM(E22:E26)</f>
        <v>7994924.1500000004</v>
      </c>
      <c r="F27" s="43">
        <f>SUM(F22:F26)</f>
        <v>9295749.7300000004</v>
      </c>
      <c r="G27" s="43">
        <f t="shared" si="0"/>
        <v>0.21278337846596587</v>
      </c>
      <c r="H27" s="44">
        <f t="shared" si="1"/>
        <v>16.270643168015539</v>
      </c>
      <c r="I27" s="43">
        <f>SUM(I22:I26)</f>
        <v>9295749.7300000004</v>
      </c>
      <c r="J27" s="45">
        <f>IF(F27&gt;0,I27/F27*100,"-")</f>
        <v>100</v>
      </c>
    </row>
    <row r="28" spans="1:10">
      <c r="A28" s="4" t="s">
        <v>293</v>
      </c>
      <c r="B28" s="43">
        <f>Entrate_Uscite!B54</f>
        <v>0</v>
      </c>
      <c r="C28" s="43">
        <f>Entrate_Uscite!E54</f>
        <v>0</v>
      </c>
      <c r="D28" s="43">
        <f>Entrate_Uscite!H54</f>
        <v>0</v>
      </c>
      <c r="E28" s="43">
        <f>Entrate_Uscite!K54</f>
        <v>0</v>
      </c>
      <c r="F28" s="43">
        <f>Entrate_Uscite!N54</f>
        <v>0</v>
      </c>
      <c r="G28" s="43">
        <f t="shared" si="0"/>
        <v>0</v>
      </c>
      <c r="H28" s="44" t="str">
        <f t="shared" si="1"/>
        <v>-</v>
      </c>
      <c r="I28" s="43">
        <f>Entrate_Uscite!O54</f>
        <v>0</v>
      </c>
      <c r="J28" s="45" t="str">
        <f>IF(F28&gt;0,I28/F28*100,"-")</f>
        <v>-</v>
      </c>
    </row>
    <row r="29" spans="1:10">
      <c r="A29" s="4" t="s">
        <v>294</v>
      </c>
      <c r="B29" s="43">
        <f>Entrate_Uscite!B55</f>
        <v>296609953.29000002</v>
      </c>
      <c r="C29" s="43">
        <f>Entrate_Uscite!E55</f>
        <v>293802651.31999999</v>
      </c>
      <c r="D29" s="43">
        <f>Entrate_Uscite!H55</f>
        <v>266993238.72</v>
      </c>
      <c r="E29" s="43">
        <f>Entrate_Uscite!K55</f>
        <v>284825498.48000002</v>
      </c>
      <c r="F29" s="43">
        <f>Entrate_Uscite!N55</f>
        <v>279717626.25</v>
      </c>
      <c r="G29" s="43"/>
      <c r="H29" s="44">
        <f t="shared" si="1"/>
        <v>-1.7933339034808</v>
      </c>
      <c r="I29" s="43">
        <f>Entrate_Uscite!O55</f>
        <v>228050110.80000001</v>
      </c>
      <c r="J29" s="45">
        <f>IF(F29&gt;0,I29/F29*100,"-")</f>
        <v>81.528688004873274</v>
      </c>
    </row>
    <row r="30" spans="1:10">
      <c r="A30" s="47" t="s">
        <v>68</v>
      </c>
      <c r="B30" s="48">
        <f>B10+B15+B20+B27+B28+B29</f>
        <v>4134480846.5999999</v>
      </c>
      <c r="C30" s="48">
        <f>C10+C15+C20+C27+C28+C29</f>
        <v>4583698114.79</v>
      </c>
      <c r="D30" s="48">
        <f>D10+D15+D20+D27+D28+D29</f>
        <v>4803320163.4299994</v>
      </c>
      <c r="E30" s="48">
        <f>E10+E15+E20+E27+E28+E29</f>
        <v>4761435584.1800003</v>
      </c>
      <c r="F30" s="48">
        <f>F10+F15+F20+F27+F28+F29</f>
        <v>4648362300.0099993</v>
      </c>
      <c r="G30" s="48"/>
      <c r="H30" s="49">
        <f t="shared" si="1"/>
        <v>-2.3747729475893777</v>
      </c>
      <c r="I30" s="48">
        <f>I10+I15+I20+I27+I28+I29</f>
        <v>3869350971.0399995</v>
      </c>
      <c r="J30" s="50">
        <f>IF(F30&gt;0,I30/F30*100,"-")</f>
        <v>83.241165840960292</v>
      </c>
    </row>
    <row r="31" spans="1:10">
      <c r="A31" s="38" t="s">
        <v>69</v>
      </c>
      <c r="B31" s="51">
        <f>B30-B29</f>
        <v>3837870893.3099999</v>
      </c>
      <c r="C31" s="51">
        <f>C30-C29</f>
        <v>4289895463.4699998</v>
      </c>
      <c r="D31" s="51">
        <f>D30-D29</f>
        <v>4536326924.7099991</v>
      </c>
      <c r="E31" s="51">
        <f>E30-E29</f>
        <v>4476610085.7000008</v>
      </c>
      <c r="F31" s="51">
        <f>F30-F29</f>
        <v>4368644673.7599993</v>
      </c>
      <c r="G31" s="51">
        <f t="shared" si="0"/>
        <v>100</v>
      </c>
      <c r="H31" s="52">
        <f t="shared" si="1"/>
        <v>-2.4117671602645174</v>
      </c>
      <c r="I31" s="51">
        <f>I30-I29</f>
        <v>3641300860.2399993</v>
      </c>
      <c r="J31" s="53">
        <f>IF(F31&gt;0,I31/F31*100,"-")</f>
        <v>83.350813173505571</v>
      </c>
    </row>
    <row r="32" spans="1:10">
      <c r="I32" s="6"/>
    </row>
    <row r="33" spans="9:9">
      <c r="I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"/>
  <sheetViews>
    <sheetView showGridLines="0" workbookViewId="0">
      <selection activeCell="H7" sqref="H7"/>
    </sheetView>
  </sheetViews>
  <sheetFormatPr defaultRowHeight="15"/>
  <cols>
    <col min="1" max="1" width="50.7109375" bestFit="1" customWidth="1"/>
    <col min="2" max="2" width="13.28515625" bestFit="1" customWidth="1"/>
    <col min="3" max="6" width="14" bestFit="1" customWidth="1"/>
    <col min="7" max="7" width="12.5703125" bestFit="1" customWidth="1"/>
    <col min="8" max="8" width="13.28515625" bestFit="1" customWidth="1"/>
  </cols>
  <sheetData>
    <row r="1" spans="1:8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264</v>
      </c>
      <c r="H1" s="42" t="s">
        <v>335</v>
      </c>
    </row>
    <row r="2" spans="1:8">
      <c r="A2" s="62" t="s">
        <v>296</v>
      </c>
      <c r="B2" s="64">
        <f>Entrate_Uscite!B58</f>
        <v>1394641862.6699996</v>
      </c>
      <c r="C2" s="64">
        <f>Entrate_Uscite!E58</f>
        <v>1072484270.0499992</v>
      </c>
      <c r="D2" s="64">
        <f>Entrate_Uscite!H58</f>
        <v>1127477459.0600004</v>
      </c>
      <c r="E2" s="64">
        <f>Entrate_Uscite!K58</f>
        <v>1117761390.9899998</v>
      </c>
      <c r="F2" s="64">
        <f>Entrate_Uscite!N58</f>
        <v>1209083992.6300011</v>
      </c>
      <c r="G2" s="64">
        <f>F2-E2</f>
        <v>91322601.640001297</v>
      </c>
      <c r="H2" s="64">
        <f>Entrate_Uscite!O58</f>
        <v>1298693734.4400005</v>
      </c>
    </row>
    <row r="3" spans="1:8">
      <c r="A3" s="62" t="s">
        <v>71</v>
      </c>
      <c r="B3" s="64">
        <f>Entrate_Uscite!B59</f>
        <v>-934158821.0200001</v>
      </c>
      <c r="C3" s="64">
        <f>Entrate_Uscite!E59</f>
        <v>-966418042.95000005</v>
      </c>
      <c r="D3" s="64">
        <f>Entrate_Uscite!H59</f>
        <v>-1072772063.4399999</v>
      </c>
      <c r="E3" s="64">
        <f>Entrate_Uscite!K59</f>
        <v>-963302445.6400001</v>
      </c>
      <c r="F3" s="64">
        <f>Entrate_Uscite!N59</f>
        <v>-1073782817.0500002</v>
      </c>
      <c r="G3" s="64">
        <f t="shared" ref="G3:G6" si="0">F3-E3</f>
        <v>-110480371.41000009</v>
      </c>
      <c r="H3" s="64">
        <f>Entrate_Uscite!O59</f>
        <v>-673948338.01000011</v>
      </c>
    </row>
    <row r="4" spans="1:8">
      <c r="A4" s="62" t="s">
        <v>299</v>
      </c>
      <c r="B4" s="65">
        <f>Entrate_Uscite!B16-Entrate_Uscite!B52</f>
        <v>-7418769.3399999961</v>
      </c>
      <c r="C4" s="65">
        <f>Entrate_Uscite!E16-Entrate_Uscite!E52</f>
        <v>-6234379.0800000057</v>
      </c>
      <c r="D4" s="65">
        <f>Entrate_Uscite!H16-Entrate_Uscite!H52</f>
        <v>8168169.6499999985</v>
      </c>
      <c r="E4" s="65">
        <f>Entrate_Uscite!K16-Entrate_Uscite!K52</f>
        <v>15118906.75</v>
      </c>
      <c r="F4" s="65">
        <f>Entrate_Uscite!N16-Entrate_Uscite!N52</f>
        <v>36340897.420000002</v>
      </c>
      <c r="G4" s="64">
        <f t="shared" si="0"/>
        <v>21221990.670000002</v>
      </c>
      <c r="H4" s="65">
        <f>Entrate_Uscite!O16-Entrate_Uscite!O52</f>
        <v>36307024.519999996</v>
      </c>
    </row>
    <row r="5" spans="1:8">
      <c r="A5" s="47" t="s">
        <v>297</v>
      </c>
      <c r="B5" s="66">
        <f>Entrate_Uscite!B60</f>
        <v>453064272.30999947</v>
      </c>
      <c r="C5" s="66">
        <f>Entrate_Uscite!E60</f>
        <v>99831848.019999504</v>
      </c>
      <c r="D5" s="66">
        <f>Entrate_Uscite!H60</f>
        <v>62873565.270001411</v>
      </c>
      <c r="E5" s="66">
        <f>Entrate_Uscite!K60</f>
        <v>169577852.09999943</v>
      </c>
      <c r="F5" s="66">
        <f>Entrate_Uscite!N60</f>
        <v>171642073.00000095</v>
      </c>
      <c r="G5" s="66">
        <f t="shared" si="0"/>
        <v>2064220.9000015259</v>
      </c>
      <c r="H5" s="66">
        <f>Entrate_Uscite!O60</f>
        <v>661052420.95000076</v>
      </c>
    </row>
    <row r="6" spans="1:8">
      <c r="A6" s="38" t="s">
        <v>298</v>
      </c>
      <c r="B6" s="67">
        <f>Entrate_Uscite!B61</f>
        <v>467601092.3399992</v>
      </c>
      <c r="C6" s="67">
        <f>Entrate_Uscite!E61</f>
        <v>94198955.109999657</v>
      </c>
      <c r="D6" s="67">
        <f>Entrate_Uscite!H61</f>
        <v>56559648.500001907</v>
      </c>
      <c r="E6" s="67">
        <f>Entrate_Uscite!K61</f>
        <v>171362663.63000107</v>
      </c>
      <c r="F6" s="67">
        <f>Entrate_Uscite!N61</f>
        <v>167434428.98000145</v>
      </c>
      <c r="G6" s="67">
        <f t="shared" si="0"/>
        <v>-3928234.6499996185</v>
      </c>
      <c r="H6" s="67">
        <f>Entrate_Uscite!O61</f>
        <v>656844776.93000078</v>
      </c>
    </row>
    <row r="7" spans="1:8">
      <c r="H7" s="6"/>
    </row>
    <row r="8" spans="1:8">
      <c r="H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2"/>
  <sheetViews>
    <sheetView showGridLines="0" workbookViewId="0">
      <selection activeCell="F20" sqref="F20:F21"/>
    </sheetView>
  </sheetViews>
  <sheetFormatPr defaultRowHeight="15"/>
  <cols>
    <col min="1" max="1" width="36.42578125" bestFit="1" customWidth="1"/>
    <col min="2" max="6" width="13.5703125" bestFit="1" customWidth="1"/>
    <col min="7" max="7" width="12.7109375" bestFit="1" customWidth="1"/>
    <col min="8" max="8" width="13.5703125" bestFit="1" customWidth="1"/>
    <col min="9" max="9" width="10" bestFit="1" customWidth="1"/>
  </cols>
  <sheetData>
    <row r="1" spans="1:8">
      <c r="A1" s="41"/>
      <c r="B1" s="96">
        <v>2016</v>
      </c>
      <c r="C1" s="96">
        <v>2017</v>
      </c>
      <c r="D1" s="69">
        <v>2018</v>
      </c>
      <c r="E1" s="69">
        <v>2019</v>
      </c>
      <c r="F1" s="69">
        <v>2020</v>
      </c>
    </row>
    <row r="2" spans="1:8">
      <c r="A2" t="s">
        <v>5</v>
      </c>
      <c r="B2" s="1">
        <v>775643065.41999996</v>
      </c>
      <c r="C2" s="1">
        <v>1497184645.3599999</v>
      </c>
      <c r="D2" s="1">
        <v>1782217849.4400001</v>
      </c>
      <c r="E2" s="1">
        <v>2565157166.7199998</v>
      </c>
      <c r="F2" s="1">
        <v>2762834033.3299999</v>
      </c>
    </row>
    <row r="3" spans="1:8">
      <c r="A3" t="s">
        <v>6</v>
      </c>
      <c r="B3" s="1">
        <v>2448550921.4299998</v>
      </c>
      <c r="C3" s="1">
        <v>1904083629.03</v>
      </c>
      <c r="D3" s="1">
        <v>1678306469.6900001</v>
      </c>
      <c r="E3" s="1">
        <v>1070400250.5700001</v>
      </c>
      <c r="F3" s="1">
        <v>1091137079.3599999</v>
      </c>
    </row>
    <row r="4" spans="1:8">
      <c r="A4" t="s">
        <v>7</v>
      </c>
      <c r="B4" s="1">
        <v>1886773244.3399999</v>
      </c>
      <c r="C4" s="1">
        <v>1959964153.71</v>
      </c>
      <c r="D4" s="1">
        <v>1952272973.1800001</v>
      </c>
      <c r="E4" s="1">
        <v>1953266158.1700001</v>
      </c>
      <c r="F4" s="1">
        <v>2000063152.5699999</v>
      </c>
    </row>
    <row r="5" spans="1:8">
      <c r="A5" t="s">
        <v>8</v>
      </c>
      <c r="B5" s="1">
        <v>49982883.93</v>
      </c>
      <c r="C5" s="1">
        <v>17294784.100000001</v>
      </c>
      <c r="D5" s="1">
        <v>2880266.23</v>
      </c>
      <c r="E5" s="1">
        <v>4076762.45</v>
      </c>
      <c r="F5" s="1">
        <v>5420969.6900000004</v>
      </c>
    </row>
    <row r="6" spans="1:8">
      <c r="A6" t="s">
        <v>355</v>
      </c>
      <c r="B6" s="1">
        <v>1461887779.1500001</v>
      </c>
      <c r="C6" s="1">
        <v>1494535938.1900001</v>
      </c>
      <c r="D6" s="1">
        <v>1333123893.0699999</v>
      </c>
      <c r="E6" s="1">
        <v>1390710918.51</v>
      </c>
      <c r="F6" s="1">
        <v>1450605424.4100001</v>
      </c>
    </row>
    <row r="7" spans="1:8">
      <c r="A7" s="4" t="s">
        <v>0</v>
      </c>
      <c r="B7" s="3">
        <f t="shared" ref="B7:C7" si="0">B2+B3-B4-B5-B6</f>
        <v>-174449920.57000017</v>
      </c>
      <c r="C7" s="3">
        <f t="shared" si="0"/>
        <v>-70526601.610000134</v>
      </c>
      <c r="D7" s="3">
        <f>D2+D3-D4-D5-D6</f>
        <v>172247186.6500001</v>
      </c>
      <c r="E7" s="3">
        <f>E2+E3-E4-E5-E6</f>
        <v>287503578.15999985</v>
      </c>
      <c r="F7" s="3">
        <f>F2+F3-F4-F5-F6</f>
        <v>397881566.0199995</v>
      </c>
    </row>
    <row r="8" spans="1:8">
      <c r="A8" t="s">
        <v>9</v>
      </c>
      <c r="B8" s="1">
        <v>35169700.119999997</v>
      </c>
      <c r="C8" s="1">
        <v>39601397.899999999</v>
      </c>
      <c r="D8" s="1">
        <v>52504407.57</v>
      </c>
      <c r="E8" s="1">
        <v>47441110.729999997</v>
      </c>
      <c r="F8" s="1">
        <v>53835390.200000003</v>
      </c>
    </row>
    <row r="9" spans="1:8">
      <c r="A9" t="s">
        <v>349</v>
      </c>
      <c r="B9" s="1">
        <v>2016207.35</v>
      </c>
      <c r="C9" s="1">
        <v>1998079.71</v>
      </c>
      <c r="D9" s="1">
        <v>1968447.99</v>
      </c>
      <c r="E9" s="1">
        <v>1936527.85</v>
      </c>
      <c r="F9" s="1">
        <v>1436539.16</v>
      </c>
    </row>
    <row r="10" spans="1:8">
      <c r="A10" t="s">
        <v>10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</row>
    <row r="11" spans="1:8">
      <c r="A11" t="s">
        <v>11</v>
      </c>
      <c r="B11" s="1">
        <v>0</v>
      </c>
      <c r="C11" s="1">
        <v>0</v>
      </c>
      <c r="D11" s="1">
        <v>0</v>
      </c>
      <c r="E11" s="1">
        <v>35750.6</v>
      </c>
      <c r="F11" s="1">
        <v>212441.28</v>
      </c>
    </row>
    <row r="12" spans="1:8">
      <c r="A12" t="s">
        <v>12</v>
      </c>
      <c r="B12" s="1">
        <v>9600000</v>
      </c>
      <c r="C12" s="1">
        <v>6100000</v>
      </c>
      <c r="D12" s="1">
        <v>9950000</v>
      </c>
      <c r="E12" s="1">
        <v>8900000</v>
      </c>
      <c r="F12" s="1">
        <v>9900000</v>
      </c>
    </row>
    <row r="13" spans="1:8">
      <c r="A13" t="s">
        <v>13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</row>
    <row r="14" spans="1:8">
      <c r="A14" s="4" t="s">
        <v>1</v>
      </c>
      <c r="B14" s="3">
        <f t="shared" ref="B14:C14" si="1">SUM(B8:B13)</f>
        <v>46785907.469999999</v>
      </c>
      <c r="C14" s="3">
        <f t="shared" si="1"/>
        <v>47699477.609999999</v>
      </c>
      <c r="D14" s="3">
        <f>SUM(D8:D13)</f>
        <v>64422855.560000002</v>
      </c>
      <c r="E14" s="3">
        <f>SUM(E8:E13)</f>
        <v>58313389.18</v>
      </c>
      <c r="F14" s="3">
        <f>SUM(F8:F13)</f>
        <v>65384370.640000001</v>
      </c>
      <c r="G14" s="98"/>
      <c r="H14" s="98"/>
    </row>
    <row r="15" spans="1:8">
      <c r="A15" t="s">
        <v>15</v>
      </c>
      <c r="B15" s="1">
        <v>0</v>
      </c>
      <c r="C15" s="1">
        <v>0</v>
      </c>
      <c r="D15" s="1">
        <v>0</v>
      </c>
      <c r="E15" s="1">
        <v>0</v>
      </c>
      <c r="F15" s="1">
        <v>100070318.26000001</v>
      </c>
    </row>
    <row r="16" spans="1:8">
      <c r="A16" t="s">
        <v>14</v>
      </c>
      <c r="B16" s="1">
        <v>879592.46</v>
      </c>
      <c r="C16" s="1">
        <v>834893.15</v>
      </c>
      <c r="D16" s="1">
        <v>1390587.17</v>
      </c>
      <c r="E16" s="1">
        <v>30266445.84</v>
      </c>
      <c r="F16" s="1">
        <v>12944898.939999999</v>
      </c>
    </row>
    <row r="17" spans="1:6">
      <c r="A17" t="s">
        <v>16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</row>
    <row r="18" spans="1:6">
      <c r="A18" t="s">
        <v>17</v>
      </c>
      <c r="B18" s="1">
        <v>0</v>
      </c>
      <c r="C18" s="1">
        <v>0</v>
      </c>
      <c r="D18" s="1">
        <v>0</v>
      </c>
      <c r="E18" s="1">
        <v>621162.73</v>
      </c>
      <c r="F18" s="1">
        <v>1004675.28</v>
      </c>
    </row>
    <row r="19" spans="1:6">
      <c r="A19" t="s">
        <v>18</v>
      </c>
      <c r="B19" s="1">
        <v>70051316.730000004</v>
      </c>
      <c r="C19" s="1">
        <v>0</v>
      </c>
      <c r="D19" s="1">
        <v>53612.61</v>
      </c>
      <c r="E19" s="1">
        <v>149550.53</v>
      </c>
      <c r="F19" s="1">
        <v>63310.38</v>
      </c>
    </row>
    <row r="20" spans="1:6">
      <c r="A20" s="4" t="s">
        <v>2</v>
      </c>
      <c r="B20" s="3">
        <f t="shared" ref="B20:C20" si="2">SUM(B15:B19)</f>
        <v>70930909.189999998</v>
      </c>
      <c r="C20" s="3">
        <f t="shared" si="2"/>
        <v>834893.15</v>
      </c>
      <c r="D20" s="3">
        <f>SUM(D15:D19)</f>
        <v>1444199.78</v>
      </c>
      <c r="E20" s="3">
        <f>SUM(E15:E19)</f>
        <v>31037159.100000001</v>
      </c>
      <c r="F20" s="3">
        <f>SUM(F15:F19)</f>
        <v>114083202.86</v>
      </c>
    </row>
    <row r="21" spans="1:6">
      <c r="A21" s="4" t="s">
        <v>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>
      <c r="A22" s="70" t="s">
        <v>4</v>
      </c>
      <c r="B22" s="37">
        <f t="shared" ref="B22" si="3">B7-B14-B20-B21</f>
        <v>-292166737.23000014</v>
      </c>
      <c r="C22" s="37">
        <f>C7-C14-C20-C21</f>
        <v>-119060972.37000014</v>
      </c>
      <c r="D22" s="37">
        <f>D7-D14-D20-D21</f>
        <v>106380131.31000009</v>
      </c>
      <c r="E22" s="37">
        <f>E7-E14-E20-E21</f>
        <v>198153029.87999985</v>
      </c>
      <c r="F22" s="37">
        <f>F7-F14-F20-F21</f>
        <v>218413992.5199995</v>
      </c>
    </row>
    <row r="23" spans="1:6">
      <c r="A23" t="s">
        <v>366</v>
      </c>
      <c r="B23" s="1">
        <v>-545036276.28999996</v>
      </c>
      <c r="C23" s="1">
        <v>-6483018.5999999996</v>
      </c>
      <c r="D23" s="1">
        <v>-2426056.27</v>
      </c>
      <c r="E23" s="1">
        <v>-7951874.6100000003</v>
      </c>
      <c r="F23" s="1">
        <v>-10839149.6</v>
      </c>
    </row>
    <row r="24" spans="1:6">
      <c r="A24" t="s">
        <v>365</v>
      </c>
      <c r="B24" s="6">
        <f t="shared" ref="B24:D24" si="4">B8/B3*100</f>
        <v>1.4363475070986162</v>
      </c>
      <c r="C24" s="6">
        <f t="shared" si="4"/>
        <v>2.0798140006158339</v>
      </c>
      <c r="D24" s="6">
        <f t="shared" si="4"/>
        <v>3.1284159668226801</v>
      </c>
      <c r="E24" s="6">
        <f t="shared" ref="E24:F24" si="5">E8/E3*100</f>
        <v>4.4320907720954921</v>
      </c>
      <c r="F24" s="6">
        <f t="shared" si="5"/>
        <v>4.9338796397219715</v>
      </c>
    </row>
    <row r="25" spans="1:6">
      <c r="A25" t="s">
        <v>356</v>
      </c>
    </row>
    <row r="52" spans="1:6">
      <c r="A52" t="s">
        <v>13</v>
      </c>
      <c r="B52" s="1">
        <f t="shared" ref="B52:D52" si="6">SUM(B11:B13)</f>
        <v>9600000</v>
      </c>
      <c r="C52" s="1">
        <f t="shared" si="6"/>
        <v>6100000</v>
      </c>
      <c r="D52" s="1">
        <f t="shared" si="6"/>
        <v>9950000</v>
      </c>
      <c r="E52" s="1">
        <f t="shared" ref="E52:F52" si="7">SUM(E11:E13)</f>
        <v>8935750.5999999996</v>
      </c>
      <c r="F52" s="1">
        <f t="shared" si="7"/>
        <v>10112441.279999999</v>
      </c>
    </row>
  </sheetData>
  <conditionalFormatting sqref="B22:D22">
    <cfRule type="cellIs" dxfId="88" priority="18" operator="greaterThan">
      <formula>0</formula>
    </cfRule>
  </conditionalFormatting>
  <conditionalFormatting sqref="B22:D22">
    <cfRule type="cellIs" dxfId="87" priority="15" operator="greaterThan">
      <formula>0</formula>
    </cfRule>
    <cfRule type="cellIs" dxfId="86" priority="16" operator="lessThan">
      <formula>0</formula>
    </cfRule>
  </conditionalFormatting>
  <conditionalFormatting sqref="E22:F22">
    <cfRule type="cellIs" dxfId="85" priority="3" operator="greaterThan">
      <formula>0</formula>
    </cfRule>
  </conditionalFormatting>
  <conditionalFormatting sqref="E22:F22">
    <cfRule type="cellIs" dxfId="84" priority="1" operator="greaterThan">
      <formula>0</formula>
    </cfRule>
    <cfRule type="cellIs" dxfId="83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pane xSplit="2" ySplit="1" topLeftCell="C26" activePane="bottomRight" state="frozen"/>
      <selection pane="topRight" activeCell="C1" sqref="C1"/>
      <selection pane="bottomLeft" activeCell="A2" sqref="A2"/>
      <selection pane="bottomRight" activeCell="J23" sqref="J23"/>
    </sheetView>
  </sheetViews>
  <sheetFormatPr defaultRowHeight="15"/>
  <cols>
    <col min="1" max="1" width="65.28515625" bestFit="1" customWidth="1"/>
    <col min="2" max="2" width="3.42578125" bestFit="1" customWidth="1"/>
    <col min="3" max="3" width="15.42578125" bestFit="1" customWidth="1"/>
    <col min="4" max="6" width="15.5703125" customWidth="1"/>
    <col min="7" max="7" width="12.28515625" bestFit="1" customWidth="1"/>
  </cols>
  <sheetData>
    <row r="1" spans="1:7">
      <c r="C1" s="12">
        <v>2017</v>
      </c>
      <c r="D1" s="12">
        <v>2018</v>
      </c>
      <c r="E1" s="12">
        <v>2019</v>
      </c>
      <c r="F1" s="12">
        <v>2020</v>
      </c>
      <c r="G1" s="12" t="s">
        <v>264</v>
      </c>
    </row>
    <row r="2" spans="1:7">
      <c r="A2" t="s">
        <v>234</v>
      </c>
      <c r="B2" s="26" t="s">
        <v>258</v>
      </c>
      <c r="C2" s="1">
        <v>4235526007.9099998</v>
      </c>
      <c r="D2" s="1">
        <v>4262981159.5500002</v>
      </c>
      <c r="E2" s="1">
        <v>4300716461.25</v>
      </c>
      <c r="F2" s="1">
        <v>4052904794.7600002</v>
      </c>
      <c r="G2" s="1">
        <f>F2-E2</f>
        <v>-247811666.48999977</v>
      </c>
    </row>
    <row r="3" spans="1:7">
      <c r="A3" t="s">
        <v>235</v>
      </c>
      <c r="B3" s="26" t="s">
        <v>258</v>
      </c>
      <c r="C3" s="1">
        <v>0</v>
      </c>
      <c r="D3" s="1">
        <v>0</v>
      </c>
      <c r="E3" s="1">
        <v>0</v>
      </c>
      <c r="F3" s="1">
        <v>0</v>
      </c>
      <c r="G3" s="1">
        <f>F3-E3</f>
        <v>0</v>
      </c>
    </row>
    <row r="4" spans="1:7">
      <c r="A4" t="s">
        <v>236</v>
      </c>
      <c r="B4" s="26" t="s">
        <v>258</v>
      </c>
      <c r="C4" s="1">
        <v>182262078.75999999</v>
      </c>
      <c r="D4" s="1">
        <v>255262029.97999999</v>
      </c>
      <c r="E4" s="1">
        <v>384932564.11000001</v>
      </c>
      <c r="F4" s="1">
        <v>445757672.04000002</v>
      </c>
      <c r="G4" s="1">
        <f>F4-E4</f>
        <v>60825107.930000007</v>
      </c>
    </row>
    <row r="5" spans="1:7">
      <c r="A5" t="s">
        <v>237</v>
      </c>
      <c r="B5" s="26" t="s">
        <v>258</v>
      </c>
      <c r="C5" s="1">
        <v>71667507.079999998</v>
      </c>
      <c r="D5" s="1">
        <v>89271819.739999995</v>
      </c>
      <c r="E5" s="1">
        <v>71241283.489999995</v>
      </c>
      <c r="F5" s="1">
        <v>65693344.850000001</v>
      </c>
      <c r="G5" s="1">
        <f>F5-E5</f>
        <v>-5547938.6399999931</v>
      </c>
    </row>
    <row r="6" spans="1:7">
      <c r="A6" t="s">
        <v>238</v>
      </c>
      <c r="B6" s="26" t="s">
        <v>258</v>
      </c>
      <c r="C6" s="1"/>
      <c r="D6" s="1"/>
      <c r="E6" s="1">
        <v>332784.25</v>
      </c>
      <c r="F6" s="1">
        <v>55828.29</v>
      </c>
      <c r="G6" s="1">
        <f>F6-E6</f>
        <v>-276955.96000000002</v>
      </c>
    </row>
    <row r="7" spans="1:7">
      <c r="A7" t="s">
        <v>239</v>
      </c>
      <c r="B7" s="26" t="s">
        <v>258</v>
      </c>
      <c r="C7" s="1"/>
      <c r="D7" s="1"/>
      <c r="E7" s="1"/>
      <c r="F7" s="1"/>
      <c r="G7" s="1">
        <f>F7-E7</f>
        <v>0</v>
      </c>
    </row>
    <row r="8" spans="1:7">
      <c r="A8" t="s">
        <v>240</v>
      </c>
      <c r="B8" s="26" t="s">
        <v>258</v>
      </c>
      <c r="C8" s="1"/>
      <c r="D8" s="1"/>
      <c r="E8" s="1"/>
      <c r="F8" s="1"/>
      <c r="G8" s="1">
        <f>F8-E8</f>
        <v>0</v>
      </c>
    </row>
    <row r="9" spans="1:7">
      <c r="A9" s="32" t="s">
        <v>241</v>
      </c>
      <c r="B9" s="33" t="s">
        <v>258</v>
      </c>
      <c r="C9" s="34">
        <v>105673604.09999999</v>
      </c>
      <c r="D9" s="34">
        <v>133971677.25</v>
      </c>
      <c r="E9" s="34">
        <v>98558438.689999998</v>
      </c>
      <c r="F9" s="34">
        <v>120492589.31</v>
      </c>
      <c r="G9" s="1">
        <f>F9-E9</f>
        <v>21934150.620000005</v>
      </c>
    </row>
    <row r="10" spans="1:7">
      <c r="A10" s="35" t="s">
        <v>262</v>
      </c>
      <c r="B10" s="36" t="s">
        <v>258</v>
      </c>
      <c r="C10" s="94">
        <f t="shared" ref="C10:D10" si="0">SUM(C2:C9)</f>
        <v>4595129197.8500004</v>
      </c>
      <c r="D10" s="94">
        <f t="shared" si="0"/>
        <v>4741486686.5199995</v>
      </c>
      <c r="E10" s="94">
        <f t="shared" ref="E10:F10" si="1">SUM(E2:E9)</f>
        <v>4855781531.789999</v>
      </c>
      <c r="F10" s="94">
        <f t="shared" si="1"/>
        <v>4684904229.250001</v>
      </c>
      <c r="G10" s="11">
        <f>F10-E10</f>
        <v>-170877302.53999805</v>
      </c>
    </row>
    <row r="11" spans="1:7">
      <c r="A11" t="s">
        <v>242</v>
      </c>
      <c r="B11" s="26" t="s">
        <v>259</v>
      </c>
      <c r="C11" s="1">
        <v>9932643.1300000008</v>
      </c>
      <c r="D11" s="1">
        <v>8194509.1900000004</v>
      </c>
      <c r="E11" s="1">
        <v>11189956.98</v>
      </c>
      <c r="F11" s="1">
        <v>17562134.809999999</v>
      </c>
      <c r="G11" s="1">
        <f>F11-E11</f>
        <v>6372177.8299999982</v>
      </c>
    </row>
    <row r="12" spans="1:7">
      <c r="A12" t="s">
        <v>243</v>
      </c>
      <c r="B12" s="26" t="s">
        <v>259</v>
      </c>
      <c r="C12" s="1">
        <v>174310228.27000001</v>
      </c>
      <c r="D12" s="1">
        <v>203744466.08000001</v>
      </c>
      <c r="E12" s="1">
        <v>183260553.31999999</v>
      </c>
      <c r="F12" s="1">
        <v>204714824.38</v>
      </c>
      <c r="G12" s="1">
        <f>F12-E12</f>
        <v>21454271.060000002</v>
      </c>
    </row>
    <row r="13" spans="1:7">
      <c r="A13" t="s">
        <v>244</v>
      </c>
      <c r="B13" s="26" t="s">
        <v>259</v>
      </c>
      <c r="C13" s="1">
        <v>11118351.779999999</v>
      </c>
      <c r="D13" s="1">
        <v>9893427.7200000007</v>
      </c>
      <c r="E13" s="1">
        <v>12597342.32</v>
      </c>
      <c r="F13" s="1">
        <v>12230993.33</v>
      </c>
      <c r="G13" s="1">
        <f>F13-E13</f>
        <v>-366348.99000000022</v>
      </c>
    </row>
    <row r="14" spans="1:7">
      <c r="A14" t="s">
        <v>245</v>
      </c>
      <c r="B14" s="26" t="s">
        <v>259</v>
      </c>
      <c r="C14" s="1">
        <v>3371201173.0599999</v>
      </c>
      <c r="D14" s="1">
        <v>3563494383.6199999</v>
      </c>
      <c r="E14" s="1">
        <v>3523345730.4400001</v>
      </c>
      <c r="F14" s="1">
        <v>3398284763.2600002</v>
      </c>
      <c r="G14" s="1">
        <f>F14-E14</f>
        <v>-125060967.17999983</v>
      </c>
    </row>
    <row r="15" spans="1:7">
      <c r="A15" t="s">
        <v>246</v>
      </c>
      <c r="B15" s="26" t="s">
        <v>259</v>
      </c>
      <c r="C15" s="1">
        <v>697810801.88999999</v>
      </c>
      <c r="D15" s="1">
        <v>709176230.60000002</v>
      </c>
      <c r="E15" s="1">
        <v>728726412.38</v>
      </c>
      <c r="F15" s="1">
        <v>734331237.46000004</v>
      </c>
      <c r="G15" s="1">
        <f>F15-E15</f>
        <v>5604825.0800000429</v>
      </c>
    </row>
    <row r="16" spans="1:7">
      <c r="A16" t="s">
        <v>247</v>
      </c>
      <c r="B16" s="26" t="s">
        <v>259</v>
      </c>
      <c r="C16" s="1">
        <v>43703562.780000001</v>
      </c>
      <c r="D16" s="1">
        <v>60995080.890000001</v>
      </c>
      <c r="E16" s="1">
        <v>44518194.899999999</v>
      </c>
      <c r="F16" s="1">
        <v>50243296.130000003</v>
      </c>
      <c r="G16" s="1">
        <f>F16-E16</f>
        <v>5725101.2300000042</v>
      </c>
    </row>
    <row r="17" spans="1:7">
      <c r="A17" t="s">
        <v>248</v>
      </c>
      <c r="B17" s="26" t="s">
        <v>259</v>
      </c>
      <c r="C17" s="1">
        <v>0</v>
      </c>
      <c r="D17" s="1">
        <v>0</v>
      </c>
      <c r="E17" s="1">
        <v>0</v>
      </c>
      <c r="F17" s="1">
        <v>0</v>
      </c>
      <c r="G17" s="1">
        <f>F17-E17</f>
        <v>0</v>
      </c>
    </row>
    <row r="18" spans="1:7">
      <c r="A18" t="s">
        <v>249</v>
      </c>
      <c r="B18" s="26" t="s">
        <v>259</v>
      </c>
      <c r="C18" s="1">
        <v>0</v>
      </c>
      <c r="D18" s="1">
        <v>3850000</v>
      </c>
      <c r="E18" s="1">
        <v>1109280.5</v>
      </c>
      <c r="F18" s="1">
        <v>4519741</v>
      </c>
      <c r="G18" s="1">
        <f>F18-E18</f>
        <v>3410460.5</v>
      </c>
    </row>
    <row r="19" spans="1:7">
      <c r="A19" t="s">
        <v>13</v>
      </c>
      <c r="B19" s="26" t="s">
        <v>259</v>
      </c>
      <c r="C19" s="1">
        <v>0</v>
      </c>
      <c r="D19" s="1">
        <v>0</v>
      </c>
      <c r="E19" s="1">
        <v>0</v>
      </c>
      <c r="F19" s="1">
        <v>0</v>
      </c>
      <c r="G19" s="1">
        <f>F19-E19</f>
        <v>0</v>
      </c>
    </row>
    <row r="20" spans="1:7">
      <c r="A20" s="32" t="s">
        <v>250</v>
      </c>
      <c r="B20" s="33" t="s">
        <v>259</v>
      </c>
      <c r="C20" s="34">
        <v>7464909.4500000002</v>
      </c>
      <c r="D20" s="1">
        <v>8270731.9500000002</v>
      </c>
      <c r="E20" s="1">
        <v>7564054.7999999998</v>
      </c>
      <c r="F20" s="1">
        <v>11502796.880000001</v>
      </c>
      <c r="G20" s="1">
        <f>F20-E20</f>
        <v>3938742.080000001</v>
      </c>
    </row>
    <row r="21" spans="1:7">
      <c r="A21" s="35" t="s">
        <v>263</v>
      </c>
      <c r="B21" s="36" t="s">
        <v>259</v>
      </c>
      <c r="C21" s="94">
        <f t="shared" ref="C21:D21" si="2">SUM(C11:C20)</f>
        <v>4315541670.3599997</v>
      </c>
      <c r="D21" s="94">
        <f t="shared" si="2"/>
        <v>4567618830.0500002</v>
      </c>
      <c r="E21" s="94">
        <f t="shared" ref="E21:F21" si="3">SUM(E11:E20)</f>
        <v>4512311525.6399994</v>
      </c>
      <c r="F21" s="94">
        <f t="shared" si="3"/>
        <v>4433389787.25</v>
      </c>
      <c r="G21" s="11">
        <f>F21-E21</f>
        <v>-78921738.38999939</v>
      </c>
    </row>
    <row r="22" spans="1:7">
      <c r="A22" t="s">
        <v>251</v>
      </c>
      <c r="B22" s="26" t="s">
        <v>258</v>
      </c>
      <c r="C22" s="1">
        <v>14873673.33</v>
      </c>
      <c r="D22" s="1">
        <v>23571275.219999999</v>
      </c>
      <c r="E22" s="1">
        <v>19373984.68</v>
      </c>
      <c r="F22" s="1">
        <v>25613780.73</v>
      </c>
      <c r="G22" s="1">
        <f>F22-E22</f>
        <v>6239796.0500000007</v>
      </c>
    </row>
    <row r="23" spans="1:7">
      <c r="A23" t="s">
        <v>252</v>
      </c>
      <c r="B23" s="26" t="s">
        <v>259</v>
      </c>
      <c r="C23" s="1">
        <v>152963.23000000001</v>
      </c>
      <c r="D23" s="1">
        <v>82328.009999999995</v>
      </c>
      <c r="E23" s="1">
        <v>53258.05</v>
      </c>
      <c r="F23" s="1">
        <v>23190.79</v>
      </c>
      <c r="G23" s="1">
        <f>F23-E23</f>
        <v>-30067.260000000002</v>
      </c>
    </row>
    <row r="24" spans="1:7">
      <c r="A24" t="s">
        <v>253</v>
      </c>
      <c r="B24" s="26" t="s">
        <v>258</v>
      </c>
      <c r="C24" s="1">
        <v>130735388.51000001</v>
      </c>
      <c r="D24" s="1">
        <v>79628814.209999993</v>
      </c>
      <c r="E24" s="1">
        <v>26819249.960000001</v>
      </c>
      <c r="F24" s="1">
        <v>46982795.560000002</v>
      </c>
      <c r="G24" s="1">
        <f>F24-E24</f>
        <v>20163545.600000001</v>
      </c>
    </row>
    <row r="25" spans="1:7">
      <c r="A25" t="s">
        <v>254</v>
      </c>
      <c r="B25" s="26" t="s">
        <v>258</v>
      </c>
      <c r="C25" s="1">
        <v>27559470.100000001</v>
      </c>
      <c r="D25" s="1">
        <v>11755272.560000001</v>
      </c>
      <c r="E25" s="1">
        <v>16372253.619999999</v>
      </c>
      <c r="F25" s="1">
        <v>17817539.640000001</v>
      </c>
      <c r="G25" s="1">
        <f>F25-E25</f>
        <v>1445286.0200000014</v>
      </c>
    </row>
    <row r="26" spans="1:7">
      <c r="A26" t="s">
        <v>255</v>
      </c>
      <c r="B26" s="26" t="s">
        <v>259</v>
      </c>
      <c r="C26" s="1">
        <v>42338667.840000004</v>
      </c>
      <c r="D26" s="1">
        <v>21580751.02</v>
      </c>
      <c r="E26" s="1">
        <v>19584275.780000001</v>
      </c>
      <c r="F26" s="1">
        <v>23907060.039999999</v>
      </c>
      <c r="G26" s="1">
        <f>F26-E26</f>
        <v>4322784.2599999979</v>
      </c>
    </row>
    <row r="27" spans="1:7">
      <c r="A27" t="s">
        <v>256</v>
      </c>
      <c r="B27" s="26" t="s">
        <v>259</v>
      </c>
      <c r="C27" s="1">
        <v>43092955.159999996</v>
      </c>
      <c r="D27" s="1">
        <v>42800648.109999999</v>
      </c>
      <c r="E27" s="1">
        <v>43899293.259999998</v>
      </c>
      <c r="F27" s="1">
        <v>44097750.57</v>
      </c>
      <c r="G27" s="1">
        <f>F27-E27</f>
        <v>198457.31000000238</v>
      </c>
    </row>
    <row r="28" spans="1:7">
      <c r="A28" s="10" t="s">
        <v>257</v>
      </c>
      <c r="B28" s="36" t="s">
        <v>260</v>
      </c>
      <c r="C28" s="37">
        <f t="shared" ref="C28:D28" si="4">C10-C21+C22-C23+C24+C25-C26-C27</f>
        <v>367171473.20000076</v>
      </c>
      <c r="D28" s="37">
        <f t="shared" si="4"/>
        <v>224359491.31999934</v>
      </c>
      <c r="E28" s="37">
        <f t="shared" ref="E28:F28" si="5">E10-E21+E22-E23+E24+E25-E26-E27</f>
        <v>342498667.31999958</v>
      </c>
      <c r="F28" s="37">
        <f t="shared" si="5"/>
        <v>273900556.53000093</v>
      </c>
      <c r="G28" s="37">
        <f>F28-E28</f>
        <v>-68598110.789998651</v>
      </c>
    </row>
  </sheetData>
  <conditionalFormatting sqref="C28:G28">
    <cfRule type="cellIs" dxfId="80" priority="16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5"/>
  <sheetViews>
    <sheetView showGridLines="0" workbookViewId="0">
      <selection activeCell="F1" sqref="F1:F1048576"/>
    </sheetView>
  </sheetViews>
  <sheetFormatPr defaultRowHeight="15"/>
  <cols>
    <col min="1" max="1" width="50.7109375" bestFit="1" customWidth="1"/>
    <col min="2" max="5" width="14.28515625" bestFit="1" customWidth="1"/>
    <col min="6" max="6" width="12.28515625" bestFit="1" customWidth="1"/>
  </cols>
  <sheetData>
    <row r="1" spans="1:6">
      <c r="A1" s="41"/>
      <c r="B1" s="42">
        <v>2017</v>
      </c>
      <c r="C1" s="42">
        <v>2018</v>
      </c>
      <c r="D1" s="42">
        <v>2019</v>
      </c>
      <c r="E1" s="42">
        <v>2020</v>
      </c>
      <c r="F1" s="42" t="s">
        <v>264</v>
      </c>
    </row>
    <row r="2" spans="1:6">
      <c r="A2" s="71" t="s">
        <v>341</v>
      </c>
      <c r="B2" s="64">
        <f>Conto_economico!C10</f>
        <v>4595129197.8500004</v>
      </c>
      <c r="C2" s="64">
        <f>Conto_economico!D10</f>
        <v>4741486686.5199995</v>
      </c>
      <c r="D2" s="64">
        <f>Conto_economico!E10</f>
        <v>4855781531.789999</v>
      </c>
      <c r="E2" s="64">
        <f>Conto_economico!F10</f>
        <v>4684904229.250001</v>
      </c>
      <c r="F2" s="64">
        <f>E2-D2</f>
        <v>-170877302.53999805</v>
      </c>
    </row>
    <row r="3" spans="1:6">
      <c r="A3" s="71" t="s">
        <v>336</v>
      </c>
      <c r="B3" s="64">
        <f>Conto_economico!C2</f>
        <v>4235526007.9099998</v>
      </c>
      <c r="C3" s="64">
        <f>Conto_economico!D2</f>
        <v>4262981159.5500002</v>
      </c>
      <c r="D3" s="64">
        <f>Conto_economico!E2</f>
        <v>4300716461.25</v>
      </c>
      <c r="E3" s="64">
        <f>Conto_economico!F2</f>
        <v>4052904794.7600002</v>
      </c>
      <c r="F3" s="64">
        <f>E3-D3</f>
        <v>-247811666.48999977</v>
      </c>
    </row>
    <row r="4" spans="1:6">
      <c r="A4" s="71" t="s">
        <v>337</v>
      </c>
      <c r="B4" s="64">
        <f>Conto_economico!C4</f>
        <v>182262078.75999999</v>
      </c>
      <c r="C4" s="64">
        <f>Conto_economico!D4</f>
        <v>255262029.97999999</v>
      </c>
      <c r="D4" s="64">
        <f>Conto_economico!E4</f>
        <v>384932564.11000001</v>
      </c>
      <c r="E4" s="64">
        <f>Conto_economico!F4</f>
        <v>445757672.04000002</v>
      </c>
      <c r="F4" s="64">
        <f>E4-D4</f>
        <v>60825107.930000007</v>
      </c>
    </row>
    <row r="5" spans="1:6">
      <c r="A5" s="71" t="s">
        <v>342</v>
      </c>
      <c r="B5" s="65">
        <f>Conto_economico!C21</f>
        <v>4315541670.3599997</v>
      </c>
      <c r="C5" s="65">
        <f>Conto_economico!D21</f>
        <v>4567618830.0500002</v>
      </c>
      <c r="D5" s="65">
        <f>Conto_economico!E21</f>
        <v>4512311525.6399994</v>
      </c>
      <c r="E5" s="65">
        <f>Conto_economico!F21</f>
        <v>4433389787.25</v>
      </c>
      <c r="F5" s="64">
        <f>E5-D5</f>
        <v>-78921738.38999939</v>
      </c>
    </row>
    <row r="6" spans="1:6">
      <c r="A6" s="71" t="s">
        <v>338</v>
      </c>
      <c r="B6" s="64">
        <f>Conto_economico!C12</f>
        <v>174310228.27000001</v>
      </c>
      <c r="C6" s="64">
        <f>Conto_economico!D12</f>
        <v>203744466.08000001</v>
      </c>
      <c r="D6" s="64">
        <f>Conto_economico!E12</f>
        <v>183260553.31999999</v>
      </c>
      <c r="E6" s="64">
        <f>Conto_economico!F12</f>
        <v>204714824.38</v>
      </c>
      <c r="F6" s="64">
        <f>E6-D6</f>
        <v>21454271.060000002</v>
      </c>
    </row>
    <row r="7" spans="1:6">
      <c r="A7" s="71" t="s">
        <v>339</v>
      </c>
      <c r="B7" s="64">
        <f>Conto_economico!C15</f>
        <v>697810801.88999999</v>
      </c>
      <c r="C7" s="64">
        <f>Conto_economico!D15</f>
        <v>709176230.60000002</v>
      </c>
      <c r="D7" s="64">
        <f>Conto_economico!E15</f>
        <v>728726412.38</v>
      </c>
      <c r="E7" s="64">
        <f>Conto_economico!F15</f>
        <v>734331237.46000004</v>
      </c>
      <c r="F7" s="64">
        <f>E7-D7</f>
        <v>5604825.0800000429</v>
      </c>
    </row>
    <row r="8" spans="1:6">
      <c r="A8" s="71" t="s">
        <v>340</v>
      </c>
      <c r="B8" s="64">
        <f>Conto_economico!C16</f>
        <v>43703562.780000001</v>
      </c>
      <c r="C8" s="64">
        <f>Conto_economico!D16</f>
        <v>60995080.890000001</v>
      </c>
      <c r="D8" s="64">
        <f>Conto_economico!E16</f>
        <v>44518194.899999999</v>
      </c>
      <c r="E8" s="64">
        <f>Conto_economico!F16</f>
        <v>50243296.130000003</v>
      </c>
      <c r="F8" s="64">
        <f>E8-D8</f>
        <v>5725101.2300000042</v>
      </c>
    </row>
    <row r="9" spans="1:6">
      <c r="A9" s="47" t="s">
        <v>304</v>
      </c>
      <c r="B9" s="66">
        <f t="shared" ref="B9:C9" si="0">B2-B5</f>
        <v>279587527.49000072</v>
      </c>
      <c r="C9" s="66">
        <f t="shared" si="0"/>
        <v>173867856.46999931</v>
      </c>
      <c r="D9" s="66">
        <f t="shared" ref="D9:E9" si="1">D2-D5</f>
        <v>343470006.14999962</v>
      </c>
      <c r="E9" s="66">
        <f t="shared" si="1"/>
        <v>251514442.00000095</v>
      </c>
      <c r="F9" s="66">
        <f>E9-D9</f>
        <v>-91955564.149998665</v>
      </c>
    </row>
    <row r="10" spans="1:6">
      <c r="A10" s="71" t="s">
        <v>305</v>
      </c>
      <c r="B10" s="64">
        <f>Conto_economico!C22-Conto_economico!C23</f>
        <v>14720710.1</v>
      </c>
      <c r="C10" s="64">
        <f>Conto_economico!D22-Conto_economico!D23</f>
        <v>23488947.209999997</v>
      </c>
      <c r="D10" s="64">
        <f>Conto_economico!E22-Conto_economico!E23</f>
        <v>19320726.629999999</v>
      </c>
      <c r="E10" s="64">
        <f>Conto_economico!F22-Conto_economico!F23</f>
        <v>25590589.940000001</v>
      </c>
      <c r="F10" s="64">
        <f>E10-D10</f>
        <v>6269863.3100000024</v>
      </c>
    </row>
    <row r="11" spans="1:6">
      <c r="A11" s="71" t="s">
        <v>306</v>
      </c>
      <c r="B11" s="65">
        <f>Conto_economico!C25-Conto_economico!C26</f>
        <v>-14779197.740000002</v>
      </c>
      <c r="C11" s="65">
        <f>Conto_economico!D25-Conto_economico!D26</f>
        <v>-9825478.459999999</v>
      </c>
      <c r="D11" s="65">
        <f>Conto_economico!E25-Conto_economico!E26</f>
        <v>-3212022.160000002</v>
      </c>
      <c r="E11" s="65">
        <f>Conto_economico!F25-Conto_economico!F26</f>
        <v>-6089520.3999999985</v>
      </c>
      <c r="F11" s="64">
        <f>E11-D11</f>
        <v>-2877498.2399999965</v>
      </c>
    </row>
    <row r="12" spans="1:6">
      <c r="A12" s="71" t="s">
        <v>253</v>
      </c>
      <c r="B12" s="65">
        <f>Conto_economico!C24</f>
        <v>130735388.51000001</v>
      </c>
      <c r="C12" s="65">
        <f>Conto_economico!D24</f>
        <v>79628814.209999993</v>
      </c>
      <c r="D12" s="65">
        <f>Conto_economico!E24</f>
        <v>26819249.960000001</v>
      </c>
      <c r="E12" s="65">
        <f>Conto_economico!F24</f>
        <v>46982795.560000002</v>
      </c>
      <c r="F12" s="64">
        <f>E12-D12</f>
        <v>20163545.600000001</v>
      </c>
    </row>
    <row r="13" spans="1:6">
      <c r="A13" s="47" t="s">
        <v>307</v>
      </c>
      <c r="B13" s="66">
        <f t="shared" ref="B13:C13" si="2">SUM(B9:B12)</f>
        <v>410264428.36000073</v>
      </c>
      <c r="C13" s="66">
        <f t="shared" si="2"/>
        <v>267160139.42999929</v>
      </c>
      <c r="D13" s="66">
        <f t="shared" ref="D13:E13" si="3">SUM(D9:D12)</f>
        <v>386397960.57999957</v>
      </c>
      <c r="E13" s="66">
        <f t="shared" si="3"/>
        <v>317998307.10000098</v>
      </c>
      <c r="F13" s="66">
        <f>E13-D13</f>
        <v>-68399653.479998589</v>
      </c>
    </row>
    <row r="14" spans="1:6">
      <c r="A14" s="71" t="s">
        <v>256</v>
      </c>
      <c r="B14" s="64">
        <f>Conto_economico!C27</f>
        <v>43092955.159999996</v>
      </c>
      <c r="C14" s="64">
        <f>Conto_economico!D27</f>
        <v>42800648.109999999</v>
      </c>
      <c r="D14" s="64">
        <f>Conto_economico!E27</f>
        <v>43899293.259999998</v>
      </c>
      <c r="E14" s="64">
        <f>Conto_economico!F27</f>
        <v>44097750.57</v>
      </c>
      <c r="F14" s="64">
        <f>E14-D14</f>
        <v>198457.31000000238</v>
      </c>
    </row>
    <row r="15" spans="1:6">
      <c r="A15" s="70" t="s">
        <v>257</v>
      </c>
      <c r="B15" s="67">
        <f t="shared" ref="B15:C15" si="4">B13-B14</f>
        <v>367171473.20000076</v>
      </c>
      <c r="C15" s="67">
        <f t="shared" si="4"/>
        <v>224359491.31999928</v>
      </c>
      <c r="D15" s="67">
        <f t="shared" ref="D15:E15" si="5">D13-D14</f>
        <v>342498667.31999958</v>
      </c>
      <c r="E15" s="67">
        <f t="shared" si="5"/>
        <v>273900556.53000098</v>
      </c>
      <c r="F15" s="67">
        <f>E15-D15</f>
        <v>-68598110.789998591</v>
      </c>
    </row>
  </sheetData>
  <conditionalFormatting sqref="B15:F15">
    <cfRule type="cellIs" dxfId="75" priority="17" operator="greaterThan">
      <formula>0</formula>
    </cfRule>
  </conditionalFormatting>
  <conditionalFormatting sqref="B13:F13 B9:F9">
    <cfRule type="cellIs" dxfId="74" priority="16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9"/>
  <sheetViews>
    <sheetView showGridLines="0" topLeftCell="A18" workbookViewId="0">
      <selection activeCell="F20" sqref="F20"/>
    </sheetView>
  </sheetViews>
  <sheetFormatPr defaultRowHeight="15"/>
  <cols>
    <col min="1" max="1" width="51.7109375" style="32" bestFit="1" customWidth="1"/>
    <col min="2" max="6" width="13.85546875" bestFit="1" customWidth="1"/>
    <col min="7" max="8" width="12.7109375" bestFit="1" customWidth="1"/>
  </cols>
  <sheetData>
    <row r="1" spans="1:6">
      <c r="A1" s="73"/>
      <c r="B1" s="96">
        <v>2016</v>
      </c>
      <c r="C1" s="69">
        <v>2017</v>
      </c>
      <c r="D1" s="69">
        <v>2018</v>
      </c>
      <c r="E1" s="69">
        <v>2019</v>
      </c>
      <c r="F1" s="69">
        <v>2020</v>
      </c>
    </row>
    <row r="2" spans="1:6">
      <c r="A2" s="32" t="s">
        <v>211</v>
      </c>
      <c r="B2" s="1">
        <v>0</v>
      </c>
      <c r="C2" s="1">
        <v>0</v>
      </c>
      <c r="D2" s="1">
        <v>0</v>
      </c>
      <c r="E2" s="1">
        <v>0</v>
      </c>
      <c r="F2" s="1">
        <v>0</v>
      </c>
    </row>
    <row r="3" spans="1:6">
      <c r="A3" s="32" t="s">
        <v>212</v>
      </c>
      <c r="B3" s="1">
        <v>31322469.170000002</v>
      </c>
      <c r="C3" s="1">
        <v>63276469.159999996</v>
      </c>
      <c r="D3" s="1">
        <v>60221719.840000004</v>
      </c>
      <c r="E3" s="1">
        <v>70548817.090000004</v>
      </c>
      <c r="F3" s="1">
        <v>54181315.869999997</v>
      </c>
    </row>
    <row r="4" spans="1:6">
      <c r="A4" s="32" t="s">
        <v>213</v>
      </c>
      <c r="B4" s="1">
        <v>2601858853.04</v>
      </c>
      <c r="C4" s="1">
        <v>2687976523.0700002</v>
      </c>
      <c r="D4" s="1">
        <v>2473382073.7199998</v>
      </c>
      <c r="E4" s="1">
        <v>2603249049.8400002</v>
      </c>
      <c r="F4" s="1">
        <v>2710009543.4000001</v>
      </c>
    </row>
    <row r="5" spans="1:6">
      <c r="A5" s="32" t="s">
        <v>227</v>
      </c>
      <c r="B5" s="1">
        <v>1976064108.24</v>
      </c>
      <c r="C5" s="1">
        <v>2004098829.8199999</v>
      </c>
      <c r="D5" s="1">
        <v>2092641550.3599999</v>
      </c>
      <c r="E5" s="1">
        <v>2102224621.8199999</v>
      </c>
      <c r="F5" s="1">
        <v>2105096587.1800001</v>
      </c>
    </row>
    <row r="6" spans="1:6">
      <c r="A6" s="32" t="s">
        <v>228</v>
      </c>
      <c r="B6" s="1">
        <v>969496927.07000005</v>
      </c>
      <c r="C6" s="1">
        <v>1064213635.35</v>
      </c>
      <c r="D6" s="1">
        <v>1097094062.29</v>
      </c>
      <c r="E6" s="1">
        <v>1079060252.48</v>
      </c>
      <c r="F6" s="1">
        <v>1076659313.3099999</v>
      </c>
    </row>
    <row r="7" spans="1:6">
      <c r="A7" s="32" t="s">
        <v>229</v>
      </c>
      <c r="B7" s="1">
        <v>51415793.380000003</v>
      </c>
      <c r="C7" s="1">
        <v>58244218.369999997</v>
      </c>
      <c r="D7" s="1">
        <v>58480176.219999999</v>
      </c>
      <c r="E7" s="1">
        <v>68259911.900000006</v>
      </c>
      <c r="F7" s="1">
        <v>73348017.609999999</v>
      </c>
    </row>
    <row r="8" spans="1:6">
      <c r="A8" s="32" t="s">
        <v>230</v>
      </c>
      <c r="B8" s="1">
        <v>0</v>
      </c>
      <c r="C8" s="1">
        <v>0</v>
      </c>
      <c r="D8" s="1">
        <v>1829922.75</v>
      </c>
      <c r="E8" s="1">
        <v>2162707</v>
      </c>
      <c r="F8" s="1">
        <v>2218535.29</v>
      </c>
    </row>
    <row r="9" spans="1:6">
      <c r="A9" s="32" t="s">
        <v>214</v>
      </c>
      <c r="B9" s="1">
        <v>2597273084.48</v>
      </c>
      <c r="C9" s="1">
        <v>2044708616.6099999</v>
      </c>
      <c r="D9" s="1">
        <v>1800092297.1500001</v>
      </c>
      <c r="E9" s="1">
        <v>1203895457.9000001</v>
      </c>
      <c r="F9" s="1">
        <v>1225131903.8</v>
      </c>
    </row>
    <row r="10" spans="1:6">
      <c r="A10" s="99" t="s">
        <v>358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</row>
    <row r="11" spans="1:6">
      <c r="A11" s="99" t="s">
        <v>361</v>
      </c>
      <c r="B11" s="1">
        <v>416638751.16000003</v>
      </c>
      <c r="C11" s="1">
        <v>411319246.12</v>
      </c>
      <c r="D11" s="1">
        <v>433124378.16000003</v>
      </c>
      <c r="E11" s="1">
        <v>429924575.20999998</v>
      </c>
      <c r="F11" s="1">
        <v>433646992.77999997</v>
      </c>
    </row>
    <row r="12" spans="1:6">
      <c r="A12" s="32" t="s">
        <v>231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</row>
    <row r="13" spans="1:6">
      <c r="A13" s="32" t="s">
        <v>215</v>
      </c>
      <c r="B13" s="1">
        <v>776784102.73000002</v>
      </c>
      <c r="C13" s="1">
        <v>1498258300.24</v>
      </c>
      <c r="D13" s="1">
        <v>1783374059.8</v>
      </c>
      <c r="E13" s="1">
        <v>2566241562.98</v>
      </c>
      <c r="F13" s="1">
        <v>2763912990.5999999</v>
      </c>
    </row>
    <row r="14" spans="1:6">
      <c r="A14" s="32" t="s">
        <v>216</v>
      </c>
      <c r="B14" s="1">
        <v>0</v>
      </c>
      <c r="C14" s="1">
        <v>0</v>
      </c>
      <c r="D14" s="1">
        <v>3800347.27</v>
      </c>
      <c r="E14" s="1">
        <v>3748688.28</v>
      </c>
      <c r="F14" s="1">
        <v>3141695.73</v>
      </c>
    </row>
    <row r="15" spans="1:6">
      <c r="A15" s="10" t="s">
        <v>217</v>
      </c>
      <c r="B15" s="11">
        <f t="shared" ref="B15:C15" si="0">SUM(B2:B9)+SUM(B12:B14)</f>
        <v>9004215338.1099987</v>
      </c>
      <c r="C15" s="11">
        <f t="shared" si="0"/>
        <v>9420776592.6200008</v>
      </c>
      <c r="D15" s="11">
        <f>SUM(D2:D9)+SUM(D12:D14)</f>
        <v>9370916209.3999996</v>
      </c>
      <c r="E15" s="11">
        <f>SUM(E2:E9)+SUM(E12:E14)</f>
        <v>9699391069.289999</v>
      </c>
      <c r="F15" s="11">
        <f>SUM(F2:F9)+SUM(F12:F14)</f>
        <v>10013699902.790001</v>
      </c>
    </row>
    <row r="16" spans="1:6">
      <c r="A16" s="32" t="s">
        <v>218</v>
      </c>
      <c r="B16" s="1">
        <v>656679235.79999995</v>
      </c>
      <c r="C16" s="1">
        <v>656679235.79999995</v>
      </c>
      <c r="D16" s="1">
        <v>721460210.36000001</v>
      </c>
      <c r="E16" s="1">
        <v>721460210.36000001</v>
      </c>
      <c r="F16" s="1">
        <v>721460210.36000001</v>
      </c>
    </row>
    <row r="17" spans="1:8">
      <c r="A17" s="32" t="s">
        <v>219</v>
      </c>
      <c r="B17" s="1">
        <v>6037385435.8999996</v>
      </c>
      <c r="C17" s="1">
        <v>6037374489.8999996</v>
      </c>
      <c r="D17" s="1">
        <v>6090001347.7200003</v>
      </c>
      <c r="E17" s="1">
        <v>6314119273.4799995</v>
      </c>
      <c r="F17" s="1">
        <v>6656623280.2700005</v>
      </c>
    </row>
    <row r="18" spans="1:8">
      <c r="A18" s="32" t="s">
        <v>220</v>
      </c>
      <c r="B18" s="1">
        <v>0</v>
      </c>
      <c r="C18" s="1">
        <v>367171473.19999999</v>
      </c>
      <c r="D18" s="1">
        <v>224359491.31999999</v>
      </c>
      <c r="E18" s="1">
        <v>342498667.31999999</v>
      </c>
      <c r="F18" s="1">
        <v>273900556.52999997</v>
      </c>
    </row>
    <row r="19" spans="1:8">
      <c r="A19" s="32" t="s">
        <v>221</v>
      </c>
      <c r="B19" s="1">
        <v>250645943.78</v>
      </c>
      <c r="C19" s="1">
        <f>246021917.94</f>
        <v>246021917.94</v>
      </c>
      <c r="D19" s="1">
        <f>11918447.99+231607784.76</f>
        <v>243526232.75</v>
      </c>
      <c r="E19" s="1">
        <f>10836527.85+236869442.77</f>
        <v>247705970.62</v>
      </c>
      <c r="F19" s="1">
        <f>11336539.16+242397154.84</f>
        <v>253733694</v>
      </c>
    </row>
    <row r="20" spans="1:8">
      <c r="A20" s="32" t="s">
        <v>208</v>
      </c>
      <c r="B20" s="1">
        <v>139986544.38</v>
      </c>
      <c r="C20" s="1">
        <v>127580523.8</v>
      </c>
      <c r="D20" s="1">
        <v>119614624.65000001</v>
      </c>
      <c r="E20" s="1">
        <v>111619700.5</v>
      </c>
      <c r="F20" s="1">
        <v>102323950.77</v>
      </c>
    </row>
    <row r="21" spans="1:8">
      <c r="A21" s="32" t="s">
        <v>222</v>
      </c>
      <c r="B21" s="1">
        <v>191554508.84999999</v>
      </c>
      <c r="C21" s="1">
        <v>188174521.44999999</v>
      </c>
      <c r="D21" s="1">
        <v>156382310.53999999</v>
      </c>
      <c r="E21" s="1">
        <v>161442948.75</v>
      </c>
      <c r="F21" s="1">
        <v>198188060.12</v>
      </c>
    </row>
    <row r="22" spans="1:8">
      <c r="A22" s="32" t="s">
        <v>223</v>
      </c>
      <c r="B22" s="1">
        <v>1613956642.8299999</v>
      </c>
      <c r="C22" s="1">
        <v>1715137017.03</v>
      </c>
      <c r="D22" s="1">
        <v>1760755781.8</v>
      </c>
      <c r="E22" s="1">
        <v>1746105233.0699999</v>
      </c>
      <c r="F22" s="1">
        <v>1757285750.02</v>
      </c>
    </row>
    <row r="23" spans="1:8">
      <c r="A23" s="99" t="s">
        <v>359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</row>
    <row r="24" spans="1:8">
      <c r="A24" s="99" t="s">
        <v>360</v>
      </c>
      <c r="B24" s="1">
        <v>1349816103.3199999</v>
      </c>
      <c r="C24" s="1">
        <v>1412449604.9400001</v>
      </c>
      <c r="D24" s="1">
        <v>1437866235.3199999</v>
      </c>
      <c r="E24" s="1">
        <v>1391874546.1600001</v>
      </c>
      <c r="F24" s="1">
        <v>1399606547.8499999</v>
      </c>
    </row>
    <row r="25" spans="1:8">
      <c r="A25" s="32" t="s">
        <v>224</v>
      </c>
      <c r="B25" s="1">
        <v>114007026.56999999</v>
      </c>
      <c r="C25" s="1">
        <v>82637413.5</v>
      </c>
      <c r="D25" s="1">
        <v>51654704.619999997</v>
      </c>
      <c r="E25" s="1">
        <v>52458064.450000003</v>
      </c>
      <c r="F25" s="1">
        <v>46241324.82</v>
      </c>
      <c r="G25" s="1"/>
      <c r="H25" s="1"/>
    </row>
    <row r="26" spans="1:8">
      <c r="A26" s="32" t="s">
        <v>225</v>
      </c>
      <c r="B26" s="1">
        <v>0</v>
      </c>
      <c r="C26" s="1">
        <v>0</v>
      </c>
      <c r="D26" s="1">
        <v>3161505.64</v>
      </c>
      <c r="E26" s="1">
        <v>1981000.74</v>
      </c>
      <c r="F26" s="1">
        <v>3943075.9</v>
      </c>
    </row>
    <row r="27" spans="1:8">
      <c r="A27" s="72" t="s">
        <v>226</v>
      </c>
      <c r="B27" s="3">
        <f t="shared" ref="B27:C27" si="1">SUM(B16:B26)-B23-B24</f>
        <v>9004215338.1100006</v>
      </c>
      <c r="C27" s="3">
        <f t="shared" si="1"/>
        <v>9420776592.6199989</v>
      </c>
      <c r="D27" s="3">
        <f>SUM(D16:D26)-D23-D24</f>
        <v>9370916209.3999996</v>
      </c>
      <c r="E27" s="3">
        <f>SUM(E16:E26)-E23-E24</f>
        <v>9699391069.289999</v>
      </c>
      <c r="F27" s="3">
        <f>SUM(F16:F26)-F23-F24</f>
        <v>10013699902.789999</v>
      </c>
    </row>
    <row r="28" spans="1:8">
      <c r="A28" s="10" t="s">
        <v>265</v>
      </c>
      <c r="B28" s="11">
        <f>B16+B17+B18</f>
        <v>6694064671.6999998</v>
      </c>
      <c r="C28" s="11">
        <f>C16+C17+C18</f>
        <v>7061225198.8999996</v>
      </c>
      <c r="D28" s="11">
        <f>D16+D17+D18</f>
        <v>7035821049.3999996</v>
      </c>
      <c r="E28" s="11">
        <f>E16+E17+E18</f>
        <v>7378078151.1599989</v>
      </c>
      <c r="F28" s="11">
        <f>F16+F17+F18</f>
        <v>7651984047.1599998</v>
      </c>
    </row>
    <row r="29" spans="1:8">
      <c r="C29" s="1"/>
      <c r="D29" s="6">
        <f>D28/D27*100</f>
        <v>75.081463670994538</v>
      </c>
      <c r="E29" s="6">
        <f>E28/E27*100</f>
        <v>76.067436589089695</v>
      </c>
      <c r="F29" s="6">
        <f>F28/F27*100</f>
        <v>76.415152455567579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21"/>
  <sheetViews>
    <sheetView topLeftCell="A221" workbookViewId="0">
      <selection activeCell="I92" sqref="I92"/>
    </sheetView>
  </sheetViews>
  <sheetFormatPr defaultRowHeight="15"/>
  <cols>
    <col min="2" max="2" width="83.28515625" bestFit="1" customWidth="1"/>
    <col min="3" max="3" width="11.85546875" customWidth="1"/>
  </cols>
  <sheetData>
    <row r="1" spans="1:8">
      <c r="A1" s="113" t="s">
        <v>209</v>
      </c>
      <c r="B1" s="113"/>
      <c r="C1" s="2" t="s">
        <v>210</v>
      </c>
      <c r="D1" s="97">
        <v>2016</v>
      </c>
      <c r="E1" s="97">
        <v>2017</v>
      </c>
      <c r="F1" s="97">
        <v>2018</v>
      </c>
      <c r="G1" s="97">
        <v>2019</v>
      </c>
      <c r="H1" s="97">
        <v>2020</v>
      </c>
    </row>
    <row r="2" spans="1:8">
      <c r="A2" t="s">
        <v>76</v>
      </c>
    </row>
    <row r="3" spans="1:8">
      <c r="A3" s="8" t="s">
        <v>77</v>
      </c>
      <c r="B3" s="8" t="s">
        <v>78</v>
      </c>
      <c r="C3" s="9">
        <v>48</v>
      </c>
      <c r="D3" s="7">
        <v>16.71</v>
      </c>
      <c r="E3" s="7">
        <v>17.350000000000001</v>
      </c>
      <c r="F3" s="7">
        <v>16.850000000000001</v>
      </c>
      <c r="G3" s="7">
        <v>16.57</v>
      </c>
      <c r="H3" s="7">
        <v>16.309999999999999</v>
      </c>
    </row>
    <row r="4" spans="1:8">
      <c r="A4" t="s">
        <v>79</v>
      </c>
      <c r="D4" s="7"/>
      <c r="E4" s="7"/>
      <c r="F4" s="7"/>
      <c r="G4" s="7"/>
      <c r="H4" s="7"/>
    </row>
    <row r="5" spans="1:8">
      <c r="A5" t="s">
        <v>80</v>
      </c>
      <c r="B5" t="s">
        <v>81</v>
      </c>
      <c r="D5" s="7">
        <v>102.48</v>
      </c>
      <c r="E5" s="7">
        <v>106.33</v>
      </c>
      <c r="F5" s="7">
        <v>105.22</v>
      </c>
      <c r="G5" s="7">
        <v>101.89</v>
      </c>
      <c r="H5" s="7">
        <v>102.08</v>
      </c>
    </row>
    <row r="6" spans="1:8">
      <c r="A6" t="s">
        <v>82</v>
      </c>
      <c r="B6" t="s">
        <v>83</v>
      </c>
      <c r="D6" s="7">
        <v>101.07</v>
      </c>
      <c r="E6" s="7">
        <v>100.41</v>
      </c>
      <c r="F6" s="7">
        <v>101.38</v>
      </c>
      <c r="G6" s="7">
        <v>100.92</v>
      </c>
      <c r="H6" s="7">
        <v>97.33</v>
      </c>
    </row>
    <row r="7" spans="1:8">
      <c r="A7" t="s">
        <v>84</v>
      </c>
      <c r="B7" t="s">
        <v>85</v>
      </c>
      <c r="D7" s="7">
        <v>100.65</v>
      </c>
      <c r="E7" s="7">
        <v>104.64</v>
      </c>
      <c r="F7" s="7">
        <v>101.96</v>
      </c>
      <c r="G7" s="7">
        <v>98.75</v>
      </c>
      <c r="H7" s="7">
        <v>94.61</v>
      </c>
    </row>
    <row r="8" spans="1:8">
      <c r="A8" t="s">
        <v>86</v>
      </c>
      <c r="B8" t="s">
        <v>87</v>
      </c>
      <c r="D8" s="7">
        <v>99.27</v>
      </c>
      <c r="E8" s="7">
        <v>98.82</v>
      </c>
      <c r="F8" s="7">
        <v>98.24</v>
      </c>
      <c r="G8" s="7">
        <v>97.81</v>
      </c>
      <c r="H8" s="7">
        <v>90.21</v>
      </c>
    </row>
    <row r="9" spans="1:8">
      <c r="A9" t="s">
        <v>88</v>
      </c>
      <c r="B9" t="s">
        <v>89</v>
      </c>
      <c r="D9" s="7">
        <v>107.25</v>
      </c>
      <c r="E9" s="7">
        <v>118.57</v>
      </c>
      <c r="F9" s="7">
        <v>101.79</v>
      </c>
      <c r="G9" s="7">
        <v>117.22</v>
      </c>
      <c r="H9" s="7">
        <v>106.15</v>
      </c>
    </row>
    <row r="10" spans="1:8">
      <c r="A10" t="s">
        <v>90</v>
      </c>
      <c r="B10" t="s">
        <v>91</v>
      </c>
      <c r="D10" s="7">
        <v>107.05</v>
      </c>
      <c r="E10" s="7">
        <v>118.57</v>
      </c>
      <c r="F10" s="7">
        <v>101.98</v>
      </c>
      <c r="G10" s="7">
        <v>117.87</v>
      </c>
      <c r="H10" s="7">
        <v>110.48</v>
      </c>
    </row>
    <row r="11" spans="1:8">
      <c r="A11" t="s">
        <v>92</v>
      </c>
      <c r="B11" t="s">
        <v>93</v>
      </c>
      <c r="D11" s="7">
        <v>106.02</v>
      </c>
      <c r="E11" s="7">
        <v>116.93</v>
      </c>
      <c r="F11" s="7">
        <v>99.12</v>
      </c>
      <c r="G11" s="7">
        <v>113.74</v>
      </c>
      <c r="H11" s="7">
        <v>98.61</v>
      </c>
    </row>
    <row r="12" spans="1:8">
      <c r="A12" s="8" t="s">
        <v>94</v>
      </c>
      <c r="B12" s="8" t="s">
        <v>95</v>
      </c>
      <c r="C12" s="9">
        <v>22</v>
      </c>
      <c r="D12" s="7">
        <v>105.83</v>
      </c>
      <c r="E12" s="7">
        <v>116.94</v>
      </c>
      <c r="F12" s="7">
        <v>99.31</v>
      </c>
      <c r="G12" s="7">
        <v>114.37</v>
      </c>
      <c r="H12" s="7">
        <v>102.64</v>
      </c>
    </row>
    <row r="13" spans="1:8">
      <c r="A13" t="s">
        <v>96</v>
      </c>
      <c r="D13" s="7"/>
      <c r="E13" s="7"/>
      <c r="F13" s="7"/>
      <c r="G13" s="7"/>
      <c r="H13" s="7"/>
    </row>
    <row r="14" spans="1:8">
      <c r="A14" t="s">
        <v>97</v>
      </c>
      <c r="B14" t="s">
        <v>98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>
      <c r="A15" s="8" t="s">
        <v>99</v>
      </c>
      <c r="B15" s="8" t="s">
        <v>100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>
      <c r="A16" t="s">
        <v>101</v>
      </c>
      <c r="D16" s="7"/>
      <c r="E16" s="7"/>
      <c r="F16" s="7"/>
      <c r="G16" s="7"/>
      <c r="H16" s="7"/>
    </row>
    <row r="17" spans="1:8">
      <c r="A17" t="s">
        <v>102</v>
      </c>
      <c r="B17" t="s">
        <v>103</v>
      </c>
      <c r="D17" s="7">
        <v>24.12</v>
      </c>
      <c r="E17" s="7">
        <v>22.34</v>
      </c>
      <c r="F17" s="7">
        <v>21.63</v>
      </c>
      <c r="G17" s="7">
        <v>22.01</v>
      </c>
      <c r="H17" s="7">
        <v>22.31</v>
      </c>
    </row>
    <row r="18" spans="1:8">
      <c r="A18" t="s">
        <v>104</v>
      </c>
      <c r="B18" t="s">
        <v>105</v>
      </c>
      <c r="D18" s="7">
        <v>6.57</v>
      </c>
      <c r="E18" s="7">
        <v>4.38</v>
      </c>
      <c r="F18" s="7">
        <v>2.79</v>
      </c>
      <c r="G18" s="7">
        <v>3.37</v>
      </c>
      <c r="H18" s="7">
        <v>3.58</v>
      </c>
    </row>
    <row r="19" spans="1:8">
      <c r="A19" t="s">
        <v>106</v>
      </c>
      <c r="B19" t="s">
        <v>107</v>
      </c>
      <c r="D19" s="7">
        <v>0.36</v>
      </c>
      <c r="E19" s="7">
        <v>0.28999999999999998</v>
      </c>
      <c r="F19" s="7">
        <v>0.36</v>
      </c>
      <c r="G19" s="7">
        <v>0.28999999999999998</v>
      </c>
      <c r="H19" s="7">
        <v>0.21</v>
      </c>
    </row>
    <row r="20" spans="1:8">
      <c r="A20" t="s">
        <v>108</v>
      </c>
      <c r="B20" t="s">
        <v>109</v>
      </c>
      <c r="D20" s="7">
        <v>1336.95</v>
      </c>
      <c r="E20" s="7">
        <v>1400.07</v>
      </c>
      <c r="F20" s="7">
        <v>1387.6</v>
      </c>
      <c r="G20" s="7">
        <v>1397.94</v>
      </c>
      <c r="H20" s="7">
        <v>1359.27</v>
      </c>
    </row>
    <row r="21" spans="1:8">
      <c r="A21" t="s">
        <v>110</v>
      </c>
      <c r="D21" s="7"/>
      <c r="E21" s="7"/>
      <c r="F21" s="7"/>
      <c r="G21" s="7"/>
      <c r="H21" s="7"/>
    </row>
    <row r="22" spans="1:8">
      <c r="A22" t="s">
        <v>111</v>
      </c>
      <c r="B22" t="s">
        <v>112</v>
      </c>
      <c r="D22" s="7">
        <v>3.37</v>
      </c>
      <c r="E22" s="7">
        <v>3.58</v>
      </c>
      <c r="F22" s="7">
        <v>3.44</v>
      </c>
      <c r="G22" s="7">
        <v>3.56</v>
      </c>
      <c r="H22" s="7">
        <v>3.84</v>
      </c>
    </row>
    <row r="23" spans="1:8">
      <c r="A23" t="s">
        <v>113</v>
      </c>
      <c r="D23" s="7"/>
      <c r="E23" s="7"/>
      <c r="F23" s="7"/>
      <c r="G23" s="7"/>
      <c r="H23" s="7"/>
    </row>
    <row r="24" spans="1:8">
      <c r="A24" t="s">
        <v>114</v>
      </c>
      <c r="B24" t="s">
        <v>115</v>
      </c>
      <c r="D24" s="7">
        <v>0.01</v>
      </c>
      <c r="E24" s="7">
        <v>0</v>
      </c>
      <c r="F24" s="7">
        <v>0</v>
      </c>
      <c r="G24" s="7">
        <v>0</v>
      </c>
      <c r="H24" s="7">
        <v>0</v>
      </c>
    </row>
    <row r="25" spans="1:8">
      <c r="A25" t="s">
        <v>116</v>
      </c>
      <c r="B25" t="s">
        <v>117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26" spans="1:8">
      <c r="A26" t="s">
        <v>118</v>
      </c>
      <c r="B26" t="s">
        <v>119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</row>
    <row r="27" spans="1:8">
      <c r="A27" t="s">
        <v>120</v>
      </c>
      <c r="D27" s="7"/>
      <c r="E27" s="7"/>
      <c r="F27" s="7"/>
      <c r="G27" s="7"/>
      <c r="H27" s="7"/>
    </row>
    <row r="28" spans="1:8">
      <c r="A28" t="s">
        <v>121</v>
      </c>
      <c r="B28" t="s">
        <v>122</v>
      </c>
      <c r="D28" s="7">
        <v>25.99</v>
      </c>
      <c r="E28" s="7">
        <v>24.1</v>
      </c>
      <c r="F28" s="7">
        <v>25.86</v>
      </c>
      <c r="G28" s="7">
        <v>25.71</v>
      </c>
      <c r="H28" s="7">
        <v>26.08</v>
      </c>
    </row>
    <row r="29" spans="1:8">
      <c r="A29" t="s">
        <v>123</v>
      </c>
      <c r="B29" t="s">
        <v>124</v>
      </c>
      <c r="D29" s="7">
        <v>310.33999999999997</v>
      </c>
      <c r="E29" s="7">
        <v>348.55</v>
      </c>
      <c r="F29" s="7">
        <v>381.98</v>
      </c>
      <c r="G29" s="7">
        <v>383.49</v>
      </c>
      <c r="H29" s="7">
        <v>367.75</v>
      </c>
    </row>
    <row r="30" spans="1:8">
      <c r="A30" t="s">
        <v>125</v>
      </c>
      <c r="B30" t="s">
        <v>126</v>
      </c>
      <c r="D30" s="7">
        <v>1651.21</v>
      </c>
      <c r="E30" s="7">
        <v>1669.07</v>
      </c>
      <c r="F30" s="7">
        <v>1898.09</v>
      </c>
      <c r="G30" s="7">
        <v>1855.17</v>
      </c>
      <c r="H30" s="7">
        <v>1827.07</v>
      </c>
    </row>
    <row r="31" spans="1:8">
      <c r="A31" t="s">
        <v>127</v>
      </c>
      <c r="B31" t="s">
        <v>128</v>
      </c>
      <c r="D31" s="7">
        <v>1961.55</v>
      </c>
      <c r="E31" s="7">
        <v>2017.63</v>
      </c>
      <c r="F31" s="7">
        <v>2280.0700000000002</v>
      </c>
      <c r="G31" s="7">
        <v>2238.65</v>
      </c>
      <c r="H31" s="7">
        <v>2194.83</v>
      </c>
    </row>
    <row r="32" spans="1:8">
      <c r="A32" t="s">
        <v>129</v>
      </c>
      <c r="B32" t="s">
        <v>130</v>
      </c>
      <c r="D32" s="7">
        <v>125.86</v>
      </c>
      <c r="E32" s="7">
        <v>99.46</v>
      </c>
      <c r="F32" s="7">
        <v>89.79</v>
      </c>
      <c r="G32" s="7">
        <v>90.75</v>
      </c>
      <c r="H32" s="7">
        <v>90.78</v>
      </c>
    </row>
    <row r="33" spans="1:8">
      <c r="A33" t="s">
        <v>131</v>
      </c>
      <c r="B33" t="s">
        <v>132</v>
      </c>
      <c r="D33" s="7">
        <v>0</v>
      </c>
      <c r="E33" s="7">
        <v>0</v>
      </c>
      <c r="F33" s="7">
        <v>0.66</v>
      </c>
      <c r="G33" s="7">
        <v>1.24</v>
      </c>
      <c r="H33" s="7">
        <v>3.04</v>
      </c>
    </row>
    <row r="34" spans="1:8">
      <c r="A34" t="s">
        <v>133</v>
      </c>
      <c r="B34" t="s">
        <v>134</v>
      </c>
      <c r="D34" s="7">
        <v>1.72</v>
      </c>
      <c r="E34" s="7">
        <v>0.62</v>
      </c>
      <c r="F34" s="7">
        <v>0.13</v>
      </c>
      <c r="G34" s="7">
        <v>0.8</v>
      </c>
      <c r="H34" s="7">
        <v>0.43</v>
      </c>
    </row>
    <row r="35" spans="1:8">
      <c r="A35" t="s">
        <v>135</v>
      </c>
      <c r="D35" s="7"/>
      <c r="E35" s="7"/>
      <c r="F35" s="7"/>
      <c r="G35" s="7"/>
      <c r="H35" s="7"/>
    </row>
    <row r="36" spans="1:8">
      <c r="A36" t="s">
        <v>136</v>
      </c>
      <c r="B36" t="s">
        <v>137</v>
      </c>
      <c r="D36" s="7">
        <v>66.47</v>
      </c>
      <c r="E36" s="7">
        <v>83.6</v>
      </c>
      <c r="F36" s="7">
        <v>88.86</v>
      </c>
      <c r="G36" s="7">
        <v>86.46</v>
      </c>
      <c r="H36" s="7">
        <v>87.31</v>
      </c>
    </row>
    <row r="37" spans="1:8">
      <c r="A37" t="s">
        <v>138</v>
      </c>
      <c r="B37" t="s">
        <v>139</v>
      </c>
      <c r="D37" s="7">
        <v>30.29</v>
      </c>
      <c r="E37" s="7">
        <v>22.08</v>
      </c>
      <c r="F37" s="7">
        <v>26.87</v>
      </c>
      <c r="G37" s="7">
        <v>22.62</v>
      </c>
      <c r="H37" s="7">
        <v>26.76</v>
      </c>
    </row>
    <row r="38" spans="1:8">
      <c r="A38" t="s">
        <v>140</v>
      </c>
      <c r="B38" t="s">
        <v>141</v>
      </c>
      <c r="D38" s="7">
        <v>0</v>
      </c>
      <c r="E38" s="7">
        <v>100</v>
      </c>
      <c r="F38" s="7">
        <v>0</v>
      </c>
      <c r="G38" s="7">
        <v>100</v>
      </c>
      <c r="H38" s="7">
        <v>0</v>
      </c>
    </row>
    <row r="39" spans="1:8">
      <c r="A39" t="s">
        <v>142</v>
      </c>
      <c r="B39" t="s">
        <v>143</v>
      </c>
      <c r="D39" s="7">
        <v>19.489999999999998</v>
      </c>
      <c r="E39" s="7">
        <v>21.96</v>
      </c>
      <c r="F39" s="7">
        <v>21.24</v>
      </c>
      <c r="G39" s="7">
        <v>39.33</v>
      </c>
      <c r="H39" s="7">
        <v>36.68</v>
      </c>
    </row>
    <row r="40" spans="1:8">
      <c r="A40" t="s">
        <v>144</v>
      </c>
      <c r="B40" t="s">
        <v>145</v>
      </c>
      <c r="D40" s="7">
        <v>19.61</v>
      </c>
      <c r="E40" s="7">
        <v>21.72</v>
      </c>
      <c r="F40" s="7">
        <v>4.6399999999999997</v>
      </c>
      <c r="G40" s="7">
        <v>3.23</v>
      </c>
      <c r="H40" s="7">
        <v>3.59</v>
      </c>
    </row>
    <row r="41" spans="1:8">
      <c r="A41" t="s">
        <v>146</v>
      </c>
      <c r="B41" t="s">
        <v>147</v>
      </c>
      <c r="D41" s="7">
        <v>99.99</v>
      </c>
      <c r="E41" s="7">
        <v>12.94</v>
      </c>
      <c r="F41" s="7">
        <v>24.65</v>
      </c>
      <c r="G41" s="7">
        <v>75.58</v>
      </c>
      <c r="H41" s="7">
        <v>95.23</v>
      </c>
    </row>
    <row r="42" spans="1:8">
      <c r="A42" t="s">
        <v>148</v>
      </c>
      <c r="D42" s="7"/>
      <c r="E42" s="7"/>
      <c r="F42" s="7"/>
      <c r="G42" s="7"/>
      <c r="H42" s="7"/>
    </row>
    <row r="43" spans="1:8">
      <c r="A43" t="s">
        <v>149</v>
      </c>
      <c r="B43" t="s">
        <v>150</v>
      </c>
      <c r="D43" s="7">
        <v>74.540000000000006</v>
      </c>
      <c r="E43" s="7">
        <v>76.569999999999993</v>
      </c>
      <c r="F43" s="7">
        <v>82.23</v>
      </c>
      <c r="G43" s="7">
        <v>82.22</v>
      </c>
      <c r="H43" s="7">
        <v>78.930000000000007</v>
      </c>
    </row>
    <row r="44" spans="1:8">
      <c r="A44" t="s">
        <v>151</v>
      </c>
      <c r="B44" t="s">
        <v>152</v>
      </c>
      <c r="D44" s="7">
        <v>30.74</v>
      </c>
      <c r="E44" s="7">
        <v>49.91</v>
      </c>
      <c r="F44" s="7">
        <v>60.8</v>
      </c>
      <c r="G44" s="7">
        <v>56.77</v>
      </c>
      <c r="H44" s="7">
        <v>50.82</v>
      </c>
    </row>
    <row r="45" spans="1:8">
      <c r="A45" t="s">
        <v>153</v>
      </c>
      <c r="B45" t="s">
        <v>154</v>
      </c>
      <c r="D45" s="7">
        <v>83.86</v>
      </c>
      <c r="E45" s="7">
        <v>90.45</v>
      </c>
      <c r="F45" s="7">
        <v>84.31</v>
      </c>
      <c r="G45" s="7">
        <v>88.08</v>
      </c>
      <c r="H45" s="7">
        <v>82.76</v>
      </c>
    </row>
    <row r="46" spans="1:8">
      <c r="A46" t="s">
        <v>155</v>
      </c>
      <c r="B46" t="s">
        <v>156</v>
      </c>
      <c r="D46" s="7">
        <v>52.33</v>
      </c>
      <c r="E46" s="7">
        <v>14.09</v>
      </c>
      <c r="F46" s="7">
        <v>30.94</v>
      </c>
      <c r="G46" s="7">
        <v>27.13</v>
      </c>
      <c r="H46" s="7">
        <v>33.85</v>
      </c>
    </row>
    <row r="47" spans="1:8">
      <c r="A47" t="s">
        <v>157</v>
      </c>
      <c r="B47" t="s">
        <v>158</v>
      </c>
      <c r="D47" s="7">
        <v>-0.65</v>
      </c>
      <c r="E47" s="7">
        <v>-5.49</v>
      </c>
      <c r="F47" s="7">
        <v>-7.26</v>
      </c>
      <c r="G47" s="7">
        <v>-7.47</v>
      </c>
      <c r="H47" s="7">
        <v>-13.1</v>
      </c>
    </row>
    <row r="48" spans="1:8">
      <c r="A48" t="s">
        <v>159</v>
      </c>
      <c r="D48" s="7"/>
      <c r="E48" s="7"/>
      <c r="F48" s="7"/>
      <c r="G48" s="7"/>
      <c r="H48" s="7"/>
    </row>
    <row r="49" spans="1:8">
      <c r="A49" t="s">
        <v>160</v>
      </c>
      <c r="B49" t="s">
        <v>161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</row>
    <row r="50" spans="1:8">
      <c r="A50" t="s">
        <v>162</v>
      </c>
      <c r="B50" t="s">
        <v>163</v>
      </c>
      <c r="D50" s="7">
        <v>0</v>
      </c>
      <c r="E50" s="7">
        <v>8.86</v>
      </c>
      <c r="F50" s="7">
        <v>6.24</v>
      </c>
      <c r="G50" s="7">
        <v>6.68</v>
      </c>
      <c r="H50" s="7">
        <v>8.33</v>
      </c>
    </row>
    <row r="51" spans="1:8">
      <c r="A51" s="8" t="s">
        <v>164</v>
      </c>
      <c r="B51" s="8" t="s">
        <v>165</v>
      </c>
      <c r="C51" s="9">
        <v>16</v>
      </c>
      <c r="D51" s="7">
        <v>0</v>
      </c>
      <c r="E51" s="7">
        <v>0.23</v>
      </c>
      <c r="F51" s="7">
        <v>0.15</v>
      </c>
      <c r="G51" s="7">
        <v>0.15</v>
      </c>
      <c r="H51" s="7">
        <v>0.18</v>
      </c>
    </row>
    <row r="52" spans="1:8">
      <c r="A52" t="s">
        <v>166</v>
      </c>
      <c r="B52" t="s">
        <v>167</v>
      </c>
      <c r="D52" s="7">
        <v>260.09023096374551</v>
      </c>
      <c r="E52" s="7">
        <v>236.87258876651492</v>
      </c>
      <c r="F52" s="7">
        <v>221.06</v>
      </c>
      <c r="G52" s="7">
        <v>205.66</v>
      </c>
      <c r="H52" s="7">
        <v>187.84</v>
      </c>
    </row>
    <row r="53" spans="1:8">
      <c r="A53" t="s">
        <v>168</v>
      </c>
      <c r="D53" s="7">
        <v>0</v>
      </c>
      <c r="E53" s="7">
        <v>0</v>
      </c>
      <c r="F53" s="7">
        <v>61.760156075094905</v>
      </c>
      <c r="G53" s="7">
        <v>68.921935214915777</v>
      </c>
      <c r="H53" s="7">
        <v>54.894222596133282</v>
      </c>
    </row>
    <row r="54" spans="1:8">
      <c r="A54" t="s">
        <v>169</v>
      </c>
      <c r="B54" t="s">
        <v>170</v>
      </c>
      <c r="D54" s="7">
        <v>0</v>
      </c>
      <c r="E54" s="7">
        <v>-168.81711248244548</v>
      </c>
      <c r="F54" s="7">
        <v>61.760156075094905</v>
      </c>
      <c r="G54" s="7">
        <v>68.921935214915777</v>
      </c>
      <c r="H54" s="7">
        <v>54.894222596133282</v>
      </c>
    </row>
    <row r="55" spans="1:8">
      <c r="A55" t="s">
        <v>171</v>
      </c>
      <c r="B55" t="s">
        <v>172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</row>
    <row r="56" spans="1:8">
      <c r="A56" t="s">
        <v>173</v>
      </c>
      <c r="B56" t="s">
        <v>174</v>
      </c>
      <c r="D56" s="7">
        <v>0</v>
      </c>
      <c r="E56" s="7">
        <v>67.633313559853391</v>
      </c>
      <c r="F56" s="7">
        <v>37.401397847446333</v>
      </c>
      <c r="G56" s="7">
        <v>20.282665542182492</v>
      </c>
      <c r="H56" s="7">
        <v>16.433123880062706</v>
      </c>
    </row>
    <row r="57" spans="1:8">
      <c r="A57" t="s">
        <v>175</v>
      </c>
      <c r="B57" t="s">
        <v>176</v>
      </c>
      <c r="D57" s="7">
        <v>0</v>
      </c>
      <c r="E57" s="7">
        <v>1.183798922592094</v>
      </c>
      <c r="F57" s="7">
        <v>0.83844607745876321</v>
      </c>
      <c r="G57" s="7">
        <v>10.795399242901729</v>
      </c>
      <c r="H57" s="7">
        <v>28.672653523804019</v>
      </c>
    </row>
    <row r="58" spans="1:8">
      <c r="A58" t="s">
        <v>177</v>
      </c>
      <c r="D58" s="7"/>
      <c r="E58" s="7"/>
      <c r="F58" s="7"/>
      <c r="G58" s="7"/>
      <c r="H58" s="7"/>
    </row>
    <row r="59" spans="1:8">
      <c r="A59" t="s">
        <v>178</v>
      </c>
      <c r="B59" t="s">
        <v>179</v>
      </c>
      <c r="D59" s="7">
        <v>16.829999999999998</v>
      </c>
      <c r="E59" s="7">
        <v>59.25</v>
      </c>
      <c r="F59" s="7" t="s">
        <v>367</v>
      </c>
      <c r="G59" s="7" t="s">
        <v>367</v>
      </c>
      <c r="H59" s="7" t="s">
        <v>367</v>
      </c>
    </row>
    <row r="60" spans="1:8">
      <c r="A60" t="s">
        <v>180</v>
      </c>
      <c r="B60" t="s">
        <v>181</v>
      </c>
      <c r="D60" s="7"/>
      <c r="E60" s="7"/>
      <c r="F60" s="7" t="s">
        <v>367</v>
      </c>
      <c r="G60" s="7" t="s">
        <v>367</v>
      </c>
      <c r="H60" s="7" t="s">
        <v>367</v>
      </c>
    </row>
    <row r="61" spans="1:8">
      <c r="A61" t="s">
        <v>182</v>
      </c>
      <c r="B61" t="s">
        <v>183</v>
      </c>
      <c r="D61" s="7">
        <v>0</v>
      </c>
      <c r="E61" s="7">
        <v>1.686123427823085</v>
      </c>
      <c r="F61" s="7">
        <v>0</v>
      </c>
      <c r="G61" s="7">
        <v>0</v>
      </c>
      <c r="H61" s="7">
        <v>0</v>
      </c>
    </row>
    <row r="62" spans="1:8">
      <c r="A62" s="8" t="s">
        <v>184</v>
      </c>
      <c r="B62" s="8" t="s">
        <v>185</v>
      </c>
      <c r="C62" s="9">
        <v>1.2</v>
      </c>
      <c r="D62" s="7">
        <v>0.27</v>
      </c>
      <c r="E62" s="7">
        <v>0.26</v>
      </c>
      <c r="F62" s="7">
        <v>0.57999999999999996</v>
      </c>
      <c r="G62" s="7">
        <v>0</v>
      </c>
      <c r="H62" s="7">
        <v>0</v>
      </c>
    </row>
    <row r="63" spans="1:8">
      <c r="A63" t="s">
        <v>352</v>
      </c>
      <c r="B63" t="s">
        <v>353</v>
      </c>
      <c r="C63" s="7"/>
      <c r="D63" s="7">
        <v>0</v>
      </c>
      <c r="E63" s="7">
        <v>0</v>
      </c>
      <c r="F63" s="7">
        <v>0</v>
      </c>
      <c r="G63" s="7">
        <v>0</v>
      </c>
      <c r="H63" s="7">
        <v>0</v>
      </c>
    </row>
    <row r="64" spans="1:8">
      <c r="A64" t="s">
        <v>186</v>
      </c>
      <c r="D64" s="7"/>
      <c r="E64" s="7"/>
      <c r="F64" s="7"/>
      <c r="G64" s="7"/>
      <c r="H64" s="7"/>
    </row>
    <row r="65" spans="1:8">
      <c r="A65" s="8" t="s">
        <v>187</v>
      </c>
      <c r="B65" s="8" t="s">
        <v>188</v>
      </c>
      <c r="C65" s="9">
        <v>1</v>
      </c>
      <c r="D65" s="7">
        <v>0.18</v>
      </c>
      <c r="E65" s="7">
        <v>0.08</v>
      </c>
      <c r="F65" s="7">
        <v>0.04</v>
      </c>
      <c r="G65" s="7">
        <v>0.04</v>
      </c>
      <c r="H65" s="7">
        <v>0.04</v>
      </c>
    </row>
    <row r="66" spans="1:8">
      <c r="A66" s="8" t="s">
        <v>189</v>
      </c>
      <c r="B66" s="8" t="s">
        <v>190</v>
      </c>
      <c r="C66" s="9"/>
      <c r="D66" s="7">
        <v>0</v>
      </c>
      <c r="E66" s="7">
        <v>0</v>
      </c>
      <c r="F66" s="7">
        <v>0</v>
      </c>
      <c r="G66" s="7">
        <v>0</v>
      </c>
      <c r="H66" s="7">
        <v>0</v>
      </c>
    </row>
    <row r="67" spans="1:8">
      <c r="A67" s="8" t="s">
        <v>191</v>
      </c>
      <c r="B67" s="8" t="s">
        <v>192</v>
      </c>
      <c r="C67" s="9">
        <v>0.6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</row>
    <row r="68" spans="1:8">
      <c r="A68" t="s">
        <v>193</v>
      </c>
      <c r="D68" s="7"/>
      <c r="E68" s="7"/>
      <c r="F68" s="7"/>
      <c r="G68" s="7"/>
      <c r="H68" s="7"/>
    </row>
    <row r="69" spans="1:8">
      <c r="A69" t="s">
        <v>194</v>
      </c>
      <c r="B69" t="s">
        <v>195</v>
      </c>
      <c r="D69" s="7">
        <v>21.14</v>
      </c>
      <c r="E69" s="7">
        <v>24.47</v>
      </c>
      <c r="F69" s="30">
        <v>25.88</v>
      </c>
      <c r="G69" s="30">
        <v>27.76</v>
      </c>
      <c r="H69" s="30">
        <v>28.49</v>
      </c>
    </row>
    <row r="70" spans="1:8">
      <c r="A70" t="s">
        <v>196</v>
      </c>
      <c r="D70" s="7"/>
      <c r="E70" s="7"/>
      <c r="F70" s="7"/>
      <c r="G70" s="7"/>
      <c r="H70" s="7"/>
    </row>
    <row r="71" spans="1:8">
      <c r="A71" t="s">
        <v>197</v>
      </c>
      <c r="B71" t="s">
        <v>198</v>
      </c>
      <c r="D71" s="7">
        <v>6.74</v>
      </c>
      <c r="E71" s="30">
        <v>6.53</v>
      </c>
      <c r="F71" s="7">
        <v>5.72</v>
      </c>
      <c r="G71" s="7">
        <v>6.15</v>
      </c>
      <c r="H71" s="7">
        <v>6.08</v>
      </c>
    </row>
    <row r="72" spans="1:8">
      <c r="A72" t="s">
        <v>199</v>
      </c>
      <c r="B72" t="s">
        <v>200</v>
      </c>
      <c r="D72" s="7">
        <v>9.86</v>
      </c>
      <c r="E72" s="30">
        <v>8.58</v>
      </c>
      <c r="F72" s="7">
        <v>7.55</v>
      </c>
      <c r="G72" s="7">
        <v>8.11</v>
      </c>
      <c r="H72" s="7">
        <v>8.26</v>
      </c>
    </row>
    <row r="73" spans="1:8">
      <c r="A73" t="s">
        <v>303</v>
      </c>
      <c r="D73" s="7"/>
      <c r="E73" s="7"/>
      <c r="F73" s="7"/>
      <c r="G73" s="7"/>
      <c r="H73" s="7"/>
    </row>
    <row r="74" spans="1:8">
      <c r="B74" t="s">
        <v>201</v>
      </c>
      <c r="D74" s="7">
        <v>75.19</v>
      </c>
      <c r="E74" s="7">
        <v>78.88</v>
      </c>
      <c r="F74" s="7">
        <v>80.41</v>
      </c>
      <c r="G74" s="7">
        <v>90.45</v>
      </c>
      <c r="H74" s="7">
        <v>88.16</v>
      </c>
    </row>
    <row r="75" spans="1:8">
      <c r="B75" t="s">
        <v>202</v>
      </c>
      <c r="D75" s="7">
        <v>92.47</v>
      </c>
      <c r="E75" s="7">
        <v>94.15</v>
      </c>
      <c r="F75" s="7">
        <v>95.53</v>
      </c>
      <c r="G75" s="7">
        <v>95.35</v>
      </c>
      <c r="H75" s="7">
        <v>95.29</v>
      </c>
    </row>
    <row r="76" spans="1:8">
      <c r="B76" t="s">
        <v>203</v>
      </c>
      <c r="D76" s="7">
        <v>52.37</v>
      </c>
      <c r="E76" s="7">
        <v>42.41</v>
      </c>
      <c r="F76" s="7">
        <v>29.64</v>
      </c>
      <c r="G76" s="7">
        <v>71.02</v>
      </c>
      <c r="H76" s="7">
        <v>31.9</v>
      </c>
    </row>
    <row r="77" spans="1:8">
      <c r="A77" s="8" t="s">
        <v>36</v>
      </c>
      <c r="B77" s="8"/>
      <c r="C77" s="9">
        <v>47</v>
      </c>
      <c r="D77" s="7">
        <v>71.576379785015206</v>
      </c>
      <c r="E77" s="7">
        <v>74.27436537346162</v>
      </c>
      <c r="F77" s="30">
        <v>76.262141615953183</v>
      </c>
      <c r="G77" s="30">
        <v>84.511404079033454</v>
      </c>
      <c r="H77" s="30">
        <v>82.185023623732107</v>
      </c>
    </row>
    <row r="78" spans="1:8">
      <c r="A78" s="31" t="s">
        <v>333</v>
      </c>
      <c r="B78" s="31"/>
      <c r="C78" s="63"/>
      <c r="D78" s="30">
        <v>71.131613604548676</v>
      </c>
      <c r="E78" s="30">
        <v>73.615575639724511</v>
      </c>
      <c r="F78" s="30">
        <v>75.689193348012168</v>
      </c>
      <c r="G78" s="30">
        <v>83.998117273546427</v>
      </c>
      <c r="H78" s="30">
        <v>81.586071081231566</v>
      </c>
    </row>
    <row r="79" spans="1:8">
      <c r="A79" t="s">
        <v>266</v>
      </c>
      <c r="D79" s="7"/>
      <c r="E79" s="7"/>
      <c r="F79" s="7"/>
      <c r="G79" s="7"/>
      <c r="H79" s="7"/>
    </row>
    <row r="80" spans="1:8">
      <c r="A80">
        <v>4</v>
      </c>
      <c r="B80" t="s">
        <v>204</v>
      </c>
      <c r="D80" s="7">
        <v>15.970102116012214</v>
      </c>
      <c r="E80" s="7">
        <v>15.452353496173604</v>
      </c>
      <c r="F80" s="30">
        <v>15.209680784477364</v>
      </c>
      <c r="G80" s="30">
        <v>15.273564180353594</v>
      </c>
      <c r="H80" s="30">
        <v>16.171548117154813</v>
      </c>
    </row>
    <row r="81" spans="1:8">
      <c r="A81">
        <v>9</v>
      </c>
      <c r="B81" t="s">
        <v>345</v>
      </c>
      <c r="D81" s="7">
        <v>1.9686282766607013</v>
      </c>
      <c r="E81" s="7">
        <v>1.7507076213439565</v>
      </c>
      <c r="F81" s="30">
        <v>2.3263092009180055</v>
      </c>
      <c r="G81" s="30">
        <v>3.316246469295951</v>
      </c>
      <c r="H81" s="30">
        <v>3.3995815899581596</v>
      </c>
    </row>
    <row r="82" spans="1:8">
      <c r="A82">
        <v>10</v>
      </c>
      <c r="B82" t="s">
        <v>205</v>
      </c>
      <c r="D82" s="7">
        <v>6.5375302663438255</v>
      </c>
      <c r="E82" s="7">
        <v>7.1495963937519651</v>
      </c>
      <c r="F82" s="30">
        <v>7.344043396620072</v>
      </c>
      <c r="G82" s="30">
        <v>8.4632283711685332</v>
      </c>
      <c r="H82" s="30">
        <v>10.251046025104603</v>
      </c>
    </row>
    <row r="83" spans="1:8">
      <c r="A83">
        <v>12</v>
      </c>
      <c r="B83" t="s">
        <v>206</v>
      </c>
      <c r="D83" s="7">
        <v>3.5687967154437312</v>
      </c>
      <c r="E83" s="7">
        <v>3.7215641052521224</v>
      </c>
      <c r="F83" s="30">
        <v>4.7047778009597332</v>
      </c>
      <c r="G83" s="30">
        <v>4.7494507793702265</v>
      </c>
      <c r="H83" s="30">
        <v>4.8221757322175742</v>
      </c>
    </row>
    <row r="84" spans="1:8">
      <c r="A84">
        <v>13</v>
      </c>
      <c r="B84" t="s">
        <v>354</v>
      </c>
      <c r="D84" s="7">
        <v>23.191914938414573</v>
      </c>
      <c r="E84" s="7">
        <v>20.956075060278852</v>
      </c>
      <c r="F84" s="30">
        <v>21.228875443354895</v>
      </c>
      <c r="G84" s="30">
        <v>20.97499738466367</v>
      </c>
      <c r="H84" s="30">
        <v>22.081589958158997</v>
      </c>
    </row>
    <row r="85" spans="1:8">
      <c r="A85" t="s">
        <v>207</v>
      </c>
      <c r="D85" s="7"/>
      <c r="E85" s="7"/>
      <c r="F85" s="7"/>
      <c r="G85" s="7"/>
      <c r="H85" s="7"/>
    </row>
    <row r="86" spans="1:8">
      <c r="A86">
        <v>4</v>
      </c>
      <c r="B86" t="s">
        <v>204</v>
      </c>
      <c r="D86" s="7">
        <v>84.047213864996195</v>
      </c>
      <c r="E86" s="7">
        <v>83.77</v>
      </c>
      <c r="F86" s="7">
        <v>85.78</v>
      </c>
      <c r="G86" s="7">
        <v>83.88</v>
      </c>
      <c r="H86" s="7">
        <v>85.18</v>
      </c>
    </row>
    <row r="87" spans="1:8">
      <c r="A87">
        <v>9</v>
      </c>
      <c r="B87" t="s">
        <v>345</v>
      </c>
      <c r="D87" s="7">
        <v>54.08612303343677</v>
      </c>
      <c r="E87" s="7">
        <v>46.87</v>
      </c>
      <c r="F87" s="7">
        <v>61.89</v>
      </c>
      <c r="G87" s="7">
        <v>58.68</v>
      </c>
      <c r="H87" s="7">
        <v>68.459999999999994</v>
      </c>
    </row>
    <row r="88" spans="1:8">
      <c r="A88">
        <v>10</v>
      </c>
      <c r="B88" t="s">
        <v>205</v>
      </c>
      <c r="D88" s="7">
        <v>70.70617013239395</v>
      </c>
      <c r="E88" s="7">
        <v>63.69</v>
      </c>
      <c r="F88" s="7">
        <v>73.27</v>
      </c>
      <c r="G88" s="7">
        <v>65.63</v>
      </c>
      <c r="H88" s="7">
        <v>65.63</v>
      </c>
    </row>
    <row r="89" spans="1:8">
      <c r="A89">
        <v>12</v>
      </c>
      <c r="B89" t="s">
        <v>206</v>
      </c>
      <c r="D89" s="7">
        <v>93.358468789006409</v>
      </c>
      <c r="E89" s="7">
        <v>90.06</v>
      </c>
      <c r="F89" s="7">
        <v>93.02</v>
      </c>
      <c r="G89" s="7">
        <v>91.87</v>
      </c>
      <c r="H89" s="7">
        <v>92.8</v>
      </c>
    </row>
    <row r="90" spans="1:8">
      <c r="A90">
        <v>13</v>
      </c>
      <c r="B90" t="s">
        <v>354</v>
      </c>
      <c r="D90" s="7">
        <v>78.846407817187966</v>
      </c>
      <c r="E90" s="7">
        <v>78.66</v>
      </c>
      <c r="F90" s="7">
        <v>78.75</v>
      </c>
      <c r="G90" s="7">
        <v>77.56</v>
      </c>
      <c r="H90" s="7">
        <v>79.5</v>
      </c>
    </row>
    <row r="91" spans="1:8">
      <c r="B91" s="68" t="s">
        <v>357</v>
      </c>
      <c r="D91" s="7"/>
      <c r="E91" s="7"/>
      <c r="F91" s="7"/>
      <c r="G91" s="7"/>
      <c r="H91" s="7"/>
    </row>
    <row r="92" spans="1:8">
      <c r="B92" t="s">
        <v>109</v>
      </c>
      <c r="D92" s="7">
        <v>93.080814543787938</v>
      </c>
      <c r="E92" s="7">
        <v>88.060780079821342</v>
      </c>
      <c r="F92" s="7">
        <v>89.823506154392092</v>
      </c>
      <c r="G92" s="7">
        <v>92.549410739486376</v>
      </c>
      <c r="H92" s="7"/>
    </row>
    <row r="93" spans="1:8">
      <c r="B93" t="s">
        <v>128</v>
      </c>
      <c r="D93" s="7">
        <v>251.09759762080674</v>
      </c>
      <c r="E93" s="7">
        <v>226.20399780332346</v>
      </c>
      <c r="F93" s="7">
        <v>238.9835900012705</v>
      </c>
      <c r="G93" s="7">
        <v>254.8769995879359</v>
      </c>
      <c r="H93" s="7"/>
    </row>
    <row r="94" spans="1:8">
      <c r="B94" t="s">
        <v>158</v>
      </c>
      <c r="D94" s="7">
        <v>5.1523529411764697</v>
      </c>
      <c r="E94" s="7">
        <v>-0.42166666666666625</v>
      </c>
      <c r="F94" s="7">
        <v>-3.3627777777777768</v>
      </c>
      <c r="G94" s="7">
        <v>-6.1844444444444466</v>
      </c>
      <c r="H94" s="7"/>
    </row>
    <row r="95" spans="1:8">
      <c r="B95" t="s">
        <v>167</v>
      </c>
      <c r="D95" s="7">
        <v>1497.6574370098967</v>
      </c>
      <c r="E95" s="7">
        <v>1511.4496314108096</v>
      </c>
      <c r="F95" s="7">
        <v>1479.4297544978085</v>
      </c>
      <c r="G95" s="7">
        <v>1400.855257564868</v>
      </c>
      <c r="H95" s="7"/>
    </row>
    <row r="96" spans="1:8">
      <c r="D96" s="7"/>
      <c r="E96" s="7"/>
      <c r="F96" s="7"/>
      <c r="G96" s="7"/>
      <c r="H96" s="7"/>
    </row>
    <row r="97" spans="2:8">
      <c r="B97" s="39" t="s">
        <v>301</v>
      </c>
      <c r="D97" s="7"/>
      <c r="E97" s="7"/>
      <c r="F97" s="7"/>
      <c r="G97" s="7"/>
      <c r="H97" s="7"/>
    </row>
    <row r="98" spans="2:8">
      <c r="D98" s="7"/>
      <c r="E98" s="7"/>
      <c r="F98" s="7"/>
      <c r="G98" s="7"/>
      <c r="H98" s="7"/>
    </row>
    <row r="99" spans="2:8">
      <c r="D99" s="7"/>
      <c r="E99" s="7"/>
      <c r="F99" s="7"/>
      <c r="G99" s="7"/>
      <c r="H99" s="7"/>
    </row>
    <row r="100" spans="2:8">
      <c r="D100" s="7"/>
      <c r="E100" s="7"/>
      <c r="F100" s="7"/>
      <c r="G100" s="7"/>
      <c r="H100" s="7"/>
    </row>
    <row r="101" spans="2:8">
      <c r="D101" s="7"/>
      <c r="E101" s="7"/>
      <c r="F101" s="7"/>
      <c r="G101" s="7"/>
      <c r="H101" s="7"/>
    </row>
    <row r="102" spans="2:8">
      <c r="D102" s="7"/>
      <c r="E102" s="7"/>
      <c r="F102" s="7"/>
      <c r="G102" s="7"/>
      <c r="H102" s="7"/>
    </row>
    <row r="103" spans="2:8">
      <c r="D103" s="7"/>
      <c r="E103" s="7"/>
      <c r="F103" s="7"/>
      <c r="G103" s="7"/>
      <c r="H103" s="7"/>
    </row>
    <row r="104" spans="2:8">
      <c r="D104" s="7"/>
      <c r="E104" s="7"/>
      <c r="F104" s="7"/>
      <c r="G104" s="7"/>
      <c r="H104" s="7"/>
    </row>
    <row r="105" spans="2:8">
      <c r="D105" s="7"/>
      <c r="E105" s="7"/>
      <c r="F105" s="7"/>
      <c r="G105" s="7"/>
      <c r="H105" s="7"/>
    </row>
    <row r="106" spans="2:8">
      <c r="D106" s="7"/>
      <c r="E106" s="7"/>
      <c r="F106" s="7"/>
      <c r="G106" s="7"/>
      <c r="H106" s="7"/>
    </row>
    <row r="107" spans="2:8">
      <c r="D107" s="7"/>
      <c r="E107" s="7"/>
      <c r="F107" s="7"/>
      <c r="G107" s="7"/>
      <c r="H107" s="7"/>
    </row>
    <row r="108" spans="2:8">
      <c r="D108" s="7"/>
      <c r="E108" s="7"/>
      <c r="F108" s="7"/>
      <c r="G108" s="7"/>
      <c r="H108" s="7"/>
    </row>
    <row r="109" spans="2:8">
      <c r="D109" s="7"/>
      <c r="E109" s="7"/>
      <c r="F109" s="7"/>
      <c r="G109" s="7"/>
      <c r="H109" s="7"/>
    </row>
    <row r="110" spans="2:8">
      <c r="D110" s="7"/>
      <c r="E110" s="7"/>
      <c r="F110" s="7"/>
      <c r="G110" s="7"/>
      <c r="H110" s="7"/>
    </row>
    <row r="111" spans="2:8">
      <c r="D111" s="7"/>
      <c r="E111" s="7"/>
      <c r="F111" s="7"/>
      <c r="G111" s="7"/>
      <c r="H111" s="7"/>
    </row>
    <row r="112" spans="2:8">
      <c r="D112" s="7"/>
      <c r="E112" s="7"/>
      <c r="F112" s="7"/>
      <c r="G112" s="7"/>
      <c r="H112" s="7"/>
    </row>
    <row r="113" spans="2:8">
      <c r="D113" s="7"/>
      <c r="E113" s="7"/>
      <c r="F113" s="7"/>
      <c r="G113" s="7"/>
      <c r="H113" s="7"/>
    </row>
    <row r="114" spans="2:8">
      <c r="D114" s="7"/>
      <c r="E114" s="7"/>
      <c r="F114" s="7"/>
      <c r="G114" s="7"/>
      <c r="H114" s="7"/>
    </row>
    <row r="115" spans="2:8">
      <c r="D115" s="7"/>
      <c r="E115" s="7"/>
      <c r="F115" s="7"/>
      <c r="G115" s="7"/>
      <c r="H115" s="7"/>
    </row>
    <row r="116" spans="2:8">
      <c r="D116" s="7"/>
      <c r="E116" s="7"/>
      <c r="F116" s="7"/>
      <c r="G116" s="7"/>
      <c r="H116" s="7"/>
    </row>
    <row r="117" spans="2:8">
      <c r="D117" s="7"/>
      <c r="E117" s="7"/>
      <c r="F117" s="7"/>
      <c r="G117" s="7"/>
      <c r="H117" s="7"/>
    </row>
    <row r="118" spans="2:8">
      <c r="B118" s="39" t="s">
        <v>302</v>
      </c>
      <c r="D118" s="7"/>
      <c r="E118" s="7"/>
      <c r="F118" s="7"/>
      <c r="G118" s="7"/>
      <c r="H118" s="7"/>
    </row>
    <row r="119" spans="2:8">
      <c r="D119" s="7"/>
      <c r="E119" s="7"/>
      <c r="F119" s="7"/>
      <c r="G119" s="7"/>
      <c r="H119" s="7"/>
    </row>
    <row r="120" spans="2:8">
      <c r="D120" s="7"/>
      <c r="E120" s="7"/>
      <c r="F120" s="7"/>
      <c r="G120" s="7"/>
      <c r="H120" s="7"/>
    </row>
    <row r="121" spans="2:8">
      <c r="D121" s="7"/>
      <c r="E121" s="7"/>
      <c r="F121" s="7"/>
      <c r="G121" s="7"/>
      <c r="H121" s="7"/>
    </row>
    <row r="122" spans="2:8">
      <c r="D122" s="7"/>
      <c r="E122" s="7"/>
      <c r="F122" s="7"/>
      <c r="G122" s="7"/>
      <c r="H122" s="7"/>
    </row>
    <row r="123" spans="2:8">
      <c r="D123" s="7"/>
      <c r="E123" s="7"/>
      <c r="F123" s="7"/>
      <c r="G123" s="7"/>
      <c r="H123" s="7"/>
    </row>
    <row r="124" spans="2:8">
      <c r="D124" s="7"/>
      <c r="E124" s="7"/>
      <c r="F124" s="7"/>
      <c r="G124" s="7"/>
      <c r="H124" s="7"/>
    </row>
    <row r="125" spans="2:8">
      <c r="D125" s="7"/>
      <c r="E125" s="7"/>
      <c r="F125" s="7"/>
      <c r="G125" s="7"/>
      <c r="H125" s="7"/>
    </row>
    <row r="126" spans="2:8">
      <c r="D126" s="7"/>
      <c r="E126" s="7"/>
      <c r="F126" s="7"/>
      <c r="G126" s="7"/>
      <c r="H126" s="7"/>
    </row>
    <row r="127" spans="2:8">
      <c r="D127" s="7"/>
      <c r="E127" s="7"/>
      <c r="F127" s="7"/>
      <c r="G127" s="7"/>
      <c r="H127" s="7"/>
    </row>
    <row r="128" spans="2:8">
      <c r="D128" s="7"/>
      <c r="E128" s="7"/>
      <c r="F128" s="7"/>
      <c r="G128" s="7"/>
      <c r="H128" s="7"/>
    </row>
    <row r="129" spans="2:8">
      <c r="D129" s="7"/>
      <c r="E129" s="7"/>
      <c r="F129" s="7"/>
      <c r="G129" s="7"/>
      <c r="H129" s="7"/>
    </row>
    <row r="130" spans="2:8">
      <c r="D130" s="7"/>
      <c r="E130" s="7"/>
      <c r="F130" s="7"/>
      <c r="G130" s="7"/>
      <c r="H130" s="7"/>
    </row>
    <row r="131" spans="2:8">
      <c r="D131" s="7"/>
      <c r="E131" s="7"/>
      <c r="F131" s="7"/>
      <c r="G131" s="7"/>
      <c r="H131" s="7"/>
    </row>
    <row r="132" spans="2:8">
      <c r="D132" s="7"/>
      <c r="E132" s="7"/>
      <c r="F132" s="7"/>
      <c r="G132" s="7"/>
      <c r="H132" s="7"/>
    </row>
    <row r="133" spans="2:8">
      <c r="D133" s="7"/>
      <c r="E133" s="7"/>
      <c r="F133" s="7"/>
      <c r="G133" s="7"/>
      <c r="H133" s="7"/>
    </row>
    <row r="134" spans="2:8">
      <c r="D134" s="7"/>
      <c r="E134" s="7"/>
      <c r="F134" s="7"/>
      <c r="G134" s="7"/>
      <c r="H134" s="7"/>
    </row>
    <row r="135" spans="2:8">
      <c r="D135" s="7"/>
      <c r="E135" s="7"/>
      <c r="F135" s="7"/>
      <c r="G135" s="7"/>
      <c r="H135" s="7"/>
    </row>
    <row r="136" spans="2:8">
      <c r="D136" s="7"/>
      <c r="E136" s="7"/>
      <c r="F136" s="7"/>
      <c r="G136" s="7"/>
      <c r="H136" s="7"/>
    </row>
    <row r="137" spans="2:8">
      <c r="D137" s="7"/>
      <c r="E137" s="7"/>
      <c r="F137" s="7"/>
      <c r="G137" s="7"/>
      <c r="H137" s="7"/>
    </row>
    <row r="138" spans="2:8">
      <c r="D138" s="7"/>
      <c r="E138" s="7"/>
      <c r="F138" s="7"/>
      <c r="G138" s="7"/>
      <c r="H138" s="7"/>
    </row>
    <row r="139" spans="2:8">
      <c r="B139" s="39" t="s">
        <v>158</v>
      </c>
      <c r="D139" s="7"/>
      <c r="E139" s="7"/>
      <c r="F139" s="7"/>
      <c r="G139" s="7"/>
      <c r="H139" s="7"/>
    </row>
    <row r="140" spans="2:8">
      <c r="D140" s="7"/>
      <c r="E140" s="7"/>
      <c r="F140" s="7"/>
      <c r="G140" s="7"/>
      <c r="H140" s="7"/>
    </row>
    <row r="141" spans="2:8">
      <c r="D141" s="7"/>
      <c r="E141" s="7"/>
      <c r="F141" s="7"/>
      <c r="G141" s="7"/>
      <c r="H141" s="7"/>
    </row>
    <row r="142" spans="2:8">
      <c r="D142" s="7"/>
      <c r="E142" s="7"/>
      <c r="F142" s="7"/>
      <c r="G142" s="7"/>
      <c r="H142" s="7"/>
    </row>
    <row r="143" spans="2:8">
      <c r="D143" s="7"/>
      <c r="E143" s="7"/>
      <c r="F143" s="7"/>
      <c r="G143" s="7"/>
      <c r="H143" s="7"/>
    </row>
    <row r="144" spans="2:8">
      <c r="D144" s="7"/>
      <c r="E144" s="7"/>
      <c r="F144" s="7"/>
      <c r="G144" s="7"/>
      <c r="H144" s="7"/>
    </row>
    <row r="145" spans="2:8">
      <c r="D145" s="7"/>
      <c r="E145" s="7"/>
      <c r="F145" s="7"/>
      <c r="G145" s="7"/>
      <c r="H145" s="7"/>
    </row>
    <row r="146" spans="2:8">
      <c r="D146" s="7"/>
      <c r="E146" s="7"/>
      <c r="F146" s="7"/>
      <c r="G146" s="7"/>
      <c r="H146" s="7"/>
    </row>
    <row r="147" spans="2:8">
      <c r="D147" s="7"/>
      <c r="E147" s="7"/>
      <c r="F147" s="7"/>
      <c r="G147" s="7"/>
      <c r="H147" s="7"/>
    </row>
    <row r="148" spans="2:8">
      <c r="D148" s="7"/>
      <c r="E148" s="7"/>
      <c r="F148" s="7"/>
      <c r="G148" s="7"/>
      <c r="H148" s="7"/>
    </row>
    <row r="149" spans="2:8">
      <c r="D149" s="7"/>
      <c r="E149" s="7"/>
      <c r="F149" s="7"/>
      <c r="G149" s="7"/>
      <c r="H149" s="7"/>
    </row>
    <row r="150" spans="2:8">
      <c r="D150" s="7"/>
      <c r="E150" s="7"/>
      <c r="F150" s="7"/>
      <c r="G150" s="7"/>
      <c r="H150" s="7"/>
    </row>
    <row r="151" spans="2:8">
      <c r="D151" s="7"/>
      <c r="E151" s="7"/>
      <c r="F151" s="7"/>
      <c r="G151" s="7"/>
      <c r="H151" s="7"/>
    </row>
    <row r="152" spans="2:8">
      <c r="D152" s="7"/>
      <c r="E152" s="7"/>
      <c r="F152" s="7"/>
      <c r="G152" s="7"/>
      <c r="H152" s="7"/>
    </row>
    <row r="153" spans="2:8">
      <c r="D153" s="7"/>
      <c r="E153" s="7"/>
      <c r="F153" s="7"/>
      <c r="G153" s="7"/>
      <c r="H153" s="7"/>
    </row>
    <row r="154" spans="2:8">
      <c r="D154" s="7"/>
      <c r="E154" s="7"/>
      <c r="F154" s="7"/>
      <c r="G154" s="7"/>
      <c r="H154" s="7"/>
    </row>
    <row r="155" spans="2:8">
      <c r="D155" s="7"/>
      <c r="E155" s="7"/>
      <c r="F155" s="7"/>
      <c r="G155" s="7"/>
      <c r="H155" s="7"/>
    </row>
    <row r="156" spans="2:8">
      <c r="D156" s="7"/>
      <c r="E156" s="7"/>
      <c r="F156" s="7"/>
      <c r="G156" s="7"/>
      <c r="H156" s="7"/>
    </row>
    <row r="157" spans="2:8">
      <c r="D157" s="7"/>
      <c r="E157" s="7"/>
      <c r="F157" s="7"/>
      <c r="G157" s="7"/>
      <c r="H157" s="7"/>
    </row>
    <row r="158" spans="2:8">
      <c r="D158" s="7"/>
      <c r="E158" s="7"/>
      <c r="F158" s="7"/>
      <c r="G158" s="7"/>
      <c r="H158" s="7"/>
    </row>
    <row r="159" spans="2:8">
      <c r="D159" s="7"/>
      <c r="E159" s="7"/>
      <c r="F159" s="7"/>
      <c r="G159" s="7"/>
      <c r="H159" s="7"/>
    </row>
    <row r="160" spans="2:8">
      <c r="B160" s="39" t="s">
        <v>167</v>
      </c>
      <c r="D160" s="7"/>
      <c r="E160" s="7"/>
      <c r="F160" s="7"/>
      <c r="G160" s="7"/>
      <c r="H160" s="7"/>
    </row>
    <row r="161" spans="4:8">
      <c r="D161" s="7"/>
      <c r="E161" s="7"/>
      <c r="F161" s="7"/>
      <c r="G161" s="7"/>
      <c r="H161" s="7"/>
    </row>
    <row r="162" spans="4:8">
      <c r="D162" s="7"/>
      <c r="E162" s="7"/>
      <c r="F162" s="7"/>
      <c r="G162" s="7"/>
      <c r="H162" s="7"/>
    </row>
    <row r="163" spans="4:8">
      <c r="D163" s="7"/>
      <c r="E163" s="7"/>
      <c r="F163" s="7"/>
      <c r="G163" s="7"/>
      <c r="H163" s="7"/>
    </row>
    <row r="164" spans="4:8">
      <c r="D164" s="7"/>
      <c r="E164" s="7"/>
      <c r="F164" s="7"/>
      <c r="G164" s="7"/>
      <c r="H164" s="7"/>
    </row>
    <row r="165" spans="4:8">
      <c r="D165" s="7"/>
      <c r="E165" s="7"/>
      <c r="F165" s="7"/>
      <c r="G165" s="7"/>
      <c r="H165" s="7"/>
    </row>
    <row r="166" spans="4:8">
      <c r="D166" s="7"/>
      <c r="E166" s="7"/>
      <c r="F166" s="7"/>
      <c r="G166" s="7"/>
      <c r="H166" s="7"/>
    </row>
    <row r="167" spans="4:8">
      <c r="D167" s="7"/>
      <c r="E167" s="7"/>
      <c r="F167" s="7"/>
      <c r="G167" s="7"/>
      <c r="H167" s="7"/>
    </row>
    <row r="168" spans="4:8">
      <c r="D168" s="7"/>
      <c r="E168" s="7"/>
      <c r="F168" s="7"/>
      <c r="G168" s="7"/>
      <c r="H168" s="7"/>
    </row>
    <row r="169" spans="4:8">
      <c r="D169" s="7"/>
      <c r="E169" s="7"/>
      <c r="F169" s="7"/>
      <c r="G169" s="7"/>
      <c r="H169" s="7"/>
    </row>
    <row r="170" spans="4:8">
      <c r="D170" s="7"/>
      <c r="E170" s="7"/>
      <c r="F170" s="7"/>
      <c r="G170" s="7"/>
      <c r="H170" s="7"/>
    </row>
    <row r="171" spans="4:8">
      <c r="D171" s="7"/>
      <c r="E171" s="7"/>
      <c r="F171" s="7"/>
      <c r="G171" s="7"/>
      <c r="H171" s="7"/>
    </row>
    <row r="172" spans="4:8">
      <c r="D172" s="7"/>
      <c r="E172" s="7"/>
      <c r="F172" s="7"/>
      <c r="G172" s="7"/>
      <c r="H172" s="7"/>
    </row>
    <row r="173" spans="4:8">
      <c r="D173" s="7"/>
      <c r="E173" s="7"/>
      <c r="F173" s="7"/>
      <c r="G173" s="7"/>
      <c r="H173" s="7"/>
    </row>
    <row r="174" spans="4:8">
      <c r="D174" s="7"/>
      <c r="E174" s="7"/>
      <c r="F174" s="7"/>
      <c r="G174" s="7"/>
      <c r="H174" s="7"/>
    </row>
    <row r="175" spans="4:8">
      <c r="D175" s="7"/>
      <c r="E175" s="7"/>
      <c r="F175" s="7"/>
      <c r="G175" s="7"/>
      <c r="H175" s="7"/>
    </row>
    <row r="176" spans="4:8">
      <c r="D176" s="7"/>
      <c r="E176" s="7"/>
      <c r="F176" s="7"/>
      <c r="G176" s="7"/>
      <c r="H176" s="7"/>
    </row>
    <row r="177" spans="2:8">
      <c r="D177" s="7"/>
      <c r="E177" s="7"/>
      <c r="F177" s="7"/>
      <c r="G177" s="7"/>
      <c r="H177" s="7"/>
    </row>
    <row r="178" spans="2:8">
      <c r="D178" s="7"/>
      <c r="E178" s="7"/>
      <c r="F178" s="7"/>
      <c r="G178" s="7"/>
      <c r="H178" s="7"/>
    </row>
    <row r="179" spans="2:8">
      <c r="D179" s="7"/>
      <c r="E179" s="7"/>
      <c r="F179" s="7"/>
      <c r="G179" s="7"/>
      <c r="H179" s="7"/>
    </row>
    <row r="180" spans="2:8">
      <c r="D180" s="7"/>
      <c r="E180" s="7"/>
      <c r="F180" s="7"/>
      <c r="G180" s="7"/>
      <c r="H180" s="7"/>
    </row>
    <row r="181" spans="2:8">
      <c r="B181" s="39" t="s">
        <v>300</v>
      </c>
    </row>
    <row r="182" spans="2:8">
      <c r="E182" s="31"/>
    </row>
    <row r="202" spans="2:2">
      <c r="B202" s="39" t="s">
        <v>266</v>
      </c>
    </row>
    <row r="221" spans="2:2">
      <c r="B221" s="39" t="s">
        <v>207</v>
      </c>
    </row>
  </sheetData>
  <mergeCells count="1">
    <mergeCell ref="A1:B1"/>
  </mergeCells>
  <conditionalFormatting sqref="D3">
    <cfRule type="cellIs" dxfId="73" priority="46" operator="greaterThan">
      <formula>$C3</formula>
    </cfRule>
  </conditionalFormatting>
  <conditionalFormatting sqref="D12">
    <cfRule type="cellIs" dxfId="72" priority="44" operator="lessThan">
      <formula>$C12</formula>
    </cfRule>
  </conditionalFormatting>
  <conditionalFormatting sqref="D15:E15 H15">
    <cfRule type="cellIs" dxfId="71" priority="42" operator="greaterThan">
      <formula>$C$15</formula>
    </cfRule>
  </conditionalFormatting>
  <conditionalFormatting sqref="E3 H3">
    <cfRule type="cellIs" dxfId="70" priority="38" operator="greaterThan">
      <formula>$C3</formula>
    </cfRule>
  </conditionalFormatting>
  <conditionalFormatting sqref="D51:E51 H51">
    <cfRule type="cellIs" dxfId="69" priority="37" operator="greaterThan">
      <formula>$C51</formula>
    </cfRule>
  </conditionalFormatting>
  <conditionalFormatting sqref="D62:E63 H62:H63">
    <cfRule type="cellIs" dxfId="68" priority="36" operator="greaterThan">
      <formula>$C62</formula>
    </cfRule>
  </conditionalFormatting>
  <conditionalFormatting sqref="D65:E65 H65">
    <cfRule type="cellIs" dxfId="67" priority="35" operator="greaterThan">
      <formula>$C65</formula>
    </cfRule>
  </conditionalFormatting>
  <conditionalFormatting sqref="E12 H12">
    <cfRule type="cellIs" dxfId="66" priority="34" operator="lessThan">
      <formula>$C12</formula>
    </cfRule>
  </conditionalFormatting>
  <conditionalFormatting sqref="D77:E78">
    <cfRule type="cellIs" dxfId="65" priority="33" operator="lessThan">
      <formula>$C77</formula>
    </cfRule>
  </conditionalFormatting>
  <conditionalFormatting sqref="E77:E78 H77:H78">
    <cfRule type="cellIs" dxfId="64" priority="32" operator="lessThan">
      <formula>$C77</formula>
    </cfRule>
  </conditionalFormatting>
  <conditionalFormatting sqref="D66">
    <cfRule type="expression" dxfId="63" priority="23">
      <formula>D$66+D$67&gt;=$C$67</formula>
    </cfRule>
  </conditionalFormatting>
  <conditionalFormatting sqref="E66 H66">
    <cfRule type="expression" dxfId="62" priority="22">
      <formula>E$66+E$67&gt;=$C$67</formula>
    </cfRule>
  </conditionalFormatting>
  <conditionalFormatting sqref="D67">
    <cfRule type="expression" dxfId="61" priority="21">
      <formula>D$66+D$67&gt;=$C$67</formula>
    </cfRule>
  </conditionalFormatting>
  <conditionalFormatting sqref="E67 H67">
    <cfRule type="expression" dxfId="60" priority="20">
      <formula>E$66+E$67&gt;=$C$67</formula>
    </cfRule>
  </conditionalFormatting>
  <conditionalFormatting sqref="C63">
    <cfRule type="cellIs" dxfId="59" priority="19" operator="greaterThan">
      <formula>$C63</formula>
    </cfRule>
  </conditionalFormatting>
  <conditionalFormatting sqref="F15:G15">
    <cfRule type="cellIs" dxfId="58" priority="18" operator="greaterThan">
      <formula>$C$15</formula>
    </cfRule>
  </conditionalFormatting>
  <conditionalFormatting sqref="F3:G3">
    <cfRule type="cellIs" dxfId="57" priority="17" operator="greaterThan">
      <formula>$C3</formula>
    </cfRule>
  </conditionalFormatting>
  <conditionalFormatting sqref="F51:G51">
    <cfRule type="cellIs" dxfId="56" priority="16" operator="greaterThan">
      <formula>$C51</formula>
    </cfRule>
  </conditionalFormatting>
  <conditionalFormatting sqref="F62:G63">
    <cfRule type="cellIs" dxfId="55" priority="15" operator="greaterThan">
      <formula>$C62</formula>
    </cfRule>
  </conditionalFormatting>
  <conditionalFormatting sqref="F65:G65">
    <cfRule type="cellIs" dxfId="54" priority="14" operator="greaterThan">
      <formula>$C65</formula>
    </cfRule>
  </conditionalFormatting>
  <conditionalFormatting sqref="F12:G12">
    <cfRule type="cellIs" dxfId="53" priority="13" operator="lessThan">
      <formula>$C12</formula>
    </cfRule>
  </conditionalFormatting>
  <conditionalFormatting sqref="F77:G78">
    <cfRule type="cellIs" dxfId="52" priority="12" operator="lessThan">
      <formula>$C77</formula>
    </cfRule>
  </conditionalFormatting>
  <conditionalFormatting sqref="F66:G66">
    <cfRule type="expression" dxfId="51" priority="11">
      <formula>F$66+F$67&gt;=$C$67</formula>
    </cfRule>
  </conditionalFormatting>
  <conditionalFormatting sqref="F67:G67">
    <cfRule type="expression" dxfId="50" priority="10">
      <formula>F$66+F$67&gt;=$C$67</formula>
    </cfRule>
  </conditionalFormatting>
  <conditionalFormatting sqref="G15">
    <cfRule type="cellIs" dxfId="49" priority="9" operator="greaterThan">
      <formula>$C$15</formula>
    </cfRule>
  </conditionalFormatting>
  <conditionalFormatting sqref="G3">
    <cfRule type="cellIs" dxfId="47" priority="8" operator="greaterThan">
      <formula>$C3</formula>
    </cfRule>
  </conditionalFormatting>
  <conditionalFormatting sqref="G51">
    <cfRule type="cellIs" dxfId="45" priority="7" operator="greaterThan">
      <formula>$C51</formula>
    </cfRule>
  </conditionalFormatting>
  <conditionalFormatting sqref="G62:G63">
    <cfRule type="cellIs" dxfId="43" priority="6" operator="greaterThan">
      <formula>$C62</formula>
    </cfRule>
  </conditionalFormatting>
  <conditionalFormatting sqref="G65">
    <cfRule type="cellIs" dxfId="41" priority="5" operator="greaterThan">
      <formula>$C65</formula>
    </cfRule>
  </conditionalFormatting>
  <conditionalFormatting sqref="G12">
    <cfRule type="cellIs" dxfId="39" priority="4" operator="lessThan">
      <formula>$C12</formula>
    </cfRule>
  </conditionalFormatting>
  <conditionalFormatting sqref="G77:G78">
    <cfRule type="cellIs" dxfId="37" priority="3" operator="lessThan">
      <formula>$C77</formula>
    </cfRule>
  </conditionalFormatting>
  <conditionalFormatting sqref="G66">
    <cfRule type="expression" dxfId="35" priority="2">
      <formula>G$66+G$67&gt;=$C$67</formula>
    </cfRule>
  </conditionalFormatting>
  <conditionalFormatting sqref="G67">
    <cfRule type="expression" dxfId="33" priority="1">
      <formula>G$66+G$67&gt;=$C$67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2022-01-23T09:28:00Z</dcterms:modified>
</cp:coreProperties>
</file>