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25725"/>
</workbook>
</file>

<file path=xl/calcChain.xml><?xml version="1.0" encoding="utf-8"?>
<calcChain xmlns="http://schemas.openxmlformats.org/spreadsheetml/2006/main">
  <c r="H9" i="12"/>
  <c r="H8"/>
  <c r="H7"/>
  <c r="H6"/>
  <c r="H5"/>
  <c r="H4"/>
  <c r="H3"/>
  <c r="H2"/>
  <c r="H5" i="9" l="1"/>
  <c r="H6"/>
  <c r="H4"/>
  <c r="H3"/>
  <c r="H2"/>
  <c r="G6"/>
  <c r="G5"/>
  <c r="G4"/>
  <c r="G3"/>
  <c r="G2"/>
  <c r="F6"/>
  <c r="F5"/>
  <c r="F4"/>
  <c r="F3"/>
  <c r="F2"/>
  <c r="J31" i="8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29"/>
  <c r="I28"/>
  <c r="I26"/>
  <c r="I25"/>
  <c r="I24"/>
  <c r="I23"/>
  <c r="I22"/>
  <c r="I19"/>
  <c r="I18"/>
  <c r="I17"/>
  <c r="I16"/>
  <c r="I14"/>
  <c r="I13"/>
  <c r="I12"/>
  <c r="I11"/>
  <c r="I9"/>
  <c r="I8"/>
  <c r="I7"/>
  <c r="I6"/>
  <c r="I5"/>
  <c r="I4"/>
  <c r="I3"/>
  <c r="I2"/>
  <c r="H31"/>
  <c r="G31"/>
  <c r="H30"/>
  <c r="H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H2"/>
  <c r="G2"/>
  <c r="F19"/>
  <c r="F18"/>
  <c r="F17"/>
  <c r="F16"/>
  <c r="F14"/>
  <c r="F13"/>
  <c r="F12"/>
  <c r="F11"/>
  <c r="F9"/>
  <c r="F8"/>
  <c r="F7"/>
  <c r="F6"/>
  <c r="F5"/>
  <c r="F4"/>
  <c r="F3"/>
  <c r="F2"/>
  <c r="F10" s="1"/>
  <c r="F29"/>
  <c r="F28"/>
  <c r="F26"/>
  <c r="F25"/>
  <c r="F24"/>
  <c r="F23"/>
  <c r="F22"/>
  <c r="F27" s="1"/>
  <c r="F20"/>
  <c r="F15"/>
  <c r="J21" i="7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19"/>
  <c r="I18"/>
  <c r="I17"/>
  <c r="I14"/>
  <c r="I13"/>
  <c r="I12"/>
  <c r="I10"/>
  <c r="I9"/>
  <c r="I8"/>
  <c r="I7"/>
  <c r="I6"/>
  <c r="I4"/>
  <c r="I3"/>
  <c r="I2"/>
  <c r="F21" i="8" l="1"/>
  <c r="F30"/>
  <c r="F31" s="1"/>
  <c r="H21" i="7" l="1"/>
  <c r="G21"/>
  <c r="H20"/>
  <c r="H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H2"/>
  <c r="G2"/>
  <c r="F19"/>
  <c r="F18"/>
  <c r="F17"/>
  <c r="F14"/>
  <c r="F13"/>
  <c r="F12"/>
  <c r="F15" s="1"/>
  <c r="F10"/>
  <c r="F9"/>
  <c r="F8"/>
  <c r="F7"/>
  <c r="F6"/>
  <c r="F11" s="1"/>
  <c r="F4"/>
  <c r="F3"/>
  <c r="F2"/>
  <c r="F5" s="1"/>
  <c r="N55" i="2"/>
  <c r="O54"/>
  <c r="N54"/>
  <c r="O53"/>
  <c r="R53" s="1"/>
  <c r="N53"/>
  <c r="O52"/>
  <c r="R52" s="1"/>
  <c r="N52"/>
  <c r="O51"/>
  <c r="R51" s="1"/>
  <c r="N51"/>
  <c r="O50"/>
  <c r="R50" s="1"/>
  <c r="N50"/>
  <c r="O16"/>
  <c r="N16"/>
  <c r="O15"/>
  <c r="O20" s="1"/>
  <c r="O21" s="1"/>
  <c r="N15"/>
  <c r="N20" s="1"/>
  <c r="N21" s="1"/>
  <c r="O14"/>
  <c r="N14"/>
  <c r="Q59"/>
  <c r="R59"/>
  <c r="Q60"/>
  <c r="Q47"/>
  <c r="R47"/>
  <c r="Q48"/>
  <c r="R48"/>
  <c r="Q49"/>
  <c r="R49"/>
  <c r="Q50"/>
  <c r="Q51"/>
  <c r="Q52"/>
  <c r="Q53"/>
  <c r="Q54"/>
  <c r="R54"/>
  <c r="Q55"/>
  <c r="R55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19"/>
  <c r="Q19"/>
  <c r="R18"/>
  <c r="Q18"/>
  <c r="R17"/>
  <c r="Q17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F20" i="7" l="1"/>
  <c r="F21" s="1"/>
  <c r="F16"/>
  <c r="P55" i="2"/>
  <c r="P54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6"/>
  <c r="P25"/>
  <c r="P24"/>
  <c r="P23"/>
  <c r="P19"/>
  <c r="P18"/>
  <c r="P17"/>
  <c r="P16"/>
  <c r="P15"/>
  <c r="P13"/>
  <c r="P12"/>
  <c r="P11"/>
  <c r="P10"/>
  <c r="P9"/>
  <c r="P8"/>
  <c r="P7"/>
  <c r="P6"/>
  <c r="P5"/>
  <c r="P4"/>
  <c r="P3"/>
  <c r="E25" i="5"/>
  <c r="E19"/>
  <c r="E28"/>
  <c r="E15"/>
  <c r="E14" i="10"/>
  <c r="E12"/>
  <c r="E11"/>
  <c r="E10"/>
  <c r="E8"/>
  <c r="E7"/>
  <c r="E6"/>
  <c r="E5"/>
  <c r="E4"/>
  <c r="E3"/>
  <c r="E2"/>
  <c r="G27" i="6"/>
  <c r="G26"/>
  <c r="G25"/>
  <c r="G24"/>
  <c r="G23"/>
  <c r="G22"/>
  <c r="G20"/>
  <c r="G19"/>
  <c r="G18"/>
  <c r="G17"/>
  <c r="G16"/>
  <c r="G15"/>
  <c r="G14"/>
  <c r="G13"/>
  <c r="G12"/>
  <c r="G11"/>
  <c r="G9"/>
  <c r="G8"/>
  <c r="G7"/>
  <c r="G6"/>
  <c r="G5"/>
  <c r="G4"/>
  <c r="G3"/>
  <c r="G2"/>
  <c r="F21"/>
  <c r="F10"/>
  <c r="F52" i="1"/>
  <c r="F24"/>
  <c r="F20"/>
  <c r="F14"/>
  <c r="F7"/>
  <c r="F3" i="13"/>
  <c r="C2"/>
  <c r="O59" i="2" l="1"/>
  <c r="P51"/>
  <c r="N60"/>
  <c r="P53"/>
  <c r="N56"/>
  <c r="N59"/>
  <c r="O62"/>
  <c r="O63"/>
  <c r="O56"/>
  <c r="P52"/>
  <c r="O58"/>
  <c r="R58" s="1"/>
  <c r="O60"/>
  <c r="R60" s="1"/>
  <c r="P14"/>
  <c r="N58"/>
  <c r="Q58" s="1"/>
  <c r="E27" i="5"/>
  <c r="E29" s="1"/>
  <c r="E9" i="10"/>
  <c r="E13" s="1"/>
  <c r="F28" i="6"/>
  <c r="F22" i="1"/>
  <c r="G9" i="12"/>
  <c r="G8"/>
  <c r="G7"/>
  <c r="G6"/>
  <c r="G5"/>
  <c r="G4"/>
  <c r="G3"/>
  <c r="G2"/>
  <c r="D4" i="9"/>
  <c r="D29" i="8"/>
  <c r="D28"/>
  <c r="D26"/>
  <c r="D25"/>
  <c r="D24"/>
  <c r="D23"/>
  <c r="D22"/>
  <c r="D19"/>
  <c r="D18"/>
  <c r="D17"/>
  <c r="D16"/>
  <c r="D14"/>
  <c r="D13"/>
  <c r="D12"/>
  <c r="D11"/>
  <c r="D9"/>
  <c r="D8"/>
  <c r="D7"/>
  <c r="D6"/>
  <c r="D5"/>
  <c r="D4"/>
  <c r="D3"/>
  <c r="D2"/>
  <c r="D19" i="7"/>
  <c r="D18"/>
  <c r="D17"/>
  <c r="D14"/>
  <c r="D13"/>
  <c r="D12"/>
  <c r="D10"/>
  <c r="D9"/>
  <c r="D8"/>
  <c r="D7"/>
  <c r="D6"/>
  <c r="D4"/>
  <c r="D3"/>
  <c r="D2"/>
  <c r="I63" i="2"/>
  <c r="I62"/>
  <c r="I60"/>
  <c r="H60"/>
  <c r="I59"/>
  <c r="H59"/>
  <c r="I58"/>
  <c r="H58"/>
  <c r="K55"/>
  <c r="L54"/>
  <c r="K54"/>
  <c r="L53"/>
  <c r="K53"/>
  <c r="L52"/>
  <c r="K52"/>
  <c r="L51"/>
  <c r="K51"/>
  <c r="L50"/>
  <c r="K50"/>
  <c r="L16"/>
  <c r="R16" s="1"/>
  <c r="K16"/>
  <c r="L15"/>
  <c r="K15"/>
  <c r="L14"/>
  <c r="K14"/>
  <c r="Q14" s="1"/>
  <c r="I56"/>
  <c r="I57" s="1"/>
  <c r="I61" s="1"/>
  <c r="H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6"/>
  <c r="J25"/>
  <c r="J24"/>
  <c r="J2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4" i="13"/>
  <c r="C3"/>
  <c r="O57" i="2" l="1"/>
  <c r="R57" s="1"/>
  <c r="R56"/>
  <c r="N57"/>
  <c r="Q57" s="1"/>
  <c r="Q56"/>
  <c r="K58"/>
  <c r="E2" i="9"/>
  <c r="K59" i="2"/>
  <c r="E3" i="9" s="1"/>
  <c r="Q15" i="2"/>
  <c r="L20"/>
  <c r="R14"/>
  <c r="J56"/>
  <c r="P56"/>
  <c r="L59"/>
  <c r="R15"/>
  <c r="E4" i="9"/>
  <c r="Q16" i="2"/>
  <c r="P20"/>
  <c r="E15" i="10"/>
  <c r="D2" i="9"/>
  <c r="L60" i="2"/>
  <c r="L63"/>
  <c r="K60"/>
  <c r="E5" i="9" s="1"/>
  <c r="L58" i="2"/>
  <c r="H57"/>
  <c r="D3" i="9"/>
  <c r="D5"/>
  <c r="K20" i="2"/>
  <c r="Q20" s="1"/>
  <c r="L62"/>
  <c r="D27" i="8"/>
  <c r="D10"/>
  <c r="D20"/>
  <c r="D15"/>
  <c r="D5" i="7"/>
  <c r="D15"/>
  <c r="D11"/>
  <c r="J57" i="2"/>
  <c r="P57" l="1"/>
  <c r="O61"/>
  <c r="L21"/>
  <c r="R21" s="1"/>
  <c r="R20"/>
  <c r="D16" i="7"/>
  <c r="N61" i="2"/>
  <c r="P21"/>
  <c r="D20" i="7"/>
  <c r="D30" i="8"/>
  <c r="K21" i="2"/>
  <c r="Q21" s="1"/>
  <c r="H61"/>
  <c r="D6" i="9" s="1"/>
  <c r="D21" i="8"/>
  <c r="D21" i="7" l="1"/>
  <c r="D31" i="8"/>
  <c r="D25" i="5"/>
  <c r="D19"/>
  <c r="D27" s="1"/>
  <c r="D28"/>
  <c r="D15"/>
  <c r="D14" i="10"/>
  <c r="F14" s="1"/>
  <c r="D12"/>
  <c r="F12" s="1"/>
  <c r="D11"/>
  <c r="F11" s="1"/>
  <c r="D10"/>
  <c r="F10" s="1"/>
  <c r="D8"/>
  <c r="F8" s="1"/>
  <c r="D7"/>
  <c r="F7" s="1"/>
  <c r="D6"/>
  <c r="F6" s="1"/>
  <c r="D4"/>
  <c r="F4" s="1"/>
  <c r="D3"/>
  <c r="F3" s="1"/>
  <c r="E21" i="6"/>
  <c r="G21" s="1"/>
  <c r="E10"/>
  <c r="G10" s="1"/>
  <c r="E52" i="1"/>
  <c r="E24"/>
  <c r="E20"/>
  <c r="E14"/>
  <c r="E7"/>
  <c r="E55" i="2"/>
  <c r="F54"/>
  <c r="E54"/>
  <c r="F53"/>
  <c r="E53"/>
  <c r="F52"/>
  <c r="E52"/>
  <c r="F51"/>
  <c r="E51"/>
  <c r="F50"/>
  <c r="E50"/>
  <c r="F16"/>
  <c r="E16"/>
  <c r="F15"/>
  <c r="E15"/>
  <c r="F14"/>
  <c r="E14"/>
  <c r="B55"/>
  <c r="C54"/>
  <c r="B54"/>
  <c r="C53"/>
  <c r="B53"/>
  <c r="C52"/>
  <c r="B52"/>
  <c r="C51"/>
  <c r="B51"/>
  <c r="C50"/>
  <c r="B50"/>
  <c r="C16"/>
  <c r="B16"/>
  <c r="C15"/>
  <c r="B15"/>
  <c r="C14"/>
  <c r="B14"/>
  <c r="C59" l="1"/>
  <c r="E59"/>
  <c r="C3" i="9" s="1"/>
  <c r="D5" i="10"/>
  <c r="F5" s="1"/>
  <c r="B20" i="2"/>
  <c r="B21" s="1"/>
  <c r="B59"/>
  <c r="B3" i="9" s="1"/>
  <c r="B4"/>
  <c r="F59" i="2"/>
  <c r="D29" i="5"/>
  <c r="C4" i="9"/>
  <c r="F20" i="2"/>
  <c r="F21" s="1"/>
  <c r="F60"/>
  <c r="F58"/>
  <c r="F62"/>
  <c r="C63"/>
  <c r="B60"/>
  <c r="B5" i="9" s="1"/>
  <c r="B58" i="2"/>
  <c r="B2" i="9" s="1"/>
  <c r="F63" i="2"/>
  <c r="C20"/>
  <c r="C21" s="1"/>
  <c r="C58"/>
  <c r="C60"/>
  <c r="C62"/>
  <c r="E20"/>
  <c r="E21" s="1"/>
  <c r="E60"/>
  <c r="C5" i="9" s="1"/>
  <c r="E58" i="2"/>
  <c r="C2" i="9" s="1"/>
  <c r="D2" i="10"/>
  <c r="F2" s="1"/>
  <c r="E28" i="6"/>
  <c r="G28" s="1"/>
  <c r="E22" i="1"/>
  <c r="B25" i="5"/>
  <c r="C25"/>
  <c r="C19"/>
  <c r="B19"/>
  <c r="D52" i="1"/>
  <c r="C52"/>
  <c r="B52"/>
  <c r="D24"/>
  <c r="C24"/>
  <c r="B24"/>
  <c r="F8" i="13"/>
  <c r="F7"/>
  <c r="C7"/>
  <c r="F6"/>
  <c r="C6"/>
  <c r="F5"/>
  <c r="C5"/>
  <c r="C4"/>
  <c r="C27" i="5" l="1"/>
  <c r="D9" i="10"/>
  <c r="F9" s="1"/>
  <c r="B27" i="5"/>
  <c r="B15"/>
  <c r="C15"/>
  <c r="D13" i="10" l="1"/>
  <c r="F13" s="1"/>
  <c r="C7" i="1"/>
  <c r="B7"/>
  <c r="D7"/>
  <c r="F56" i="2"/>
  <c r="F57" s="1"/>
  <c r="F61" s="1"/>
  <c r="E56"/>
  <c r="E57" s="1"/>
  <c r="E61" s="1"/>
  <c r="C6" i="9" s="1"/>
  <c r="D15" i="10" l="1"/>
  <c r="F15" s="1"/>
  <c r="C21" i="6"/>
  <c r="D21"/>
  <c r="D10"/>
  <c r="C10"/>
  <c r="C20" i="1" l="1"/>
  <c r="B20"/>
  <c r="D20"/>
  <c r="B14"/>
  <c r="C14"/>
  <c r="D14"/>
  <c r="C28" i="5" l="1"/>
  <c r="B28"/>
  <c r="C28" i="6"/>
  <c r="D28"/>
  <c r="C29" i="5" l="1"/>
  <c r="B22" i="1"/>
  <c r="C22"/>
  <c r="D22"/>
  <c r="B6" i="10" l="1"/>
  <c r="C6"/>
  <c r="B7"/>
  <c r="C7"/>
  <c r="B8"/>
  <c r="C8"/>
  <c r="B3"/>
  <c r="C3"/>
  <c r="B4"/>
  <c r="C4"/>
  <c r="I6" i="12" l="1"/>
  <c r="F2"/>
  <c r="I2"/>
  <c r="F3"/>
  <c r="I3"/>
  <c r="F4"/>
  <c r="I4"/>
  <c r="F5"/>
  <c r="I5"/>
  <c r="F6"/>
  <c r="F7"/>
  <c r="I7"/>
  <c r="F8"/>
  <c r="I8"/>
  <c r="F9"/>
  <c r="I9"/>
  <c r="E9"/>
  <c r="E8"/>
  <c r="E7"/>
  <c r="E6"/>
  <c r="E5"/>
  <c r="E4"/>
  <c r="E3"/>
  <c r="E2"/>
  <c r="B10" i="10"/>
  <c r="C10"/>
  <c r="B11"/>
  <c r="C11"/>
  <c r="B12"/>
  <c r="C12"/>
  <c r="B14"/>
  <c r="C14"/>
  <c r="E26" i="8" l="1"/>
  <c r="E25"/>
  <c r="E24"/>
  <c r="E23"/>
  <c r="E22"/>
  <c r="E19"/>
  <c r="E18"/>
  <c r="E17"/>
  <c r="E16"/>
  <c r="E14"/>
  <c r="E13"/>
  <c r="E12"/>
  <c r="E11"/>
  <c r="E9"/>
  <c r="E8"/>
  <c r="E7"/>
  <c r="E6"/>
  <c r="E5"/>
  <c r="E4"/>
  <c r="E3"/>
  <c r="E2"/>
  <c r="C29"/>
  <c r="C28"/>
  <c r="C26"/>
  <c r="C25"/>
  <c r="C24"/>
  <c r="C23"/>
  <c r="C22"/>
  <c r="C19"/>
  <c r="C18"/>
  <c r="C17"/>
  <c r="C16"/>
  <c r="C14"/>
  <c r="C13"/>
  <c r="C12"/>
  <c r="C11"/>
  <c r="C9"/>
  <c r="C8"/>
  <c r="C7"/>
  <c r="C6"/>
  <c r="C5"/>
  <c r="C4"/>
  <c r="C3"/>
  <c r="C2"/>
  <c r="B12"/>
  <c r="B13"/>
  <c r="B14"/>
  <c r="B29"/>
  <c r="B28"/>
  <c r="B23"/>
  <c r="B24"/>
  <c r="B25"/>
  <c r="B26"/>
  <c r="B22"/>
  <c r="B17"/>
  <c r="B18"/>
  <c r="B19"/>
  <c r="B16"/>
  <c r="B11"/>
  <c r="B3"/>
  <c r="B4"/>
  <c r="B5"/>
  <c r="B6"/>
  <c r="B7"/>
  <c r="B8"/>
  <c r="B9"/>
  <c r="B2"/>
  <c r="E19" i="7"/>
  <c r="E18"/>
  <c r="E17"/>
  <c r="E14"/>
  <c r="E13"/>
  <c r="E12"/>
  <c r="E10"/>
  <c r="E9"/>
  <c r="E8"/>
  <c r="E7"/>
  <c r="E6"/>
  <c r="E4"/>
  <c r="E3"/>
  <c r="E2"/>
  <c r="C19"/>
  <c r="C18"/>
  <c r="C17"/>
  <c r="C14"/>
  <c r="C13"/>
  <c r="C12"/>
  <c r="C10"/>
  <c r="C9"/>
  <c r="C8"/>
  <c r="C7"/>
  <c r="C6"/>
  <c r="C4"/>
  <c r="C3"/>
  <c r="C2"/>
  <c r="B18"/>
  <c r="B19"/>
  <c r="B17"/>
  <c r="B13"/>
  <c r="B14"/>
  <c r="B12"/>
  <c r="B7"/>
  <c r="B8"/>
  <c r="B9"/>
  <c r="B10"/>
  <c r="B6"/>
  <c r="B3"/>
  <c r="B4"/>
  <c r="B2"/>
  <c r="I20" i="8" l="1"/>
  <c r="I11" i="7"/>
  <c r="E15" i="8"/>
  <c r="B5" i="7"/>
  <c r="I15"/>
  <c r="B11"/>
  <c r="B27" i="8"/>
  <c r="B15" i="7"/>
  <c r="E27" i="8"/>
  <c r="I27"/>
  <c r="I15"/>
  <c r="C27"/>
  <c r="I10"/>
  <c r="E10"/>
  <c r="E20"/>
  <c r="C10"/>
  <c r="C15"/>
  <c r="C20"/>
  <c r="B20"/>
  <c r="B15"/>
  <c r="B10"/>
  <c r="I5" i="7"/>
  <c r="C15"/>
  <c r="C11"/>
  <c r="E11"/>
  <c r="E5"/>
  <c r="E15"/>
  <c r="C5"/>
  <c r="E21" i="8" l="1"/>
  <c r="B21"/>
  <c r="C21"/>
  <c r="I21"/>
  <c r="C16" i="7"/>
  <c r="I16"/>
  <c r="E16"/>
  <c r="B16"/>
  <c r="B20"/>
  <c r="B21" s="1"/>
  <c r="I20"/>
  <c r="I21" s="1"/>
  <c r="C30" i="8"/>
  <c r="C31" s="1"/>
  <c r="B30"/>
  <c r="B31" s="1"/>
  <c r="C20" i="7"/>
  <c r="C21" s="1"/>
  <c r="E20"/>
  <c r="E21" l="1"/>
  <c r="I30" i="8"/>
  <c r="I31" s="1"/>
  <c r="B5" i="10" l="1"/>
  <c r="C5"/>
  <c r="B2"/>
  <c r="C2"/>
  <c r="B9" l="1"/>
  <c r="B13" s="1"/>
  <c r="B15" s="1"/>
  <c r="C9"/>
  <c r="C13" l="1"/>
  <c r="C15" l="1"/>
  <c r="M49" i="2" l="1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6"/>
  <c r="M25"/>
  <c r="M24"/>
  <c r="M23"/>
  <c r="M19"/>
  <c r="M18"/>
  <c r="M17"/>
  <c r="M13"/>
  <c r="M12"/>
  <c r="M11"/>
  <c r="M10"/>
  <c r="M9"/>
  <c r="M8"/>
  <c r="M7"/>
  <c r="M6"/>
  <c r="M5"/>
  <c r="M4"/>
  <c r="M3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4"/>
  <c r="G23"/>
  <c r="G19"/>
  <c r="G18"/>
  <c r="G17"/>
  <c r="G13"/>
  <c r="G11"/>
  <c r="G10"/>
  <c r="G9"/>
  <c r="G8"/>
  <c r="G7"/>
  <c r="G6"/>
  <c r="G5"/>
  <c r="G4"/>
  <c r="G3"/>
  <c r="D24"/>
  <c r="D25"/>
  <c r="D26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3"/>
  <c r="D4"/>
  <c r="D5"/>
  <c r="D6"/>
  <c r="D7"/>
  <c r="D8"/>
  <c r="D9"/>
  <c r="D10"/>
  <c r="D11"/>
  <c r="D13"/>
  <c r="D17"/>
  <c r="D18"/>
  <c r="D19"/>
  <c r="D3"/>
  <c r="E28" i="8" l="1"/>
  <c r="M55" i="2" l="1"/>
  <c r="E29" i="8"/>
  <c r="M51" i="2"/>
  <c r="M54"/>
  <c r="M53"/>
  <c r="M52"/>
  <c r="M50"/>
  <c r="M16"/>
  <c r="M14"/>
  <c r="M15"/>
  <c r="L56"/>
  <c r="K56"/>
  <c r="E30" i="8" l="1"/>
  <c r="L57" i="2"/>
  <c r="M21"/>
  <c r="M20"/>
  <c r="K57"/>
  <c r="M56"/>
  <c r="G12"/>
  <c r="D55"/>
  <c r="D54"/>
  <c r="M57" l="1"/>
  <c r="K61"/>
  <c r="E6" i="9" s="1"/>
  <c r="E31" i="8"/>
  <c r="L61" i="2"/>
  <c r="G14"/>
  <c r="G15"/>
  <c r="G50"/>
  <c r="G51"/>
  <c r="G52"/>
  <c r="G53"/>
  <c r="G54"/>
  <c r="G55"/>
  <c r="D14"/>
  <c r="D16"/>
  <c r="D12"/>
  <c r="D51"/>
  <c r="D53"/>
  <c r="D15"/>
  <c r="D50"/>
  <c r="D52"/>
  <c r="C56"/>
  <c r="C57" s="1"/>
  <c r="C61" s="1"/>
  <c r="B56"/>
  <c r="G20" l="1"/>
  <c r="G56"/>
  <c r="G16"/>
  <c r="D21"/>
  <c r="D20"/>
  <c r="B57"/>
  <c r="D56"/>
  <c r="D57" l="1"/>
  <c r="B61"/>
  <c r="B6" i="9" s="1"/>
  <c r="G21" i="2"/>
  <c r="G57"/>
</calcChain>
</file>

<file path=xl/sharedStrings.xml><?xml version="1.0" encoding="utf-8"?>
<sst xmlns="http://schemas.openxmlformats.org/spreadsheetml/2006/main" count="481" uniqueCount="374">
  <si>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</si>
  <si>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</si>
  <si>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</si>
  <si>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</si>
  <si>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</si>
  <si>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</si>
  <si>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</si>
  <si>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</si>
  <si>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</si>
  <si>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</si>
  <si>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</si>
  <si>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</si>
  <si>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</si>
  <si>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</si>
  <si>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</si>
  <si>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</si>
  <si>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</si>
  <si>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</si>
  <si>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</si>
  <si>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</si>
  <si>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</si>
  <si>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</si>
  <si>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</si>
  <si>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</si>
  <si>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</si>
  <si>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</si>
  <si>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</si>
  <si>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</si>
  <si>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</si>
  <si>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</si>
  <si>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</si>
  <si>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</si>
  <si>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</si>
  <si>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</si>
  <si>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</si>
  <si>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</si>
  <si>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</si>
  <si>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</si>
  <si>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</si>
  <si>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</si>
  <si>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</si>
  <si>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</si>
  <si>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</si>
  <si>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</si>
  <si>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</si>
  <si>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</si>
  <si>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</si>
  <si>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</si>
  <si>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</si>
  <si>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</si>
  <si>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</si>
  <si>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</si>
  <si>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</si>
  <si>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</si>
  <si>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</si>
  <si>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</si>
  <si>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</si>
  <si>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</si>
  <si>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</si>
  <si>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</si>
  <si>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</si>
  <si>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</si>
  <si>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</si>
  <si>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</si>
  <si>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</si>
  <si>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</si>
  <si>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</si>
  <si>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</si>
  <si>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</si>
  <si>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</si>
  <si>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</si>
  <si>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</si>
  <si>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</si>
  <si>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</si>
  <si>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</si>
  <si>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</si>
  <si>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</si>
  <si>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</si>
  <si>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</si>
  <si>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</si>
  <si>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</si>
  <si>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</si>
  <si>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</si>
  <si>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</si>
  <si>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</si>
  <si>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</si>
  <si>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</si>
  <si>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</si>
  <si>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</si>
  <si>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</si>
  <si>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</si>
  <si>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</si>
  <si>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</si>
  <si>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</si>
  <si>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</si>
  <si>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</si>
  <si>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</si>
  <si>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</si>
  <si>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</si>
  <si>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</si>
  <si>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</si>
  <si>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</si>
  <si>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</si>
  <si>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</si>
  <si>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</si>
  <si>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</si>
  <si>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</si>
  <si>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</si>
  <si>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</si>
  <si>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</si>
  <si>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</si>
  <si>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</si>
  <si>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</si>
  <si>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</si>
  <si>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</si>
  <si>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</si>
  <si>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</si>
  <si>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</si>
  <si>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</si>
  <si>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</si>
  <si>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</si>
  <si>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</si>
  <si>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</si>
  <si>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</si>
  <si>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</si>
  <si>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</si>
  <si>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</si>
  <si>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</si>
  <si>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</si>
  <si>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</si>
  <si>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</si>
  <si>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</si>
  <si>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</si>
  <si>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</si>
  <si>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</si>
  <si>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</si>
  <si>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</si>
  <si>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</si>
  <si>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</si>
  <si>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</si>
  <si>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</si>
  <si>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</si>
  <si>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</si>
  <si>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</si>
  <si>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</si>
  <si>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</si>
  <si>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</si>
  <si>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</si>
  <si>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</si>
  <si>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</si>
  <si>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</si>
  <si>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</si>
  <si>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</si>
  <si>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</si>
  <si>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</si>
  <si>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</si>
  <si>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</si>
  <si>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</si>
  <si>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</si>
  <si>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</si>
  <si>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</si>
  <si>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</si>
  <si>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</si>
  <si>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</si>
  <si>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</si>
  <si>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</si>
  <si>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</si>
  <si>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</si>
  <si>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</si>
  <si>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</si>
  <si>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</si>
  <si>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</si>
  <si>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</si>
  <si>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</si>
  <si>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</si>
  <si>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</si>
  <si>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</si>
  <si>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</si>
  <si>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</si>
  <si>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</si>
  <si>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</si>
  <si>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</si>
  <si>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</si>
  <si>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</si>
  <si>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</si>
  <si>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</si>
  <si>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</si>
  <si>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</si>
  <si>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</si>
  <si>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</si>
  <si>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</si>
  <si>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</si>
  <si>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</si>
  <si>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</si>
  <si>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</si>
  <si>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</si>
  <si>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</si>
  <si>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</si>
  <si>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</si>
  <si>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</si>
  <si>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</si>
  <si>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</si>
  <si>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</si>
  <si>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</si>
  <si>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</si>
  <si>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</si>
  <si>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</si>
  <si>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</si>
  <si>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</si>
  <si>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</si>
  <si>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</si>
  <si>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</si>
  <si>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</si>
  <si>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</si>
  <si>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</si>
  <si>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</si>
  <si>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</si>
  <si>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</si>
  <si>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</si>
  <si>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</si>
  <si>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</si>
  <si>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</si>
  <si>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</si>
  <si>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</si>
  <si>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</si>
  <si>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</si>
  <si>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</si>
  <si>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</si>
  <si>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</si>
  <si>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</si>
  <si>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</si>
  <si>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</si>
  <si>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</si>
  <si>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</si>
  <si>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</si>
  <si>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</si>
  <si>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</si>
  <si>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</si>
  <si>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</si>
  <si>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</si>
  <si>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</si>
  <si>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</si>
  <si>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</si>
  <si>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</si>
  <si>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</si>
  <si>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</si>
  <si>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</si>
  <si>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</si>
  <si>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</si>
  <si>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</si>
  <si>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</si>
  <si>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</si>
  <si>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</si>
  <si>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</si>
  <si>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</si>
  <si>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</si>
  <si>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</si>
  <si>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</si>
  <si>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</si>
  <si>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</si>
  <si>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</si>
  <si>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</si>
  <si>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</si>
  <si>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</si>
  <si>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</si>
  <si>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</si>
  <si>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</si>
  <si>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</si>
  <si>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</si>
  <si>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</si>
  <si>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</si>
  <si>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</si>
  <si>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</si>
  <si>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</si>
  <si>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</si>
  <si>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</si>
  <si>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</si>
  <si>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</si>
  <si>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</si>
  <si>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</si>
  <si>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</si>
  <si>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</si>
  <si>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</si>
  <si>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</si>
  <si>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</si>
  <si>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</si>
  <si>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</si>
  <si>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</si>
  <si>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</si>
  <si>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</si>
  <si>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</si>
  <si>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</si>
  <si>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</si>
  <si>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</si>
  <si>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</si>
  <si>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</si>
  <si>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</si>
  <si>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</si>
  <si>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</si>
  <si>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</si>
  <si>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</si>
  <si>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</si>
  <si>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</si>
  <si>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</si>
  <si>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</si>
  <si>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</si>
  <si>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</si>
  <si>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</si>
  <si>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</si>
  <si>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</si>
  <si>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</si>
  <si>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</si>
  <si>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</si>
  <si>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</si>
  <si>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</si>
  <si>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</si>
  <si>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</si>
  <si>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</si>
  <si>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</si>
  <si>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</si>
  <si>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</si>
  <si>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</si>
  <si>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</si>
  <si>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</si>
  <si>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</si>
  <si>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</si>
  <si>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</si>
  <si>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</si>
  <si>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</si>
  <si>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</si>
  <si>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</si>
  <si>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</si>
  <si>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</si>
  <si>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</si>
  <si>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</si>
  <si>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</si>
  <si>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</si>
  <si>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</si>
  <si>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</si>
  <si>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</si>
  <si>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</si>
  <si>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</si>
  <si>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</si>
  <si>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</si>
  <si>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</si>
  <si>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</si>
  <si>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</si>
  <si>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</si>
  <si>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</si>
  <si>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</si>
  <si>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</si>
  <si>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</si>
  <si>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</si>
  <si>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</si>
  <si>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</si>
  <si>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</si>
  <si>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</si>
  <si>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</si>
  <si>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</si>
  <si>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</si>
  <si>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</si>
  <si>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</si>
  <si>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</si>
  <si>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</si>
  <si>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</si>
  <si>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</si>
  <si>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Riaccertamento residui</t>
  </si>
  <si>
    <t/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</si>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</sst>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  <numFmt numFmtId="168" formatCode="#,##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8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8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6" fontId="0" fillId="0" borderId="5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2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8806717062543152"/>
          <c:y val="3.6416650591281879E-2"/>
          <c:w val="0.80361249792401179"/>
          <c:h val="0.78902477947494853"/>
        </c:manualLayout>
      </c:layout>
      <c:lineChart>
        <c:grouping val="standard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1928427564.24</c:v>
                </c:pt>
                <c:pt idx="1">
                  <c:v>1976501514.9400001</c:v>
                </c:pt>
                <c:pt idx="2">
                  <c:v>1752385331.3099999</c:v>
                </c:pt>
                <c:pt idx="3">
                  <c:v>1610221365.3800001</c:v>
                </c:pt>
                <c:pt idx="4">
                  <c:v>1637317182.4000001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1297888737.6099999</c:v>
                </c:pt>
                <c:pt idx="1">
                  <c:v>1821505519.73</c:v>
                </c:pt>
                <c:pt idx="2">
                  <c:v>1324272758.8099999</c:v>
                </c:pt>
                <c:pt idx="3">
                  <c:v>1503120998.8299999</c:v>
                </c:pt>
                <c:pt idx="4">
                  <c:v>1782962329.1500001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marker val="1"/>
        <c:axId val="99712000"/>
        <c:axId val="100311424"/>
      </c:lineChart>
      <c:catAx>
        <c:axId val="99712000"/>
        <c:scaling>
          <c:orientation val="minMax"/>
        </c:scaling>
        <c:axPos val="b"/>
        <c:numFmt formatCode="General" sourceLinked="1"/>
        <c:majorTickMark val="none"/>
        <c:tickLblPos val="nextTo"/>
        <c:crossAx val="100311424"/>
        <c:crosses val="autoZero"/>
        <c:auto val="1"/>
        <c:lblAlgn val="ctr"/>
        <c:lblOffset val="100"/>
      </c:catAx>
      <c:valAx>
        <c:axId val="100311424"/>
        <c:scaling>
          <c:orientation val="minMax"/>
          <c:max val="2000000000"/>
          <c:min val="1000000000"/>
        </c:scaling>
        <c:axPos val="l"/>
        <c:numFmt formatCode="#,##0" sourceLinked="1"/>
        <c:majorTickMark val="none"/>
        <c:tickLblPos val="nextTo"/>
        <c:crossAx val="99712000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932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1462.7</c:v>
                </c:pt>
                <c:pt idx="1">
                  <c:v>2119.39</c:v>
                </c:pt>
                <c:pt idx="2">
                  <c:v>2117.89</c:v>
                </c:pt>
                <c:pt idx="3">
                  <c:v>2290.9</c:v>
                </c:pt>
                <c:pt idx="4">
                  <c:v>2088.04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axId val="115578368"/>
        <c:axId val="115579904"/>
      </c:barChart>
      <c:catAx>
        <c:axId val="11557836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15579904"/>
        <c:crosses val="autoZero"/>
        <c:auto val="1"/>
        <c:lblAlgn val="ctr"/>
        <c:lblOffset val="100"/>
      </c:catAx>
      <c:valAx>
        <c:axId val="115579904"/>
        <c:scaling>
          <c:orientation val="minMax"/>
          <c:min val="0"/>
        </c:scaling>
        <c:delete val="1"/>
        <c:axPos val="l"/>
        <c:numFmt formatCode="0" sourceLinked="0"/>
        <c:majorTickMark val="none"/>
        <c:tickLblPos val="none"/>
        <c:crossAx val="1155783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65E-2"/>
          <c:y val="3.6934441366574598E-3"/>
          <c:w val="0.95679921453118932"/>
          <c:h val="0.89482321635003492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1.37</c:v>
                </c:pt>
                <c:pt idx="1">
                  <c:v>7.04</c:v>
                </c:pt>
                <c:pt idx="2">
                  <c:v>-5.95</c:v>
                </c:pt>
                <c:pt idx="3">
                  <c:v>1.64</c:v>
                </c:pt>
                <c:pt idx="4">
                  <c:v>-10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axId val="115754880"/>
        <c:axId val="115756416"/>
      </c:barChart>
      <c:catAx>
        <c:axId val="11575488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15756416"/>
        <c:crosses val="autoZero"/>
        <c:auto val="1"/>
        <c:lblAlgn val="ctr"/>
        <c:lblOffset val="100"/>
      </c:catAx>
      <c:valAx>
        <c:axId val="115756416"/>
        <c:scaling>
          <c:orientation val="minMax"/>
          <c:max val="10"/>
          <c:min val="-15"/>
        </c:scaling>
        <c:delete val="1"/>
        <c:axPos val="l"/>
        <c:numFmt formatCode="0" sourceLinked="0"/>
        <c:majorTickMark val="none"/>
        <c:tickLblPos val="none"/>
        <c:crossAx val="11575488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65E-2"/>
          <c:y val="3.6934441366574598E-3"/>
          <c:w val="0.95679921453118932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420.3064946025176</c:v>
                </c:pt>
                <c:pt idx="1">
                  <c:v>417.60870696758838</c:v>
                </c:pt>
                <c:pt idx="2">
                  <c:v>287.41000000000003</c:v>
                </c:pt>
                <c:pt idx="3">
                  <c:v>345.61</c:v>
                </c:pt>
                <c:pt idx="4">
                  <c:v>296.81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axId val="116984064"/>
        <c:axId val="117002240"/>
      </c:barChart>
      <c:catAx>
        <c:axId val="11698406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17002240"/>
        <c:crosses val="autoZero"/>
        <c:auto val="1"/>
        <c:lblAlgn val="ctr"/>
        <c:lblOffset val="100"/>
      </c:catAx>
      <c:valAx>
        <c:axId val="117002240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tickLblPos val="none"/>
        <c:crossAx val="11698406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455982310043105"/>
          <c:h val="0.9494655159537152"/>
        </c:manualLayout>
      </c:layout>
      <c:barChart>
        <c:barDir val="bar"/>
        <c:grouping val="clustered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534912</c:v>
                </c:pt>
                <c:pt idx="1">
                  <c:v>532644</c:v>
                </c:pt>
                <c:pt idx="2">
                  <c:v>530313</c:v>
                </c:pt>
                <c:pt idx="3">
                  <c:v>526772</c:v>
                </c:pt>
                <c:pt idx="4">
                  <c:v>523454</c:v>
                </c:pt>
                <c:pt idx="5">
                  <c:v>520252</c:v>
                </c:pt>
                <c:pt idx="6">
                  <c:v>517994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axId val="115507968"/>
        <c:axId val="115509504"/>
      </c:barChart>
      <c:catAx>
        <c:axId val="115507968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15509504"/>
        <c:crosses val="autoZero"/>
        <c:auto val="1"/>
        <c:lblAlgn val="ctr"/>
        <c:lblOffset val="100"/>
      </c:catAx>
      <c:valAx>
        <c:axId val="115509504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115507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col"/>
        <c:grouping val="stacked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55868330.210000001</c:v>
                </c:pt>
                <c:pt idx="1">
                  <c:v>61175575.210000001</c:v>
                </c:pt>
                <c:pt idx="2">
                  <c:v>91391763.480000004</c:v>
                </c:pt>
                <c:pt idx="3">
                  <c:v>61793107.439999998</c:v>
                </c:pt>
                <c:pt idx="4">
                  <c:v>79756972.040000007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21931722.329999998</c:v>
                </c:pt>
                <c:pt idx="1">
                  <c:v>51497101.939999998</c:v>
                </c:pt>
                <c:pt idx="2">
                  <c:v>52096257.049999997</c:v>
                </c:pt>
                <c:pt idx="3">
                  <c:v>34887472.039999999</c:v>
                </c:pt>
                <c:pt idx="4">
                  <c:v>0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102475301.2</c:v>
                </c:pt>
                <c:pt idx="1">
                  <c:v>1339656.79</c:v>
                </c:pt>
                <c:pt idx="2">
                  <c:v>21480503.66</c:v>
                </c:pt>
                <c:pt idx="3">
                  <c:v>22003824.310000002</c:v>
                </c:pt>
                <c:pt idx="4">
                  <c:v>231284006.17000002</c:v>
                </c:pt>
              </c:numCache>
            </c:numRef>
          </c:val>
        </c:ser>
        <c:overlap val="100"/>
        <c:axId val="100402304"/>
        <c:axId val="100403840"/>
      </c:barChart>
      <c:lineChart>
        <c:grouping val="standard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31289111389261E-2"/>
                  <c:y val="3.66132635150751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31289111389261E-2"/>
                  <c:y val="2.1357737050460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687526074259502E-2"/>
                  <c:y val="4.5766579393843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0250312891114E-2"/>
                  <c:y val="4.576657939384393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2.8970924936979889</c:v>
                </c:pt>
                <c:pt idx="1">
                  <c:v>3.0951443622777637</c:v>
                </c:pt>
                <c:pt idx="2">
                  <c:v>5.2152778185879853</c:v>
                </c:pt>
                <c:pt idx="3">
                  <c:v>3.8375535667679634</c:v>
                </c:pt>
                <c:pt idx="4">
                  <c:v>4.8711986228038748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marker val="1"/>
        <c:axId val="100427648"/>
        <c:axId val="100426112"/>
      </c:lineChart>
      <c:catAx>
        <c:axId val="100402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403840"/>
        <c:crosses val="autoZero"/>
        <c:auto val="1"/>
        <c:lblAlgn val="ctr"/>
        <c:lblOffset val="100"/>
      </c:catAx>
      <c:valAx>
        <c:axId val="100403840"/>
        <c:scaling>
          <c:orientation val="minMax"/>
        </c:scaling>
        <c:axPos val="l"/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402304"/>
        <c:crosses val="autoZero"/>
        <c:crossBetween val="between"/>
      </c:valAx>
      <c:valAx>
        <c:axId val="100426112"/>
        <c:scaling>
          <c:orientation val="minMax"/>
        </c:scaling>
        <c:axPos val="r"/>
        <c:numFmt formatCode="0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427648"/>
        <c:crosses val="max"/>
        <c:crossBetween val="between"/>
        <c:majorUnit val="1"/>
      </c:valAx>
      <c:catAx>
        <c:axId val="100427648"/>
        <c:scaling>
          <c:orientation val="minMax"/>
        </c:scaling>
        <c:delete val="1"/>
        <c:axPos val="b"/>
        <c:numFmt formatCode="General" sourceLinked="1"/>
        <c:tickLblPos val="none"/>
        <c:crossAx val="100426112"/>
        <c:crosses val="autoZero"/>
        <c:auto val="1"/>
        <c:lblAlgn val="ctr"/>
        <c:lblOffset val="100"/>
      </c:catAx>
      <c:spPr>
        <a:noFill/>
        <a:ln w="25400"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1.9214134818513723E-2"/>
          <c:y val="1.9227205294990474E-2"/>
          <c:w val="0.84720989801576563"/>
          <c:h val="0.96897896458594845"/>
        </c:manualLayout>
      </c:layout>
      <c:barChart>
        <c:barDir val="bar"/>
        <c:grouping val="clustered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177119010333181E-3"/>
                  <c:y val="3.864734299516909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545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Conto_economico!$C$1:$F$1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Conto_economico!$C$28:$F$28</c:f>
              <c:numCache>
                <c:formatCode>#,##0</c:formatCode>
                <c:ptCount val="4"/>
                <c:pt idx="0">
                  <c:v>110505431.26000056</c:v>
                </c:pt>
                <c:pt idx="1">
                  <c:v>171977332.70999989</c:v>
                </c:pt>
                <c:pt idx="2">
                  <c:v>166110949.65000075</c:v>
                </c:pt>
                <c:pt idx="3">
                  <c:v>49380093.800001293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axId val="109568768"/>
        <c:axId val="109570304"/>
      </c:barChart>
      <c:catAx>
        <c:axId val="109568768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9570304"/>
        <c:crosses val="autoZero"/>
        <c:auto val="1"/>
        <c:lblAlgn val="ctr"/>
        <c:lblOffset val="100"/>
      </c:catAx>
      <c:valAx>
        <c:axId val="109570304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109568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stacked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Stato_patrimoniale!$B$20:$E$20</c:f>
              <c:numCache>
                <c:formatCode>#,##0</c:formatCode>
                <c:ptCount val="4"/>
                <c:pt idx="0">
                  <c:v>218933870.28</c:v>
                </c:pt>
                <c:pt idx="1">
                  <c:v>151681730.69</c:v>
                </c:pt>
                <c:pt idx="2">
                  <c:v>183580642.06</c:v>
                </c:pt>
                <c:pt idx="3">
                  <c:v>158332145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Stato_patrimoniale!$B$21:$E$21</c:f>
              <c:numCache>
                <c:formatCode>#,##0</c:formatCode>
                <c:ptCount val="4"/>
                <c:pt idx="0">
                  <c:v>290382165.43000001</c:v>
                </c:pt>
                <c:pt idx="1">
                  <c:v>188735976.47</c:v>
                </c:pt>
                <c:pt idx="2">
                  <c:v>273208397.89999998</c:v>
                </c:pt>
                <c:pt idx="3">
                  <c:v>76793814.189999998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Stato_patrimoniale!$B$22:$E$22</c:f>
              <c:numCache>
                <c:formatCode>#,##0</c:formatCode>
                <c:ptCount val="4"/>
                <c:pt idx="0">
                  <c:v>1121950824.9400001</c:v>
                </c:pt>
                <c:pt idx="1">
                  <c:v>943102682.77999997</c:v>
                </c:pt>
                <c:pt idx="2">
                  <c:v>1126188305.1800001</c:v>
                </c:pt>
                <c:pt idx="3">
                  <c:v>1495067550.1199999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Stato_patrimoniale!$B$25:$E$25</c:f>
              <c:numCache>
                <c:formatCode>#,##0</c:formatCode>
                <c:ptCount val="4"/>
                <c:pt idx="0">
                  <c:v>516387645.66999996</c:v>
                </c:pt>
                <c:pt idx="1">
                  <c:v>250086790.91000003</c:v>
                </c:pt>
                <c:pt idx="2">
                  <c:v>180513232.14000002</c:v>
                </c:pt>
                <c:pt idx="3">
                  <c:v>221263644.53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overlap val="100"/>
        <c:axId val="111474560"/>
        <c:axId val="111476096"/>
      </c:barChart>
      <c:catAx>
        <c:axId val="111474560"/>
        <c:scaling>
          <c:orientation val="minMax"/>
        </c:scaling>
        <c:axPos val="b"/>
        <c:numFmt formatCode="General" sourceLinked="1"/>
        <c:majorTickMark val="none"/>
        <c:tickLblPos val="nextTo"/>
        <c:crossAx val="111476096"/>
        <c:crosses val="autoZero"/>
        <c:auto val="1"/>
        <c:lblAlgn val="ctr"/>
        <c:lblOffset val="100"/>
      </c:catAx>
      <c:valAx>
        <c:axId val="111476096"/>
        <c:scaling>
          <c:orientation val="minMax"/>
        </c:scaling>
        <c:axPos val="l"/>
        <c:numFmt formatCode="#,##0" sourceLinked="1"/>
        <c:majorTickMark val="none"/>
        <c:tickLblPos val="nextTo"/>
        <c:crossAx val="111474560"/>
        <c:crosses val="autoZero"/>
        <c:crossBetween val="between"/>
      </c:valAx>
      <c:spPr>
        <a:noFill/>
        <a:ln>
          <a:noFill/>
        </a:ln>
      </c:spPr>
    </c:plotArea>
    <c:legend>
      <c:legendPos val="b"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21"/>
          <c:h val="0.8325141970890001"/>
        </c:manualLayout>
      </c:layout>
      <c:barChart>
        <c:barDir val="bar"/>
        <c:grouping val="stacked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Stato_patrimoniale!$B$16:$E$16</c:f>
              <c:numCache>
                <c:formatCode>#,##0</c:formatCode>
                <c:ptCount val="4"/>
                <c:pt idx="0">
                  <c:v>1214065158.01</c:v>
                </c:pt>
                <c:pt idx="1">
                  <c:v>1265393975.0699999</c:v>
                </c:pt>
                <c:pt idx="2">
                  <c:v>1265393975.0699999</c:v>
                </c:pt>
                <c:pt idx="3">
                  <c:v>1265393975.0699999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Stato_patrimoniale!$B$17:$E$17</c:f>
              <c:numCache>
                <c:formatCode>#,##0</c:formatCode>
                <c:ptCount val="4"/>
                <c:pt idx="0">
                  <c:v>11292985256.1</c:v>
                </c:pt>
                <c:pt idx="1">
                  <c:v>12530346861.030001</c:v>
                </c:pt>
                <c:pt idx="2">
                  <c:v>12560849892.299999</c:v>
                </c:pt>
                <c:pt idx="3">
                  <c:v>12554088508.24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cat>
            <c:numRef>
              <c:f>Stato_patrimoniale!$B$1:$E$1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Stato_patrimoniale!$B$18:$E$18</c:f>
              <c:numCache>
                <c:formatCode>#,##0</c:formatCode>
                <c:ptCount val="4"/>
                <c:pt idx="0">
                  <c:v>110505431.26000001</c:v>
                </c:pt>
                <c:pt idx="1">
                  <c:v>171977332.71000001</c:v>
                </c:pt>
                <c:pt idx="2">
                  <c:v>166110949.65000001</c:v>
                </c:pt>
                <c:pt idx="3">
                  <c:v>49380093.799999997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overlap val="100"/>
        <c:axId val="111519232"/>
        <c:axId val="111520768"/>
      </c:barChart>
      <c:catAx>
        <c:axId val="111519232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1520768"/>
        <c:crosses val="autoZero"/>
        <c:auto val="1"/>
        <c:lblAlgn val="ctr"/>
        <c:lblOffset val="100"/>
      </c:catAx>
      <c:valAx>
        <c:axId val="111520768"/>
        <c:scaling>
          <c:orientation val="minMax"/>
          <c:max val="15000000000"/>
        </c:scaling>
        <c:axPos val="b"/>
        <c:numFmt formatCode="#,##0" sourceLinked="0"/>
        <c:majorTickMark val="none"/>
        <c:tickLblPos val="nextTo"/>
        <c:crossAx val="111519232"/>
        <c:crosses val="autoZero"/>
        <c:crossBetween val="between"/>
        <c:majorUnit val="5000000000"/>
      </c:valAx>
      <c:spPr>
        <a:noFill/>
        <a:ln>
          <a:noFill/>
        </a:ln>
      </c:spPr>
    </c:plotArea>
    <c:legend>
      <c:legendPos val="b"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228191836882E-2"/>
          <c:y val="3.0301278829508317E-2"/>
          <c:w val="0.91226637907374408"/>
          <c:h val="0.68340956050706358"/>
        </c:manualLayout>
      </c:layout>
      <c:lineChart>
        <c:grouping val="standard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80.77</c:v>
                </c:pt>
                <c:pt idx="1">
                  <c:v>80.81</c:v>
                </c:pt>
                <c:pt idx="2">
                  <c:v>83.04</c:v>
                </c:pt>
                <c:pt idx="3">
                  <c:v>84.56</c:v>
                </c:pt>
                <c:pt idx="4">
                  <c:v>84.24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79.617232190631995</c:v>
                </c:pt>
                <c:pt idx="1">
                  <c:v>75.817085986845399</c:v>
                </c:pt>
                <c:pt idx="2">
                  <c:v>78.554972590106743</c:v>
                </c:pt>
                <c:pt idx="3">
                  <c:v>80.081700974038199</c:v>
                </c:pt>
                <c:pt idx="4">
                  <c:v>78.836199784440993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79.425952355118156</c:v>
                </c:pt>
                <c:pt idx="1">
                  <c:v>74.886706498169204</c:v>
                </c:pt>
                <c:pt idx="2">
                  <c:v>77.768979458623051</c:v>
                </c:pt>
                <c:pt idx="3">
                  <c:v>79.33276076176935</c:v>
                </c:pt>
                <c:pt idx="4">
                  <c:v>77.886067394206819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marker val="1"/>
        <c:axId val="111687168"/>
        <c:axId val="111688704"/>
      </c:lineChart>
      <c:catAx>
        <c:axId val="111687168"/>
        <c:scaling>
          <c:orientation val="minMax"/>
        </c:scaling>
        <c:axPos val="b"/>
        <c:numFmt formatCode="General" sourceLinked="1"/>
        <c:majorTickMark val="none"/>
        <c:tickLblPos val="nextTo"/>
        <c:crossAx val="111688704"/>
        <c:crosses val="autoZero"/>
        <c:auto val="1"/>
        <c:lblAlgn val="ctr"/>
        <c:lblOffset val="100"/>
      </c:catAx>
      <c:valAx>
        <c:axId val="111688704"/>
        <c:scaling>
          <c:orientation val="minMax"/>
          <c:max val="85"/>
          <c:min val="7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111687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43"/>
          <c:w val="0.96177967444791623"/>
          <c:h val="0.17956804601552617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15.576125119693584</c:v>
                </c:pt>
                <c:pt idx="1">
                  <c:v>15.211178151794218</c:v>
                </c:pt>
                <c:pt idx="2">
                  <c:v>13.319216516675489</c:v>
                </c:pt>
                <c:pt idx="3">
                  <c:v>12.997459779847587</c:v>
                </c:pt>
                <c:pt idx="4">
                  <c:v>14.179183977841694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2.0427705075007978</c:v>
                </c:pt>
                <c:pt idx="1">
                  <c:v>1.9265375251402563</c:v>
                </c:pt>
                <c:pt idx="2">
                  <c:v>2.6151402858655373</c:v>
                </c:pt>
                <c:pt idx="3">
                  <c:v>2.5825571549534292</c:v>
                </c:pt>
                <c:pt idx="4">
                  <c:v>2.8230531586236283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7.2986487924247268</c:v>
                </c:pt>
                <c:pt idx="1">
                  <c:v>7.3039060019053679</c:v>
                </c:pt>
                <c:pt idx="2">
                  <c:v>10.005293806246691</c:v>
                </c:pt>
                <c:pt idx="3">
                  <c:v>10.658340389500424</c:v>
                </c:pt>
                <c:pt idx="4">
                  <c:v>11.483967188665174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9.3946164485583576</c:v>
                </c:pt>
                <c:pt idx="1">
                  <c:v>8.7858579443209486</c:v>
                </c:pt>
                <c:pt idx="2">
                  <c:v>9.740603493912122</c:v>
                </c:pt>
                <c:pt idx="3">
                  <c:v>9.6634208298052506</c:v>
                </c:pt>
                <c:pt idx="4">
                  <c:v>11.068498987962075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22.619427598680712</c:v>
                </c:pt>
                <c:pt idx="1">
                  <c:v>21.604742246215729</c:v>
                </c:pt>
                <c:pt idx="2">
                  <c:v>22.170460561143461</c:v>
                </c:pt>
                <c:pt idx="3">
                  <c:v>21.602455546147333</c:v>
                </c:pt>
                <c:pt idx="4">
                  <c:v>22.371364653243848</c:v>
                </c:pt>
              </c:numCache>
            </c:numRef>
          </c:val>
        </c:ser>
        <c:overlap val="100"/>
        <c:axId val="112024576"/>
        <c:axId val="112046848"/>
      </c:barChart>
      <c:catAx>
        <c:axId val="112024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12046848"/>
        <c:crosses val="autoZero"/>
        <c:auto val="1"/>
        <c:lblAlgn val="ctr"/>
        <c:lblOffset val="100"/>
      </c:catAx>
      <c:valAx>
        <c:axId val="112046848"/>
        <c:scaling>
          <c:orientation val="minMax"/>
          <c:max val="100"/>
          <c:min val="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202457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073571989068E-2"/>
          <c:y val="3.0301278829508324E-2"/>
          <c:w val="0.9122665336936"/>
          <c:h val="0.71915787122354591"/>
        </c:manualLayout>
      </c:layout>
      <c:lineChart>
        <c:grouping val="standard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91.61</c:v>
                </c:pt>
                <c:pt idx="1">
                  <c:v>92.96</c:v>
                </c:pt>
                <c:pt idx="2">
                  <c:v>94.36</c:v>
                </c:pt>
                <c:pt idx="3">
                  <c:v>91.66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43.53</c:v>
                </c:pt>
                <c:pt idx="1">
                  <c:v>68.900000000000006</c:v>
                </c:pt>
                <c:pt idx="2">
                  <c:v>77.52</c:v>
                </c:pt>
                <c:pt idx="3">
                  <c:v>80.73</c:v>
                </c:pt>
                <c:pt idx="4">
                  <c:v>86.64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63.47</c:v>
                </c:pt>
                <c:pt idx="1">
                  <c:v>90.96</c:v>
                </c:pt>
                <c:pt idx="2">
                  <c:v>92.54</c:v>
                </c:pt>
                <c:pt idx="3">
                  <c:v>89.16</c:v>
                </c:pt>
                <c:pt idx="4">
                  <c:v>91.47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89.95</c:v>
                </c:pt>
                <c:pt idx="1">
                  <c:v>97.98</c:v>
                </c:pt>
                <c:pt idx="2">
                  <c:v>99.6</c:v>
                </c:pt>
                <c:pt idx="3">
                  <c:v>96.68</c:v>
                </c:pt>
                <c:pt idx="4">
                  <c:v>95.69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75.510000000000005</c:v>
                </c:pt>
                <c:pt idx="1">
                  <c:v>84.97</c:v>
                </c:pt>
                <c:pt idx="2">
                  <c:v>93.19</c:v>
                </c:pt>
                <c:pt idx="3">
                  <c:v>83.2</c:v>
                </c:pt>
                <c:pt idx="4">
                  <c:v>73.430000000000007</c:v>
                </c:pt>
              </c:numCache>
            </c:numRef>
          </c:val>
        </c:ser>
        <c:marker val="1"/>
        <c:axId val="115426048"/>
        <c:axId val="115427584"/>
      </c:lineChart>
      <c:catAx>
        <c:axId val="11542604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15427584"/>
        <c:crosses val="autoZero"/>
        <c:auto val="1"/>
        <c:lblAlgn val="ctr"/>
        <c:lblOffset val="100"/>
      </c:catAx>
      <c:valAx>
        <c:axId val="115427584"/>
        <c:scaling>
          <c:orientation val="minMax"/>
          <c:max val="100"/>
          <c:min val="4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11542604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92"/>
          <c:w val="0.96716740304369175"/>
          <c:h val="0.14765315239850338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8546882670594009E-3"/>
          <c:y val="4.4321329639889197E-2"/>
          <c:w val="0.97054491899852791"/>
          <c:h val="0.75816578329370932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1864.24</c:v>
                </c:pt>
                <c:pt idx="1">
                  <c:v>2055.73</c:v>
                </c:pt>
                <c:pt idx="2">
                  <c:v>2018.96</c:v>
                </c:pt>
                <c:pt idx="3">
                  <c:v>2100.31</c:v>
                </c:pt>
                <c:pt idx="4">
                  <c:v>2048.7800000000002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axId val="115467392"/>
        <c:axId val="115468928"/>
      </c:barChart>
      <c:catAx>
        <c:axId val="115467392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15468928"/>
        <c:crosses val="autoZero"/>
        <c:auto val="1"/>
        <c:lblAlgn val="ctr"/>
        <c:lblOffset val="100"/>
      </c:catAx>
      <c:valAx>
        <c:axId val="115468928"/>
        <c:scaling>
          <c:orientation val="minMax"/>
          <c:min val="0"/>
        </c:scaling>
        <c:delete val="1"/>
        <c:axPos val="l"/>
        <c:numFmt formatCode="0" sourceLinked="0"/>
        <c:majorTickMark val="none"/>
        <c:tickLblPos val="none"/>
        <c:crossAx val="1154673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9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2381250</xdr:colOff>
      <xdr:row>52</xdr:row>
      <xdr:rowOff>133350</xdr:rowOff>
    </xdr:from>
    <xdr:to>
      <xdr:col>10</xdr:col>
      <xdr:colOff>9525</xdr:colOff>
      <xdr:row>74</xdr:row>
      <xdr:rowOff>104776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9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5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5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257173</xdr:colOff>
      <xdr:row>10</xdr:row>
      <xdr:rowOff>47624</xdr:rowOff>
    </xdr:from>
    <xdr:to>
      <xdr:col>10</xdr:col>
      <xdr:colOff>9525</xdr:colOff>
      <xdr:row>27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pane xSplit="1" ySplit="2" topLeftCell="I44" activePane="bottomRight" state="frozen"/>
      <selection pane="topRight" activeCell="B1" sqref="B1"/>
      <selection pane="bottomLeft" activeCell="A3" sqref="A3"/>
      <selection pane="bottomRight" activeCell="Q2" sqref="Q1:R1048576"/>
    </sheetView>
  </sheetViews>
  <sheetFormatPr defaultRowHeight="15"/>
  <cols>
    <col min="1" max="1" width="60.7109375" bestFit="1" customWidth="1"/>
    <col min="2" max="3" width="15.28515625" bestFit="1" customWidth="1"/>
    <col min="4" max="4" width="7.140625" customWidth="1"/>
    <col min="5" max="6" width="15.28515625" bestFit="1" customWidth="1"/>
    <col min="7" max="7" width="7.140625" customWidth="1"/>
    <col min="8" max="9" width="15.28515625" bestFit="1" customWidth="1"/>
    <col min="10" max="10" width="7.140625" customWidth="1"/>
    <col min="11" max="12" width="15.28515625" bestFit="1" customWidth="1"/>
    <col min="13" max="13" width="7.140625" customWidth="1"/>
    <col min="14" max="15" width="15.28515625" bestFit="1" customWidth="1"/>
    <col min="16" max="16" width="7.140625" customWidth="1"/>
  </cols>
  <sheetData>
    <row r="1" spans="1:18">
      <c r="B1" s="111">
        <v>2016</v>
      </c>
      <c r="C1" s="111"/>
      <c r="D1" s="112"/>
      <c r="E1" s="113">
        <v>2017</v>
      </c>
      <c r="F1" s="111"/>
      <c r="G1" s="112"/>
      <c r="H1" s="113">
        <v>2018</v>
      </c>
      <c r="I1" s="111"/>
      <c r="J1" s="112"/>
      <c r="K1" s="113">
        <v>2019</v>
      </c>
      <c r="L1" s="111"/>
      <c r="M1" s="112"/>
      <c r="N1" s="113">
        <v>2020</v>
      </c>
      <c r="O1" s="111"/>
      <c r="P1" s="112"/>
      <c r="Q1" s="110" t="s">
        <v>232</v>
      </c>
      <c r="R1" s="110"/>
    </row>
    <row r="2" spans="1:18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>
      <c r="A3" t="s">
        <v>19</v>
      </c>
      <c r="B3" s="28">
        <v>4592880456.1199999</v>
      </c>
      <c r="C3" s="28">
        <v>4190138333.1599998</v>
      </c>
      <c r="D3" s="20">
        <f>IF(B3&gt;0,C3/B3*100,"-")</f>
        <v>91.231164694840956</v>
      </c>
      <c r="E3" s="28">
        <v>4896472492.3000002</v>
      </c>
      <c r="F3" s="28">
        <v>4484950565.0299997</v>
      </c>
      <c r="G3" s="20">
        <f>IF(E3&gt;0,F3/E3*100,"-")</f>
        <v>91.595542956339614</v>
      </c>
      <c r="H3" s="28">
        <v>4650212637.5500002</v>
      </c>
      <c r="I3" s="28">
        <v>4298479249.0100002</v>
      </c>
      <c r="J3" s="20">
        <f>IF(H3&gt;0,I3/H3*100,"-")</f>
        <v>92.436186988530636</v>
      </c>
      <c r="K3" s="28">
        <v>4725096177.8900003</v>
      </c>
      <c r="L3" s="28">
        <v>4397912773.3900003</v>
      </c>
      <c r="M3" s="20">
        <f>IF(K3&gt;0,L3/K3*100,"-")</f>
        <v>93.075624449064563</v>
      </c>
      <c r="N3" s="28">
        <v>4557485222.2700005</v>
      </c>
      <c r="O3" s="28">
        <v>4333369796.6099997</v>
      </c>
      <c r="P3" s="20">
        <f>IF(N3&gt;0,O3/N3*100,"-")</f>
        <v>95.08247608648584</v>
      </c>
      <c r="Q3" s="13">
        <f>IF(K3&gt;0,N3/K3*100-100,"-")</f>
        <v>-3.5472496074110893</v>
      </c>
      <c r="R3" s="13">
        <f>IF(L3&gt;0,O3/L3*100-100,"-")</f>
        <v>-1.4675820123246694</v>
      </c>
    </row>
    <row r="4" spans="1:18">
      <c r="A4" t="s">
        <v>20</v>
      </c>
      <c r="B4" s="28">
        <v>453629135.70999998</v>
      </c>
      <c r="C4" s="28">
        <v>288966861.20999998</v>
      </c>
      <c r="D4" s="20">
        <f t="shared" ref="D4:D21" si="0">IF(B4&gt;0,C4/B4*100,"-")</f>
        <v>63.701124654994224</v>
      </c>
      <c r="E4" s="28">
        <v>437537541.76999998</v>
      </c>
      <c r="F4" s="28">
        <v>281038917.60000002</v>
      </c>
      <c r="G4" s="20">
        <f t="shared" ref="G4:G21" si="1">IF(E4&gt;0,F4/E4*100,"-")</f>
        <v>64.231955151344138</v>
      </c>
      <c r="H4" s="28">
        <v>472422576.38999999</v>
      </c>
      <c r="I4" s="28">
        <v>366323863.25</v>
      </c>
      <c r="J4" s="20">
        <f t="shared" ref="J4:J13" si="2">IF(H4&gt;0,I4/H4*100,"-")</f>
        <v>77.541565868687002</v>
      </c>
      <c r="K4" s="28">
        <v>521906013.89999998</v>
      </c>
      <c r="L4" s="28">
        <v>405597686.89999998</v>
      </c>
      <c r="M4" s="20">
        <f t="shared" ref="M4:M21" si="3">IF(K4&gt;0,L4/K4*100,"-")</f>
        <v>77.714698834207084</v>
      </c>
      <c r="N4" s="28">
        <v>731343462.51999998</v>
      </c>
      <c r="O4" s="28">
        <v>611794070.04999995</v>
      </c>
      <c r="P4" s="20">
        <f t="shared" ref="P4:P13" si="4">IF(N4&gt;0,O4/N4*100,"-")</f>
        <v>83.653454416879995</v>
      </c>
      <c r="Q4" s="13">
        <f t="shared" ref="Q4:R46" si="5">IF(K4&gt;0,N4/K4*100-100,"-")</f>
        <v>40.129341881875547</v>
      </c>
      <c r="R4" s="13">
        <f t="shared" si="5"/>
        <v>50.837662494075744</v>
      </c>
    </row>
    <row r="5" spans="1:18">
      <c r="A5" t="s">
        <v>21</v>
      </c>
      <c r="B5" s="28">
        <v>210775248.63</v>
      </c>
      <c r="C5" s="28">
        <v>182422374.84999999</v>
      </c>
      <c r="D5" s="20">
        <f t="shared" si="0"/>
        <v>86.548290672510916</v>
      </c>
      <c r="E5" s="28">
        <v>237495937.55000001</v>
      </c>
      <c r="F5" s="28">
        <v>213872278.06999999</v>
      </c>
      <c r="G5" s="20">
        <f t="shared" si="1"/>
        <v>90.053025864904939</v>
      </c>
      <c r="H5" s="28">
        <v>249864528.41999999</v>
      </c>
      <c r="I5" s="28">
        <v>185339701.21000001</v>
      </c>
      <c r="J5" s="20">
        <f t="shared" si="2"/>
        <v>74.176075484576387</v>
      </c>
      <c r="K5" s="28">
        <v>237523246.43000001</v>
      </c>
      <c r="L5" s="28">
        <v>223199386.71000001</v>
      </c>
      <c r="M5" s="20">
        <f t="shared" si="3"/>
        <v>93.969491434927249</v>
      </c>
      <c r="N5" s="28">
        <v>217553444.22999999</v>
      </c>
      <c r="O5" s="28">
        <v>195279267.46000001</v>
      </c>
      <c r="P5" s="20">
        <f t="shared" si="4"/>
        <v>89.761514992862416</v>
      </c>
      <c r="Q5" s="13">
        <f t="shared" si="5"/>
        <v>-8.4075148433461919</v>
      </c>
      <c r="R5" s="13">
        <f t="shared" si="5"/>
        <v>-12.509048372196574</v>
      </c>
    </row>
    <row r="6" spans="1:18">
      <c r="A6" t="s">
        <v>22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13" t="str">
        <f t="shared" si="5"/>
        <v>-</v>
      </c>
      <c r="R6" s="13" t="str">
        <f t="shared" si="5"/>
        <v>-</v>
      </c>
    </row>
    <row r="7" spans="1:18">
      <c r="A7" t="s">
        <v>23</v>
      </c>
      <c r="B7" s="28">
        <v>9584811.5299999993</v>
      </c>
      <c r="C7" s="28">
        <v>7793463.0599999996</v>
      </c>
      <c r="D7" s="20">
        <f t="shared" si="0"/>
        <v>81.310550923268906</v>
      </c>
      <c r="E7" s="28">
        <v>11148360.01</v>
      </c>
      <c r="F7" s="28">
        <v>2747837.93</v>
      </c>
      <c r="G7" s="20">
        <f t="shared" si="1"/>
        <v>24.64791168867178</v>
      </c>
      <c r="H7" s="28">
        <v>14078512.08</v>
      </c>
      <c r="I7" s="28">
        <v>2765992.41</v>
      </c>
      <c r="J7" s="20">
        <f t="shared" si="2"/>
        <v>19.646908666785759</v>
      </c>
      <c r="K7" s="28">
        <v>76168576.719999999</v>
      </c>
      <c r="L7" s="28">
        <v>58064924.409999996</v>
      </c>
      <c r="M7" s="20">
        <f t="shared" si="3"/>
        <v>76.23212472966371</v>
      </c>
      <c r="N7" s="28">
        <v>70262588.099999994</v>
      </c>
      <c r="O7" s="28">
        <v>29173409.190000001</v>
      </c>
      <c r="P7" s="20">
        <f t="shared" si="4"/>
        <v>41.520544544245169</v>
      </c>
      <c r="Q7" s="13">
        <f t="shared" si="5"/>
        <v>-7.7538387538876492</v>
      </c>
      <c r="R7" s="13">
        <f t="shared" si="5"/>
        <v>-49.757259677107704</v>
      </c>
    </row>
    <row r="8" spans="1:18">
      <c r="A8" t="s">
        <v>24</v>
      </c>
      <c r="B8" s="28">
        <v>25807087.59</v>
      </c>
      <c r="C8" s="28">
        <v>25807087.59</v>
      </c>
      <c r="D8" s="20">
        <f t="shared" si="0"/>
        <v>100</v>
      </c>
      <c r="E8" s="28">
        <v>34725935.899999999</v>
      </c>
      <c r="F8" s="28">
        <v>34725935.899999999</v>
      </c>
      <c r="G8" s="20">
        <f t="shared" si="1"/>
        <v>100</v>
      </c>
      <c r="H8" s="28">
        <v>48208208.840000004</v>
      </c>
      <c r="I8" s="28">
        <v>48017184.899999999</v>
      </c>
      <c r="J8" s="20">
        <f t="shared" si="2"/>
        <v>99.603752255898996</v>
      </c>
      <c r="K8" s="28">
        <v>7486724.8700000001</v>
      </c>
      <c r="L8" s="28">
        <v>6684712.2400000002</v>
      </c>
      <c r="M8" s="20">
        <f t="shared" si="3"/>
        <v>89.287537021512051</v>
      </c>
      <c r="N8" s="28">
        <v>6043890.7699999996</v>
      </c>
      <c r="O8" s="28">
        <v>3685731.07</v>
      </c>
      <c r="P8" s="20">
        <f t="shared" si="4"/>
        <v>60.982754491441618</v>
      </c>
      <c r="Q8" s="13">
        <f t="shared" si="5"/>
        <v>-19.271899596331778</v>
      </c>
      <c r="R8" s="13">
        <f t="shared" si="5"/>
        <v>-44.863280008594664</v>
      </c>
    </row>
    <row r="9" spans="1:18">
      <c r="A9" t="s">
        <v>25</v>
      </c>
      <c r="B9" s="28">
        <v>9014742</v>
      </c>
      <c r="C9" s="28">
        <v>6579855.9000000004</v>
      </c>
      <c r="D9" s="20">
        <f t="shared" si="0"/>
        <v>72.989952457874011</v>
      </c>
      <c r="E9" s="28">
        <v>17426196.789999999</v>
      </c>
      <c r="F9" s="28">
        <v>17405699.84</v>
      </c>
      <c r="G9" s="20">
        <f t="shared" si="1"/>
        <v>99.882378523283052</v>
      </c>
      <c r="H9" s="28">
        <v>9789393.4499999993</v>
      </c>
      <c r="I9" s="28">
        <v>9378138.4499999993</v>
      </c>
      <c r="J9" s="20">
        <f t="shared" si="2"/>
        <v>95.798973633039537</v>
      </c>
      <c r="K9" s="28">
        <v>34449687.25</v>
      </c>
      <c r="L9" s="28">
        <v>28853943.800000001</v>
      </c>
      <c r="M9" s="20">
        <f t="shared" si="3"/>
        <v>83.756765600245046</v>
      </c>
      <c r="N9" s="28">
        <v>8291253.1799999997</v>
      </c>
      <c r="O9" s="28">
        <v>8271741.1799999997</v>
      </c>
      <c r="P9" s="20">
        <f t="shared" si="4"/>
        <v>99.764667661493363</v>
      </c>
      <c r="Q9" s="13">
        <f t="shared" si="5"/>
        <v>-75.932283158826067</v>
      </c>
      <c r="R9" s="13">
        <f t="shared" si="5"/>
        <v>-71.332372318545936</v>
      </c>
    </row>
    <row r="10" spans="1:18">
      <c r="A10" t="s">
        <v>26</v>
      </c>
      <c r="B10" s="28">
        <v>14509202.800000001</v>
      </c>
      <c r="C10" s="28">
        <v>14496602.66</v>
      </c>
      <c r="D10" s="20">
        <f t="shared" si="0"/>
        <v>99.913157599534003</v>
      </c>
      <c r="E10" s="28">
        <v>45609474.659999996</v>
      </c>
      <c r="F10" s="28">
        <v>2428260</v>
      </c>
      <c r="G10" s="20">
        <f t="shared" si="1"/>
        <v>5.3240253655664453</v>
      </c>
      <c r="H10" s="28">
        <v>10619786.699999999</v>
      </c>
      <c r="I10" s="28">
        <v>6247290.7699999996</v>
      </c>
      <c r="J10" s="20">
        <f t="shared" si="2"/>
        <v>58.826894988389924</v>
      </c>
      <c r="K10" s="28">
        <v>9843684.7300000004</v>
      </c>
      <c r="L10" s="28">
        <v>8393028.0899999999</v>
      </c>
      <c r="M10" s="20">
        <f t="shared" si="3"/>
        <v>85.263072926554401</v>
      </c>
      <c r="N10" s="28">
        <v>11603600.130000001</v>
      </c>
      <c r="O10" s="28">
        <v>5489995.9400000004</v>
      </c>
      <c r="P10" s="20">
        <f t="shared" si="4"/>
        <v>47.31286737299866</v>
      </c>
      <c r="Q10" s="13">
        <f t="shared" si="5"/>
        <v>17.878624196856023</v>
      </c>
      <c r="R10" s="13">
        <f t="shared" si="5"/>
        <v>-34.588614727250359</v>
      </c>
    </row>
    <row r="11" spans="1:18">
      <c r="A11" t="s">
        <v>27</v>
      </c>
      <c r="B11" s="28">
        <v>469992.61</v>
      </c>
      <c r="C11" s="28">
        <v>469992.61</v>
      </c>
      <c r="D11" s="20">
        <f t="shared" si="0"/>
        <v>100</v>
      </c>
      <c r="E11" s="28">
        <v>884100</v>
      </c>
      <c r="F11" s="28">
        <v>884100</v>
      </c>
      <c r="G11" s="20">
        <f t="shared" si="1"/>
        <v>100</v>
      </c>
      <c r="H11" s="28">
        <v>78746481.560000002</v>
      </c>
      <c r="I11" s="28">
        <v>78746481.560000002</v>
      </c>
      <c r="J11" s="20">
        <f t="shared" si="2"/>
        <v>100</v>
      </c>
      <c r="K11" s="28">
        <v>53813000</v>
      </c>
      <c r="L11" s="28">
        <v>53813000</v>
      </c>
      <c r="M11" s="20">
        <f t="shared" si="3"/>
        <v>100</v>
      </c>
      <c r="N11" s="28">
        <v>0</v>
      </c>
      <c r="O11" s="28">
        <v>0</v>
      </c>
      <c r="P11" s="20" t="str">
        <f t="shared" si="4"/>
        <v>-</v>
      </c>
      <c r="Q11" s="13">
        <f t="shared" si="5"/>
        <v>-100</v>
      </c>
      <c r="R11" s="13">
        <f t="shared" si="5"/>
        <v>-100</v>
      </c>
    </row>
    <row r="12" spans="1:18">
      <c r="A12" t="s">
        <v>28</v>
      </c>
      <c r="B12" s="28">
        <v>135208613.25</v>
      </c>
      <c r="C12" s="28">
        <v>129791940.56999999</v>
      </c>
      <c r="D12" s="20">
        <f t="shared" si="0"/>
        <v>95.993840518144651</v>
      </c>
      <c r="E12" s="28">
        <v>146973282.84</v>
      </c>
      <c r="F12" s="28">
        <v>143308641.03</v>
      </c>
      <c r="G12" s="20">
        <f t="shared" si="1"/>
        <v>97.506593212598062</v>
      </c>
      <c r="H12" s="28">
        <v>318834265.77999997</v>
      </c>
      <c r="I12" s="28">
        <v>314616582.54000002</v>
      </c>
      <c r="J12" s="20">
        <f t="shared" si="2"/>
        <v>98.677154969626073</v>
      </c>
      <c r="K12" s="28">
        <v>222093536.69</v>
      </c>
      <c r="L12" s="28">
        <v>215561678.72999999</v>
      </c>
      <c r="M12" s="20">
        <f t="shared" si="3"/>
        <v>97.05896080662751</v>
      </c>
      <c r="N12" s="28">
        <v>89491891.799999997</v>
      </c>
      <c r="O12" s="28">
        <v>81984217.859999999</v>
      </c>
      <c r="P12" s="20">
        <f t="shared" si="4"/>
        <v>91.610777480513605</v>
      </c>
      <c r="Q12" s="13">
        <f t="shared" si="5"/>
        <v>-59.705314646362936</v>
      </c>
      <c r="R12" s="13">
        <f t="shared" si="5"/>
        <v>-61.967164876884887</v>
      </c>
    </row>
    <row r="13" spans="1:18">
      <c r="A13" t="s">
        <v>29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28">
        <v>0</v>
      </c>
      <c r="I13" s="28">
        <v>0</v>
      </c>
      <c r="J13" s="20" t="str">
        <f t="shared" si="2"/>
        <v>-</v>
      </c>
      <c r="K13" s="28">
        <v>0</v>
      </c>
      <c r="L13" s="28">
        <v>0</v>
      </c>
      <c r="M13" s="20" t="str">
        <f t="shared" si="3"/>
        <v>-</v>
      </c>
      <c r="N13" s="28">
        <v>0</v>
      </c>
      <c r="O13" s="28">
        <v>0</v>
      </c>
      <c r="P13" s="20" t="str">
        <f t="shared" si="4"/>
        <v>-</v>
      </c>
      <c r="Q13" s="13" t="str">
        <f t="shared" si="5"/>
        <v>-</v>
      </c>
      <c r="R13" s="13" t="str">
        <f t="shared" si="5"/>
        <v>-</v>
      </c>
    </row>
    <row r="14" spans="1:18">
      <c r="A14" t="s">
        <v>30</v>
      </c>
      <c r="B14" s="28">
        <f t="shared" ref="B14:C14" si="6">SUM(B3:B5)</f>
        <v>5257284840.46</v>
      </c>
      <c r="C14" s="28">
        <f t="shared" si="6"/>
        <v>4661527569.2200003</v>
      </c>
      <c r="D14" s="20">
        <f>IF(B14&gt;0,C14/B14*100,"-")</f>
        <v>88.667966653526946</v>
      </c>
      <c r="E14" s="28">
        <f t="shared" ref="E14:F14" si="7">SUM(E3:E5)</f>
        <v>5571505971.6199999</v>
      </c>
      <c r="F14" s="28">
        <f t="shared" si="7"/>
        <v>4979861760.6999998</v>
      </c>
      <c r="G14" s="20">
        <f>IF(E14&gt;0,F14/E14*100,"-")</f>
        <v>89.380892456479401</v>
      </c>
      <c r="H14" s="28">
        <v>5372499742.3600006</v>
      </c>
      <c r="I14" s="28">
        <v>4850142813.4700003</v>
      </c>
      <c r="J14" s="20">
        <f>IF(H14&gt;0,I14/H14*100,"-")</f>
        <v>90.277208861055385</v>
      </c>
      <c r="K14" s="28">
        <f t="shared" ref="K14:L14" si="8">SUM(K3:K5)</f>
        <v>5484525438.2200003</v>
      </c>
      <c r="L14" s="28">
        <f t="shared" si="8"/>
        <v>5026709847</v>
      </c>
      <c r="M14" s="20">
        <f>IF(K14&gt;0,L14/K14*100,"-")</f>
        <v>91.652594260396313</v>
      </c>
      <c r="N14" s="28">
        <f>SUM(N3:N5)</f>
        <v>5506382129.0200005</v>
      </c>
      <c r="O14" s="28">
        <f>SUM(O3:O5)</f>
        <v>5140443134.1199999</v>
      </c>
      <c r="P14" s="20">
        <f>IF(N14&gt;0,O14/N14*100,"-")</f>
        <v>93.35427534221769</v>
      </c>
      <c r="Q14" s="13">
        <f t="shared" si="5"/>
        <v>0.39851562448207289</v>
      </c>
      <c r="R14" s="13">
        <f t="shared" si="5"/>
        <v>2.2625791140078917</v>
      </c>
    </row>
    <row r="15" spans="1:18">
      <c r="A15" t="s">
        <v>31</v>
      </c>
      <c r="B15" s="27">
        <f t="shared" ref="B15:C15" si="9">SUM(B6:B10)</f>
        <v>58915843.920000002</v>
      </c>
      <c r="C15" s="27">
        <f t="shared" si="9"/>
        <v>54677009.209999993</v>
      </c>
      <c r="D15" s="20">
        <f>IF(B15&gt;0,C15/B15*100,"-")</f>
        <v>92.805272015188663</v>
      </c>
      <c r="E15" s="27">
        <f t="shared" ref="E15:F15" si="10">SUM(E6:E10)</f>
        <v>108909967.35999998</v>
      </c>
      <c r="F15" s="27">
        <f t="shared" si="10"/>
        <v>57307733.670000002</v>
      </c>
      <c r="G15" s="20">
        <f>IF(E15&gt;0,F15/E15*100,"-")</f>
        <v>52.619365388817251</v>
      </c>
      <c r="H15" s="27">
        <v>82695901.070000008</v>
      </c>
      <c r="I15" s="27">
        <v>66408606.530000001</v>
      </c>
      <c r="J15" s="20">
        <f>IF(H15&gt;0,I15/H15*100,"-")</f>
        <v>80.304592695334179</v>
      </c>
      <c r="K15" s="27">
        <f t="shared" ref="K15:L15" si="11">SUM(K6:K10)</f>
        <v>127948673.57000001</v>
      </c>
      <c r="L15" s="27">
        <f t="shared" si="11"/>
        <v>101996608.54000001</v>
      </c>
      <c r="M15" s="20">
        <f>IF(K15&gt;0,L15/K15*100,"-")</f>
        <v>79.71681588726922</v>
      </c>
      <c r="N15" s="27">
        <f>SUM(N6:N10)</f>
        <v>96201332.179999977</v>
      </c>
      <c r="O15" s="27">
        <f>SUM(O6:O10)</f>
        <v>46620877.379999995</v>
      </c>
      <c r="P15" s="20">
        <f>IF(N15&gt;0,O15/N15*100,"-")</f>
        <v>48.461779399030362</v>
      </c>
      <c r="Q15" s="13">
        <f t="shared" si="5"/>
        <v>-24.812559993153215</v>
      </c>
      <c r="R15" s="13">
        <f t="shared" si="5"/>
        <v>-54.291737688791201</v>
      </c>
    </row>
    <row r="16" spans="1:18">
      <c r="A16" t="s">
        <v>32</v>
      </c>
      <c r="B16" s="28">
        <f t="shared" ref="B16:C16" si="12">SUM(B11:B13)</f>
        <v>135678605.86000001</v>
      </c>
      <c r="C16" s="28">
        <f t="shared" si="12"/>
        <v>130261933.17999999</v>
      </c>
      <c r="D16" s="20">
        <f t="shared" si="0"/>
        <v>96.007717911260656</v>
      </c>
      <c r="E16" s="28">
        <f t="shared" ref="E16:F16" si="13">SUM(E11:E13)</f>
        <v>147857382.84</v>
      </c>
      <c r="F16" s="28">
        <f t="shared" si="13"/>
        <v>144192741.03</v>
      </c>
      <c r="G16" s="20">
        <f t="shared" si="1"/>
        <v>97.521502315534974</v>
      </c>
      <c r="H16" s="28">
        <v>397580747.33999997</v>
      </c>
      <c r="I16" s="28">
        <v>393363064.10000002</v>
      </c>
      <c r="J16" s="20">
        <f t="shared" ref="J16:J21" si="14">IF(H16&gt;0,I16/H16*100,"-")</f>
        <v>98.939163108822996</v>
      </c>
      <c r="K16" s="28">
        <f t="shared" ref="K16:L16" si="15">SUM(K11:K13)</f>
        <v>275906536.69</v>
      </c>
      <c r="L16" s="28">
        <f t="shared" si="15"/>
        <v>269374678.73000002</v>
      </c>
      <c r="M16" s="20">
        <f t="shared" si="3"/>
        <v>97.632583106452827</v>
      </c>
      <c r="N16" s="28">
        <f>SUM(N11:N13)</f>
        <v>89491891.799999997</v>
      </c>
      <c r="O16" s="28">
        <f>SUM(O11:O13)</f>
        <v>81984217.859999999</v>
      </c>
      <c r="P16" s="20">
        <f t="shared" ref="P16:P21" si="16">IF(N16&gt;0,O16/N16*100,"-")</f>
        <v>91.610777480513605</v>
      </c>
      <c r="Q16" s="13">
        <f t="shared" si="5"/>
        <v>-67.564417692448401</v>
      </c>
      <c r="R16" s="13">
        <f t="shared" si="5"/>
        <v>-69.564987233943199</v>
      </c>
    </row>
    <row r="17" spans="1:18">
      <c r="A17" t="s">
        <v>33</v>
      </c>
      <c r="B17" s="28">
        <v>79353004.560000002</v>
      </c>
      <c r="C17" s="28">
        <v>52972222.25</v>
      </c>
      <c r="D17" s="20">
        <f t="shared" si="0"/>
        <v>66.755156334309817</v>
      </c>
      <c r="E17" s="28">
        <v>20688899.190000001</v>
      </c>
      <c r="F17" s="28">
        <v>11050000</v>
      </c>
      <c r="G17" s="20">
        <f t="shared" si="1"/>
        <v>53.410284899744823</v>
      </c>
      <c r="H17" s="28">
        <v>14177255.369999999</v>
      </c>
      <c r="I17" s="28">
        <v>5000000</v>
      </c>
      <c r="J17" s="20">
        <f t="shared" si="14"/>
        <v>35.267757189309911</v>
      </c>
      <c r="K17" s="28">
        <v>45000000</v>
      </c>
      <c r="L17" s="28">
        <v>45000000</v>
      </c>
      <c r="M17" s="20">
        <f t="shared" si="3"/>
        <v>100</v>
      </c>
      <c r="N17" s="28">
        <v>0</v>
      </c>
      <c r="O17" s="28">
        <v>0</v>
      </c>
      <c r="P17" s="20" t="str">
        <f t="shared" si="16"/>
        <v>-</v>
      </c>
      <c r="Q17" s="13">
        <f t="shared" si="5"/>
        <v>-100</v>
      </c>
      <c r="R17" s="13">
        <f t="shared" si="5"/>
        <v>-100</v>
      </c>
    </row>
    <row r="18" spans="1:18">
      <c r="A18" t="s">
        <v>34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14"/>
        <v>-</v>
      </c>
      <c r="K18" s="28">
        <v>0</v>
      </c>
      <c r="L18" s="28">
        <v>0</v>
      </c>
      <c r="M18" s="20" t="str">
        <f t="shared" si="3"/>
        <v>-</v>
      </c>
      <c r="N18" s="28">
        <v>0</v>
      </c>
      <c r="O18" s="28">
        <v>0</v>
      </c>
      <c r="P18" s="20" t="str">
        <f t="shared" si="16"/>
        <v>-</v>
      </c>
      <c r="Q18" s="13" t="str">
        <f t="shared" si="5"/>
        <v>-</v>
      </c>
      <c r="R18" s="13" t="str">
        <f t="shared" si="5"/>
        <v>-</v>
      </c>
    </row>
    <row r="19" spans="1:18">
      <c r="A19" t="s">
        <v>35</v>
      </c>
      <c r="B19" s="28">
        <v>398031736.67000002</v>
      </c>
      <c r="C19" s="28">
        <v>394893407.22000003</v>
      </c>
      <c r="D19" s="20">
        <f t="shared" si="0"/>
        <v>99.211537884829042</v>
      </c>
      <c r="E19" s="28">
        <v>410396330.83999997</v>
      </c>
      <c r="F19" s="28">
        <v>409880003.25999999</v>
      </c>
      <c r="G19" s="20">
        <f t="shared" si="1"/>
        <v>99.874188061344711</v>
      </c>
      <c r="H19" s="28">
        <v>398677507.06</v>
      </c>
      <c r="I19" s="28">
        <v>398071525.06999999</v>
      </c>
      <c r="J19" s="20">
        <f t="shared" si="14"/>
        <v>99.84800196166853</v>
      </c>
      <c r="K19" s="28">
        <v>417284414.94</v>
      </c>
      <c r="L19" s="28">
        <v>416924316.18000001</v>
      </c>
      <c r="M19" s="20">
        <f t="shared" si="3"/>
        <v>99.91370423933715</v>
      </c>
      <c r="N19" s="28">
        <v>438108615.87</v>
      </c>
      <c r="O19" s="28">
        <v>437852048.13</v>
      </c>
      <c r="P19" s="20">
        <f t="shared" si="16"/>
        <v>99.941437412845559</v>
      </c>
      <c r="Q19" s="13">
        <f t="shared" si="5"/>
        <v>4.990409462810689</v>
      </c>
      <c r="R19" s="13">
        <f t="shared" si="5"/>
        <v>5.0195517838217825</v>
      </c>
    </row>
    <row r="20" spans="1:18">
      <c r="A20" t="s">
        <v>36</v>
      </c>
      <c r="B20" s="28">
        <f t="shared" ref="B20:C20" si="17">B14+B15+B16+B17+B18+B19</f>
        <v>5929264031.4700003</v>
      </c>
      <c r="C20" s="28">
        <f t="shared" si="17"/>
        <v>5294332141.0800009</v>
      </c>
      <c r="D20" s="20">
        <f t="shared" si="0"/>
        <v>89.291556472775497</v>
      </c>
      <c r="E20" s="28">
        <f t="shared" ref="E20:F20" si="18">E14+E15+E16+E17+E18+E19</f>
        <v>6259358551.8499994</v>
      </c>
      <c r="F20" s="28">
        <f t="shared" si="18"/>
        <v>5602292238.6599998</v>
      </c>
      <c r="G20" s="20">
        <f t="shared" si="1"/>
        <v>89.502657376995941</v>
      </c>
      <c r="H20" s="28">
        <v>6265631153.2000008</v>
      </c>
      <c r="I20" s="28">
        <v>5712986009.1700001</v>
      </c>
      <c r="J20" s="20">
        <f t="shared" si="14"/>
        <v>91.179737036583262</v>
      </c>
      <c r="K20" s="28">
        <f t="shared" ref="K20:L20" si="19">K14+K15+K16+K17+K18+K19</f>
        <v>6350665063.4199991</v>
      </c>
      <c r="L20" s="28">
        <f t="shared" si="19"/>
        <v>5860005450.4500008</v>
      </c>
      <c r="M20" s="20">
        <f t="shared" si="3"/>
        <v>92.273886150976352</v>
      </c>
      <c r="N20" s="28">
        <f t="shared" ref="N20:O20" si="20">N14+N15+N16+N17+N18+N19</f>
        <v>6130183968.8700008</v>
      </c>
      <c r="O20" s="28">
        <f t="shared" si="20"/>
        <v>5706900277.4899998</v>
      </c>
      <c r="P20" s="20">
        <f t="shared" si="16"/>
        <v>93.09508991035996</v>
      </c>
      <c r="Q20" s="13">
        <f t="shared" si="5"/>
        <v>-3.4717796065167335</v>
      </c>
      <c r="R20" s="13">
        <f t="shared" si="5"/>
        <v>-2.6127138320023846</v>
      </c>
    </row>
    <row r="21" spans="1:18">
      <c r="A21" t="s">
        <v>37</v>
      </c>
      <c r="B21" s="28">
        <f t="shared" ref="B21:C21" si="21">B20-B19</f>
        <v>5531232294.8000002</v>
      </c>
      <c r="C21" s="28">
        <f t="shared" si="21"/>
        <v>4899438733.8600006</v>
      </c>
      <c r="D21" s="20">
        <f t="shared" si="0"/>
        <v>88.577706968952313</v>
      </c>
      <c r="E21" s="28">
        <f t="shared" ref="E21:F21" si="22">E20-E19</f>
        <v>5848962221.0099993</v>
      </c>
      <c r="F21" s="28">
        <f t="shared" si="22"/>
        <v>5192412235.3999996</v>
      </c>
      <c r="G21" s="20">
        <f t="shared" si="1"/>
        <v>88.774932016971945</v>
      </c>
      <c r="H21" s="28">
        <v>5866953646.1400003</v>
      </c>
      <c r="I21" s="28">
        <v>5314914484.1000004</v>
      </c>
      <c r="J21" s="20">
        <f t="shared" si="14"/>
        <v>90.590701830357929</v>
      </c>
      <c r="K21" s="28">
        <f t="shared" ref="K21:L21" si="23">K20-K19</f>
        <v>5933380648.4799995</v>
      </c>
      <c r="L21" s="28">
        <f t="shared" si="23"/>
        <v>5443081134.2700005</v>
      </c>
      <c r="M21" s="20">
        <f t="shared" si="3"/>
        <v>91.736590937653688</v>
      </c>
      <c r="N21" s="28">
        <f>N20-N19</f>
        <v>5692075353.000001</v>
      </c>
      <c r="O21" s="28">
        <f>O20-O19</f>
        <v>5269048229.3599997</v>
      </c>
      <c r="P21" s="20">
        <f t="shared" si="16"/>
        <v>92.568139080993632</v>
      </c>
      <c r="Q21" s="13">
        <f t="shared" si="5"/>
        <v>-4.066910750818181</v>
      </c>
      <c r="R21" s="13">
        <f t="shared" si="5"/>
        <v>-3.1973233655158708</v>
      </c>
    </row>
    <row r="22" spans="1:18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>
      <c r="A23" s="5" t="s">
        <v>38</v>
      </c>
      <c r="B23" s="27">
        <v>971063268.63</v>
      </c>
      <c r="C23" s="27">
        <v>935127025.73000002</v>
      </c>
      <c r="D23" s="20">
        <f>IF(B23&gt;0,C23/B23*100,"-")</f>
        <v>96.299289236766242</v>
      </c>
      <c r="E23" s="27">
        <v>1030924669.41</v>
      </c>
      <c r="F23" s="27">
        <v>948496780.65999997</v>
      </c>
      <c r="G23" s="20">
        <f>IF(E23&gt;0,F23/E23*100,"-")</f>
        <v>92.004470239598248</v>
      </c>
      <c r="H23" s="27">
        <v>995791800.16999996</v>
      </c>
      <c r="I23" s="27">
        <v>929806193.57000005</v>
      </c>
      <c r="J23" s="20">
        <f>IF(H23&gt;0,I23/H23*100,"-")</f>
        <v>93.373553930778002</v>
      </c>
      <c r="K23" s="27">
        <v>1046807799.6</v>
      </c>
      <c r="L23" s="27">
        <v>945020512.75999999</v>
      </c>
      <c r="M23" s="20">
        <f>IF(K23&gt;0,L23/K23*100,"-")</f>
        <v>90.276411115880634</v>
      </c>
      <c r="N23" s="27">
        <v>1024843811.2</v>
      </c>
      <c r="O23" s="27">
        <v>945531231.11000001</v>
      </c>
      <c r="P23" s="20">
        <f>IF(N23&gt;0,O23/N23*100,"-")</f>
        <v>92.2610080459839</v>
      </c>
      <c r="Q23" s="13">
        <f t="shared" si="5"/>
        <v>-2.098187308920771</v>
      </c>
      <c r="R23" s="13">
        <f t="shared" si="5"/>
        <v>5.4043096748074504E-2</v>
      </c>
    </row>
    <row r="24" spans="1:18">
      <c r="A24" s="5" t="s">
        <v>39</v>
      </c>
      <c r="B24" s="27">
        <v>2662866.3199999998</v>
      </c>
      <c r="C24" s="27">
        <v>2662069.64</v>
      </c>
      <c r="D24" s="20">
        <f t="shared" ref="D24:D57" si="24">IF(B24&gt;0,C24/B24*100,"-")</f>
        <v>99.970081862765099</v>
      </c>
      <c r="E24" s="27">
        <v>67367601.489999995</v>
      </c>
      <c r="F24" s="27">
        <v>64096699.460000001</v>
      </c>
      <c r="G24" s="20">
        <f t="shared" ref="G24:G57" si="25">IF(E24&gt;0,F24/E24*100,"-")</f>
        <v>95.144695732583671</v>
      </c>
      <c r="H24" s="27">
        <v>66446536.219999999</v>
      </c>
      <c r="I24" s="27">
        <v>64234374.939999998</v>
      </c>
      <c r="J24" s="20">
        <f t="shared" ref="J24:J26" si="26">IF(H24&gt;0,I24/H24*100,"-")</f>
        <v>96.67076509048465</v>
      </c>
      <c r="K24" s="27">
        <v>69482660.75</v>
      </c>
      <c r="L24" s="27">
        <v>63943900.789999999</v>
      </c>
      <c r="M24" s="20">
        <f t="shared" ref="M24:M57" si="27">IF(K24&gt;0,L24/K24*100,"-")</f>
        <v>92.028572452156709</v>
      </c>
      <c r="N24" s="27">
        <v>65393385.280000001</v>
      </c>
      <c r="O24" s="27">
        <v>62658758.399999999</v>
      </c>
      <c r="P24" s="20">
        <f t="shared" ref="P24:P26" si="28">IF(N24&gt;0,O24/N24*100,"-")</f>
        <v>95.818190374621324</v>
      </c>
      <c r="Q24" s="13">
        <f t="shared" si="5"/>
        <v>-5.8853178992573305</v>
      </c>
      <c r="R24" s="13">
        <f t="shared" si="5"/>
        <v>-2.009796671961837</v>
      </c>
    </row>
    <row r="25" spans="1:18">
      <c r="A25" s="5" t="s">
        <v>40</v>
      </c>
      <c r="B25" s="27">
        <v>169510568.31</v>
      </c>
      <c r="C25" s="27">
        <v>159524893.30000001</v>
      </c>
      <c r="D25" s="20">
        <f t="shared" si="24"/>
        <v>94.10911360303021</v>
      </c>
      <c r="E25" s="27">
        <v>291766602.22000003</v>
      </c>
      <c r="F25" s="27">
        <v>246786038.77000001</v>
      </c>
      <c r="G25" s="20">
        <f t="shared" si="25"/>
        <v>84.583374825031058</v>
      </c>
      <c r="H25" s="27">
        <v>316623280.75999999</v>
      </c>
      <c r="I25" s="27">
        <v>258054851.19</v>
      </c>
      <c r="J25" s="20">
        <f t="shared" si="26"/>
        <v>81.502172098837306</v>
      </c>
      <c r="K25" s="27">
        <v>284150874.06</v>
      </c>
      <c r="L25" s="27">
        <v>239529834.65000001</v>
      </c>
      <c r="M25" s="20">
        <f t="shared" si="27"/>
        <v>84.296708726442972</v>
      </c>
      <c r="N25" s="27">
        <v>314491887.99000001</v>
      </c>
      <c r="O25" s="27">
        <v>272165243.47000003</v>
      </c>
      <c r="P25" s="20">
        <f t="shared" si="28"/>
        <v>86.541260319774651</v>
      </c>
      <c r="Q25" s="13">
        <f t="shared" si="5"/>
        <v>10.677783072239762</v>
      </c>
      <c r="R25" s="13">
        <f t="shared" si="5"/>
        <v>13.624778252649293</v>
      </c>
    </row>
    <row r="26" spans="1:18">
      <c r="A26" s="5" t="s">
        <v>41</v>
      </c>
      <c r="B26" s="27">
        <v>2608669676.4899998</v>
      </c>
      <c r="C26" s="27">
        <v>2301899370.46</v>
      </c>
      <c r="D26" s="20">
        <f t="shared" si="24"/>
        <v>88.24035450733021</v>
      </c>
      <c r="E26" s="27">
        <v>2791921485.98</v>
      </c>
      <c r="F26" s="27">
        <v>2457915255.9899998</v>
      </c>
      <c r="G26" s="20">
        <f t="shared" si="25"/>
        <v>88.036689725436176</v>
      </c>
      <c r="H26" s="27">
        <v>2920277016.9000001</v>
      </c>
      <c r="I26" s="27">
        <v>2699069195.77</v>
      </c>
      <c r="J26" s="20">
        <f t="shared" si="26"/>
        <v>92.425108308224068</v>
      </c>
      <c r="K26" s="27">
        <v>2962032079.1199999</v>
      </c>
      <c r="L26" s="27">
        <v>2706484300.8600001</v>
      </c>
      <c r="M26" s="20">
        <f t="shared" si="27"/>
        <v>91.372551969932701</v>
      </c>
      <c r="N26" s="27">
        <v>3028369514.54</v>
      </c>
      <c r="O26" s="27">
        <v>2634083065.1199999</v>
      </c>
      <c r="P26" s="20">
        <f t="shared" si="28"/>
        <v>86.98023977830556</v>
      </c>
      <c r="Q26" s="13">
        <f t="shared" si="5"/>
        <v>2.23959206544815</v>
      </c>
      <c r="R26" s="13">
        <f t="shared" si="5"/>
        <v>-2.6751027418483204</v>
      </c>
    </row>
    <row r="27" spans="1:18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5"/>
        <v>-</v>
      </c>
      <c r="R27" s="13" t="str">
        <f t="shared" si="5"/>
        <v>-</v>
      </c>
    </row>
    <row r="28" spans="1:18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5"/>
        <v>-</v>
      </c>
      <c r="R28" s="13" t="str">
        <f t="shared" si="5"/>
        <v>-</v>
      </c>
    </row>
    <row r="29" spans="1:18">
      <c r="A29" s="5" t="s">
        <v>42</v>
      </c>
      <c r="B29" s="27">
        <v>1196143.54</v>
      </c>
      <c r="C29" s="27">
        <v>1191700.32</v>
      </c>
      <c r="D29" s="20">
        <f t="shared" si="24"/>
        <v>99.628537892701402</v>
      </c>
      <c r="E29" s="27">
        <v>1578603.4</v>
      </c>
      <c r="F29" s="27">
        <v>1578603.4</v>
      </c>
      <c r="G29" s="20">
        <f t="shared" si="25"/>
        <v>100</v>
      </c>
      <c r="H29" s="27">
        <v>1301776.1299999999</v>
      </c>
      <c r="I29" s="27">
        <v>1301776.1299999999</v>
      </c>
      <c r="J29" s="20">
        <f t="shared" ref="J29:J57" si="29">IF(H29&gt;0,I29/H29*100,"-")</f>
        <v>100</v>
      </c>
      <c r="K29" s="27">
        <v>1213017.1000000001</v>
      </c>
      <c r="L29" s="27">
        <v>1212952.57</v>
      </c>
      <c r="M29" s="20">
        <f t="shared" si="27"/>
        <v>99.994680206898977</v>
      </c>
      <c r="N29" s="27">
        <v>911311.72</v>
      </c>
      <c r="O29" s="27">
        <v>911311.72</v>
      </c>
      <c r="P29" s="20">
        <f t="shared" ref="P29:P57" si="30">IF(N29&gt;0,O29/N29*100,"-")</f>
        <v>100</v>
      </c>
      <c r="Q29" s="13">
        <f t="shared" si="5"/>
        <v>-24.872310538738489</v>
      </c>
      <c r="R29" s="13">
        <f t="shared" si="5"/>
        <v>-24.868313688473421</v>
      </c>
    </row>
    <row r="30" spans="1:18">
      <c r="A30" s="5" t="s">
        <v>43</v>
      </c>
      <c r="B30" s="27">
        <v>0</v>
      </c>
      <c r="C30" s="27">
        <v>0</v>
      </c>
      <c r="D30" s="20" t="str">
        <f t="shared" si="24"/>
        <v>-</v>
      </c>
      <c r="E30" s="27">
        <v>0</v>
      </c>
      <c r="F30" s="27">
        <v>0</v>
      </c>
      <c r="G30" s="20" t="str">
        <f t="shared" si="25"/>
        <v>-</v>
      </c>
      <c r="H30" s="27">
        <v>0</v>
      </c>
      <c r="I30" s="27">
        <v>0</v>
      </c>
      <c r="J30" s="20" t="str">
        <f t="shared" si="29"/>
        <v>-</v>
      </c>
      <c r="K30" s="27">
        <v>5775</v>
      </c>
      <c r="L30" s="27">
        <v>0</v>
      </c>
      <c r="M30" s="20">
        <f t="shared" si="27"/>
        <v>0</v>
      </c>
      <c r="N30" s="27">
        <v>4862</v>
      </c>
      <c r="O30" s="27">
        <v>4862</v>
      </c>
      <c r="P30" s="20">
        <f t="shared" si="30"/>
        <v>100</v>
      </c>
      <c r="Q30" s="13">
        <f t="shared" si="5"/>
        <v>-15.80952380952381</v>
      </c>
      <c r="R30" s="13" t="str">
        <f t="shared" si="5"/>
        <v>-</v>
      </c>
    </row>
    <row r="31" spans="1:18">
      <c r="A31" s="5" t="s">
        <v>44</v>
      </c>
      <c r="B31" s="27">
        <v>5301389.87</v>
      </c>
      <c r="C31" s="27">
        <v>4582359.7300000004</v>
      </c>
      <c r="D31" s="20">
        <f t="shared" si="24"/>
        <v>86.436950353926719</v>
      </c>
      <c r="E31" s="27">
        <v>2018482.39</v>
      </c>
      <c r="F31" s="27">
        <v>1995847.91</v>
      </c>
      <c r="G31" s="20">
        <f t="shared" si="25"/>
        <v>98.878638718269912</v>
      </c>
      <c r="H31" s="27">
        <v>1199677.5</v>
      </c>
      <c r="I31" s="27">
        <v>1098891.72</v>
      </c>
      <c r="J31" s="20">
        <f t="shared" si="29"/>
        <v>91.598927211688135</v>
      </c>
      <c r="K31" s="27">
        <v>6206841.9000000004</v>
      </c>
      <c r="L31" s="27">
        <v>5774035.4500000002</v>
      </c>
      <c r="M31" s="20">
        <f t="shared" si="27"/>
        <v>93.026945796702194</v>
      </c>
      <c r="N31" s="27">
        <v>1314331.69</v>
      </c>
      <c r="O31" s="27">
        <v>1047015.79</v>
      </c>
      <c r="P31" s="20">
        <f t="shared" si="30"/>
        <v>79.661458212272123</v>
      </c>
      <c r="Q31" s="13">
        <f t="shared" si="5"/>
        <v>-78.824469655010873</v>
      </c>
      <c r="R31" s="13">
        <f t="shared" si="5"/>
        <v>-81.866827817969153</v>
      </c>
    </row>
    <row r="32" spans="1:18">
      <c r="A32" s="5" t="s">
        <v>45</v>
      </c>
      <c r="B32" s="27">
        <v>42879941.409999996</v>
      </c>
      <c r="C32" s="27">
        <v>38277007.420000002</v>
      </c>
      <c r="D32" s="20">
        <f t="shared" si="24"/>
        <v>89.265531065006201</v>
      </c>
      <c r="E32" s="27">
        <v>46574802.609999999</v>
      </c>
      <c r="F32" s="27">
        <v>39926924.119999997</v>
      </c>
      <c r="G32" s="20">
        <f t="shared" si="25"/>
        <v>85.726448385263481</v>
      </c>
      <c r="H32" s="27">
        <v>54903450.909999996</v>
      </c>
      <c r="I32" s="27">
        <v>47087695.270000003</v>
      </c>
      <c r="J32" s="20">
        <f t="shared" si="29"/>
        <v>85.764545742649403</v>
      </c>
      <c r="K32" s="27">
        <v>48792756.619999997</v>
      </c>
      <c r="L32" s="27">
        <v>40248863.159999996</v>
      </c>
      <c r="M32" s="20">
        <f t="shared" si="27"/>
        <v>82.489422504778332</v>
      </c>
      <c r="N32" s="27">
        <v>13573752.66</v>
      </c>
      <c r="O32" s="27">
        <v>11780568.16</v>
      </c>
      <c r="P32" s="20">
        <f t="shared" si="30"/>
        <v>86.789323889153579</v>
      </c>
      <c r="Q32" s="13">
        <f t="shared" si="5"/>
        <v>-72.180803872769587</v>
      </c>
      <c r="R32" s="13">
        <f t="shared" si="5"/>
        <v>-70.730680980555675</v>
      </c>
    </row>
    <row r="33" spans="1:18">
      <c r="A33" s="5" t="s">
        <v>46</v>
      </c>
      <c r="B33" s="27">
        <v>0</v>
      </c>
      <c r="C33" s="27">
        <v>0</v>
      </c>
      <c r="D33" s="20" t="str">
        <f t="shared" si="24"/>
        <v>-</v>
      </c>
      <c r="E33" s="27">
        <v>0</v>
      </c>
      <c r="F33" s="27">
        <v>0</v>
      </c>
      <c r="G33" s="20" t="str">
        <f t="shared" si="25"/>
        <v>-</v>
      </c>
      <c r="H33" s="28">
        <v>0</v>
      </c>
      <c r="I33" s="28">
        <v>0</v>
      </c>
      <c r="J33" s="20" t="str">
        <f t="shared" si="29"/>
        <v>-</v>
      </c>
      <c r="K33" s="27">
        <v>0</v>
      </c>
      <c r="L33" s="27">
        <v>0</v>
      </c>
      <c r="M33" s="20" t="str">
        <f t="shared" si="27"/>
        <v>-</v>
      </c>
      <c r="N33" s="27">
        <v>0</v>
      </c>
      <c r="O33" s="27">
        <v>0</v>
      </c>
      <c r="P33" s="20" t="str">
        <f t="shared" si="30"/>
        <v>-</v>
      </c>
      <c r="Q33" s="13" t="str">
        <f t="shared" si="5"/>
        <v>-</v>
      </c>
      <c r="R33" s="13" t="str">
        <f t="shared" si="5"/>
        <v>-</v>
      </c>
    </row>
    <row r="34" spans="1:18">
      <c r="A34" s="5" t="s">
        <v>47</v>
      </c>
      <c r="B34" s="27">
        <v>154078905.25</v>
      </c>
      <c r="C34" s="27">
        <v>132719576.23999999</v>
      </c>
      <c r="D34" s="20">
        <f t="shared" si="24"/>
        <v>86.137408637903079</v>
      </c>
      <c r="E34" s="27">
        <v>247730307.09</v>
      </c>
      <c r="F34" s="27">
        <v>199841574.91</v>
      </c>
      <c r="G34" s="20">
        <f t="shared" si="25"/>
        <v>80.669005442841467</v>
      </c>
      <c r="H34" s="27">
        <v>264740376.90000001</v>
      </c>
      <c r="I34" s="27">
        <v>243788239.63</v>
      </c>
      <c r="J34" s="20">
        <f t="shared" si="29"/>
        <v>92.085779466154406</v>
      </c>
      <c r="K34" s="27">
        <v>278565411.54000002</v>
      </c>
      <c r="L34" s="27">
        <v>215763252.90000001</v>
      </c>
      <c r="M34" s="20">
        <f t="shared" si="27"/>
        <v>77.455148400223379</v>
      </c>
      <c r="N34" s="27">
        <v>249946165.66</v>
      </c>
      <c r="O34" s="27">
        <v>211522201.09999999</v>
      </c>
      <c r="P34" s="20">
        <f t="shared" si="30"/>
        <v>84.627103817120414</v>
      </c>
      <c r="Q34" s="13">
        <f t="shared" si="5"/>
        <v>-10.273797354015898</v>
      </c>
      <c r="R34" s="13">
        <f t="shared" si="5"/>
        <v>-1.9656043107422079</v>
      </c>
    </row>
    <row r="35" spans="1:18">
      <c r="A35" s="5" t="s">
        <v>48</v>
      </c>
      <c r="B35" s="27">
        <v>607826980.42999995</v>
      </c>
      <c r="C35" s="27">
        <v>460588541.81999999</v>
      </c>
      <c r="D35" s="20">
        <f t="shared" si="24"/>
        <v>75.776258153950664</v>
      </c>
      <c r="E35" s="27">
        <v>863375061.92999995</v>
      </c>
      <c r="F35" s="27">
        <v>512901605.86000001</v>
      </c>
      <c r="G35" s="20">
        <f t="shared" si="25"/>
        <v>59.406581041784214</v>
      </c>
      <c r="H35" s="27">
        <v>852973830.46000004</v>
      </c>
      <c r="I35" s="27">
        <v>681160927.08000004</v>
      </c>
      <c r="J35" s="20">
        <f t="shared" si="29"/>
        <v>79.857189371525848</v>
      </c>
      <c r="K35" s="27">
        <v>938354687.76999998</v>
      </c>
      <c r="L35" s="27">
        <v>669498889.34000003</v>
      </c>
      <c r="M35" s="20">
        <f t="shared" si="27"/>
        <v>71.348169094893549</v>
      </c>
      <c r="N35" s="27">
        <v>863898448.24000001</v>
      </c>
      <c r="O35" s="27">
        <v>596103780.33000004</v>
      </c>
      <c r="P35" s="20">
        <f t="shared" si="30"/>
        <v>69.001603318587769</v>
      </c>
      <c r="Q35" s="13">
        <f t="shared" si="5"/>
        <v>-7.9347650201380873</v>
      </c>
      <c r="R35" s="13">
        <f t="shared" si="5"/>
        <v>-10.962693169267794</v>
      </c>
    </row>
    <row r="36" spans="1:18">
      <c r="A36" s="5" t="s">
        <v>49</v>
      </c>
      <c r="B36" s="27">
        <v>142470124.84</v>
      </c>
      <c r="C36" s="27">
        <v>83135407.189999998</v>
      </c>
      <c r="D36" s="20">
        <f t="shared" si="24"/>
        <v>58.35287031815588</v>
      </c>
      <c r="E36" s="27">
        <v>674964.77</v>
      </c>
      <c r="F36" s="27">
        <v>552502.47</v>
      </c>
      <c r="G36" s="20">
        <f t="shared" si="25"/>
        <v>81.856490080215579</v>
      </c>
      <c r="H36" s="27">
        <v>1721824.88</v>
      </c>
      <c r="I36" s="27">
        <v>1310569.8799999999</v>
      </c>
      <c r="J36" s="20">
        <f t="shared" si="29"/>
        <v>76.115166833923325</v>
      </c>
      <c r="K36" s="27">
        <v>6544076.4199999999</v>
      </c>
      <c r="L36" s="27">
        <v>949462.98</v>
      </c>
      <c r="M36" s="20">
        <f t="shared" si="27"/>
        <v>14.50873918737031</v>
      </c>
      <c r="N36" s="27">
        <v>1528161.94</v>
      </c>
      <c r="O36" s="27">
        <v>1271021.93</v>
      </c>
      <c r="P36" s="20">
        <f t="shared" si="30"/>
        <v>83.17324864143653</v>
      </c>
      <c r="Q36" s="13">
        <f t="shared" si="5"/>
        <v>-76.64816481467679</v>
      </c>
      <c r="R36" s="13">
        <f t="shared" si="5"/>
        <v>33.867455264027228</v>
      </c>
    </row>
    <row r="37" spans="1:18">
      <c r="A37" s="5" t="s">
        <v>50</v>
      </c>
      <c r="B37" s="27">
        <v>1924664</v>
      </c>
      <c r="C37" s="27">
        <v>1924664</v>
      </c>
      <c r="D37" s="20">
        <f t="shared" si="24"/>
        <v>100</v>
      </c>
      <c r="E37" s="27">
        <v>11926753.630000001</v>
      </c>
      <c r="F37" s="27">
        <v>11926753.630000001</v>
      </c>
      <c r="G37" s="20">
        <f t="shared" si="25"/>
        <v>100</v>
      </c>
      <c r="H37" s="27">
        <v>11986242.039999999</v>
      </c>
      <c r="I37" s="27">
        <v>11986242.039999999</v>
      </c>
      <c r="J37" s="20">
        <f t="shared" si="29"/>
        <v>100</v>
      </c>
      <c r="K37" s="27">
        <v>9028678.8100000005</v>
      </c>
      <c r="L37" s="27">
        <v>9028678.8100000005</v>
      </c>
      <c r="M37" s="20">
        <f t="shared" si="27"/>
        <v>100</v>
      </c>
      <c r="N37" s="27">
        <v>0</v>
      </c>
      <c r="O37" s="27">
        <v>0</v>
      </c>
      <c r="P37" s="20" t="str">
        <f t="shared" si="30"/>
        <v>-</v>
      </c>
      <c r="Q37" s="13">
        <f t="shared" si="5"/>
        <v>-100</v>
      </c>
      <c r="R37" s="13">
        <f t="shared" si="5"/>
        <v>-100</v>
      </c>
    </row>
    <row r="38" spans="1:18">
      <c r="A38" s="5" t="s">
        <v>51</v>
      </c>
      <c r="B38" s="27">
        <v>26687797.899999999</v>
      </c>
      <c r="C38" s="27">
        <v>18187797.899999999</v>
      </c>
      <c r="D38" s="20">
        <f t="shared" si="24"/>
        <v>68.150238427877184</v>
      </c>
      <c r="E38" s="27">
        <v>106931536.69</v>
      </c>
      <c r="F38" s="27">
        <v>22900319</v>
      </c>
      <c r="G38" s="20">
        <f t="shared" si="25"/>
        <v>21.415870106112099</v>
      </c>
      <c r="H38" s="27">
        <v>20469362.699999999</v>
      </c>
      <c r="I38" s="27">
        <v>20119362.699999999</v>
      </c>
      <c r="J38" s="20">
        <f t="shared" si="29"/>
        <v>98.290127518234854</v>
      </c>
      <c r="K38" s="27">
        <v>9921251.75</v>
      </c>
      <c r="L38" s="27">
        <v>8860389.6799999997</v>
      </c>
      <c r="M38" s="20">
        <f t="shared" si="27"/>
        <v>89.3071751757534</v>
      </c>
      <c r="N38" s="27">
        <v>10208000</v>
      </c>
      <c r="O38" s="27">
        <v>10208000</v>
      </c>
      <c r="P38" s="20">
        <f t="shared" si="30"/>
        <v>100</v>
      </c>
      <c r="Q38" s="13">
        <f t="shared" si="5"/>
        <v>2.8902426551165661</v>
      </c>
      <c r="R38" s="13">
        <f t="shared" si="5"/>
        <v>15.209379820414398</v>
      </c>
    </row>
    <row r="39" spans="1:18">
      <c r="A39" s="5" t="s">
        <v>261</v>
      </c>
      <c r="B39" s="27">
        <v>192954189.68000001</v>
      </c>
      <c r="C39" s="27">
        <v>4810189.68</v>
      </c>
      <c r="D39" s="20">
        <f t="shared" si="24"/>
        <v>2.4929179760114755</v>
      </c>
      <c r="E39" s="27">
        <v>296058183.24000001</v>
      </c>
      <c r="F39" s="27">
        <v>6210189.6799999997</v>
      </c>
      <c r="G39" s="20">
        <f t="shared" si="25"/>
        <v>2.0976247344481269</v>
      </c>
      <c r="H39" s="27">
        <v>0</v>
      </c>
      <c r="I39" s="27">
        <v>0</v>
      </c>
      <c r="J39" s="20" t="str">
        <f t="shared" si="29"/>
        <v>-</v>
      </c>
      <c r="K39" s="27">
        <v>0</v>
      </c>
      <c r="L39" s="27">
        <v>0</v>
      </c>
      <c r="M39" s="20" t="str">
        <f t="shared" si="27"/>
        <v>-</v>
      </c>
      <c r="N39" s="27">
        <v>0</v>
      </c>
      <c r="O39" s="27">
        <v>0</v>
      </c>
      <c r="P39" s="20" t="str">
        <f t="shared" si="30"/>
        <v>-</v>
      </c>
      <c r="Q39" s="13" t="str">
        <f t="shared" si="5"/>
        <v>-</v>
      </c>
      <c r="R39" s="13" t="str">
        <f t="shared" si="5"/>
        <v>-</v>
      </c>
    </row>
    <row r="40" spans="1:18">
      <c r="A40" s="5" t="s">
        <v>52</v>
      </c>
      <c r="B40" s="27">
        <v>19638000</v>
      </c>
      <c r="C40" s="27">
        <v>0</v>
      </c>
      <c r="D40" s="20">
        <f t="shared" si="24"/>
        <v>0</v>
      </c>
      <c r="E40" s="27">
        <v>52000000</v>
      </c>
      <c r="F40" s="27">
        <v>52000000</v>
      </c>
      <c r="G40" s="20">
        <f t="shared" si="25"/>
        <v>100</v>
      </c>
      <c r="H40" s="27">
        <v>42717414</v>
      </c>
      <c r="I40" s="27">
        <v>29604594</v>
      </c>
      <c r="J40" s="20">
        <f t="shared" si="29"/>
        <v>69.303338446470562</v>
      </c>
      <c r="K40" s="27">
        <v>339059489.77999997</v>
      </c>
      <c r="L40" s="27">
        <v>297059489.77999997</v>
      </c>
      <c r="M40" s="20">
        <f t="shared" si="27"/>
        <v>87.612793251340094</v>
      </c>
      <c r="N40" s="27">
        <v>38954273.369999997</v>
      </c>
      <c r="O40" s="27">
        <v>14894773.369999999</v>
      </c>
      <c r="P40" s="20">
        <f t="shared" si="30"/>
        <v>38.236558101147807</v>
      </c>
      <c r="Q40" s="13">
        <f t="shared" si="5"/>
        <v>-88.511080048142702</v>
      </c>
      <c r="R40" s="13">
        <f t="shared" si="5"/>
        <v>-94.985929121122865</v>
      </c>
    </row>
    <row r="41" spans="1:18">
      <c r="A41" s="5" t="s">
        <v>53</v>
      </c>
      <c r="B41" s="27">
        <v>0</v>
      </c>
      <c r="C41" s="27">
        <v>0</v>
      </c>
      <c r="D41" s="20" t="str">
        <f t="shared" si="24"/>
        <v>-</v>
      </c>
      <c r="E41" s="27">
        <v>0</v>
      </c>
      <c r="F41" s="27">
        <v>0</v>
      </c>
      <c r="G41" s="20" t="str">
        <f t="shared" si="25"/>
        <v>-</v>
      </c>
      <c r="H41" s="27">
        <v>0</v>
      </c>
      <c r="I41" s="27">
        <v>0</v>
      </c>
      <c r="J41" s="20" t="str">
        <f t="shared" si="29"/>
        <v>-</v>
      </c>
      <c r="K41" s="27">
        <v>0</v>
      </c>
      <c r="L41" s="27">
        <v>0</v>
      </c>
      <c r="M41" s="20" t="str">
        <f t="shared" si="27"/>
        <v>-</v>
      </c>
      <c r="N41" s="27">
        <v>0</v>
      </c>
      <c r="O41" s="27">
        <v>0</v>
      </c>
      <c r="P41" s="20" t="str">
        <f t="shared" si="30"/>
        <v>-</v>
      </c>
      <c r="Q41" s="13" t="str">
        <f t="shared" si="5"/>
        <v>-</v>
      </c>
      <c r="R41" s="13" t="str">
        <f t="shared" si="5"/>
        <v>-</v>
      </c>
    </row>
    <row r="42" spans="1:18">
      <c r="A42" s="5" t="s">
        <v>54</v>
      </c>
      <c r="B42" s="27">
        <v>0</v>
      </c>
      <c r="C42" s="27">
        <v>0</v>
      </c>
      <c r="D42" s="20" t="str">
        <f t="shared" si="24"/>
        <v>-</v>
      </c>
      <c r="E42" s="27">
        <v>0</v>
      </c>
      <c r="F42" s="27">
        <v>0</v>
      </c>
      <c r="G42" s="20" t="str">
        <f t="shared" si="25"/>
        <v>-</v>
      </c>
      <c r="H42" s="27">
        <v>0</v>
      </c>
      <c r="I42" s="27">
        <v>0</v>
      </c>
      <c r="J42" s="20" t="str">
        <f t="shared" si="29"/>
        <v>-</v>
      </c>
      <c r="K42" s="27">
        <v>0</v>
      </c>
      <c r="L42" s="27">
        <v>0</v>
      </c>
      <c r="M42" s="20" t="str">
        <f t="shared" si="27"/>
        <v>-</v>
      </c>
      <c r="N42" s="27">
        <v>0</v>
      </c>
      <c r="O42" s="27">
        <v>0</v>
      </c>
      <c r="P42" s="20" t="str">
        <f t="shared" si="30"/>
        <v>-</v>
      </c>
      <c r="Q42" s="13" t="str">
        <f t="shared" si="5"/>
        <v>-</v>
      </c>
      <c r="R42" s="13" t="str">
        <f t="shared" si="5"/>
        <v>-</v>
      </c>
    </row>
    <row r="43" spans="1:18">
      <c r="A43" s="5" t="s">
        <v>55</v>
      </c>
      <c r="B43" s="27">
        <v>0</v>
      </c>
      <c r="C43" s="27">
        <v>0</v>
      </c>
      <c r="D43" s="20" t="str">
        <f t="shared" si="24"/>
        <v>-</v>
      </c>
      <c r="E43" s="27">
        <v>0</v>
      </c>
      <c r="F43" s="27">
        <v>0</v>
      </c>
      <c r="G43" s="20" t="str">
        <f t="shared" si="25"/>
        <v>-</v>
      </c>
      <c r="H43" s="27">
        <v>0</v>
      </c>
      <c r="I43" s="27">
        <v>0</v>
      </c>
      <c r="J43" s="20" t="str">
        <f t="shared" si="29"/>
        <v>-</v>
      </c>
      <c r="K43" s="27">
        <v>0</v>
      </c>
      <c r="L43" s="27">
        <v>0</v>
      </c>
      <c r="M43" s="20" t="str">
        <f t="shared" si="27"/>
        <v>-</v>
      </c>
      <c r="N43" s="27">
        <v>0</v>
      </c>
      <c r="O43" s="27">
        <v>0</v>
      </c>
      <c r="P43" s="20" t="str">
        <f t="shared" si="30"/>
        <v>-</v>
      </c>
      <c r="Q43" s="13" t="str">
        <f t="shared" si="5"/>
        <v>-</v>
      </c>
      <c r="R43" s="13" t="str">
        <f t="shared" si="5"/>
        <v>-</v>
      </c>
    </row>
    <row r="44" spans="1:18">
      <c r="A44" s="5" t="s">
        <v>56</v>
      </c>
      <c r="B44" s="27">
        <v>6738555.7800000003</v>
      </c>
      <c r="C44" s="27">
        <v>6738555.7800000003</v>
      </c>
      <c r="D44" s="20">
        <f t="shared" si="24"/>
        <v>100</v>
      </c>
      <c r="E44" s="27">
        <v>44045433.490000002</v>
      </c>
      <c r="F44" s="27">
        <v>44045433.490000002</v>
      </c>
      <c r="G44" s="20">
        <f t="shared" si="25"/>
        <v>100</v>
      </c>
      <c r="H44" s="27">
        <v>13798177.279999999</v>
      </c>
      <c r="I44" s="27">
        <v>13798177.279999999</v>
      </c>
      <c r="J44" s="20">
        <f t="shared" si="29"/>
        <v>100</v>
      </c>
      <c r="K44" s="27">
        <v>14284934.060000001</v>
      </c>
      <c r="L44" s="27">
        <v>14284934.060000001</v>
      </c>
      <c r="M44" s="20">
        <f t="shared" si="27"/>
        <v>100</v>
      </c>
      <c r="N44" s="27">
        <v>24064651.620000001</v>
      </c>
      <c r="O44" s="27">
        <v>24064651.620000001</v>
      </c>
      <c r="P44" s="20">
        <f t="shared" si="30"/>
        <v>100</v>
      </c>
      <c r="Q44" s="13">
        <f t="shared" si="5"/>
        <v>68.46176201390179</v>
      </c>
      <c r="R44" s="13">
        <f t="shared" si="5"/>
        <v>68.46176201390179</v>
      </c>
    </row>
    <row r="45" spans="1:18">
      <c r="A45" s="5" t="s">
        <v>57</v>
      </c>
      <c r="B45" s="27">
        <v>0</v>
      </c>
      <c r="C45" s="27">
        <v>0</v>
      </c>
      <c r="D45" s="20" t="str">
        <f t="shared" si="24"/>
        <v>-</v>
      </c>
      <c r="E45" s="27">
        <v>0</v>
      </c>
      <c r="F45" s="27">
        <v>0</v>
      </c>
      <c r="G45" s="20" t="str">
        <f t="shared" si="25"/>
        <v>-</v>
      </c>
      <c r="H45" s="27">
        <v>0</v>
      </c>
      <c r="I45" s="27">
        <v>0</v>
      </c>
      <c r="J45" s="20" t="str">
        <f t="shared" si="29"/>
        <v>-</v>
      </c>
      <c r="K45" s="27">
        <v>0</v>
      </c>
      <c r="L45" s="27">
        <v>0</v>
      </c>
      <c r="M45" s="20" t="str">
        <f t="shared" si="27"/>
        <v>-</v>
      </c>
      <c r="N45" s="27">
        <v>0</v>
      </c>
      <c r="O45" s="27">
        <v>0</v>
      </c>
      <c r="P45" s="20" t="str">
        <f t="shared" si="30"/>
        <v>-</v>
      </c>
      <c r="Q45" s="13" t="str">
        <f t="shared" si="5"/>
        <v>-</v>
      </c>
      <c r="R45" s="13" t="str">
        <f t="shared" si="5"/>
        <v>-</v>
      </c>
    </row>
    <row r="46" spans="1:18">
      <c r="A46" s="5" t="s">
        <v>58</v>
      </c>
      <c r="B46" s="27">
        <v>0</v>
      </c>
      <c r="C46" s="27">
        <v>0</v>
      </c>
      <c r="D46" s="20" t="str">
        <f t="shared" si="24"/>
        <v>-</v>
      </c>
      <c r="E46" s="27">
        <v>0</v>
      </c>
      <c r="F46" s="27">
        <v>0</v>
      </c>
      <c r="G46" s="20" t="str">
        <f t="shared" si="25"/>
        <v>-</v>
      </c>
      <c r="H46" s="27">
        <v>0</v>
      </c>
      <c r="I46" s="27">
        <v>0</v>
      </c>
      <c r="J46" s="20" t="str">
        <f t="shared" si="29"/>
        <v>-</v>
      </c>
      <c r="K46" s="27">
        <v>0</v>
      </c>
      <c r="L46" s="27">
        <v>0</v>
      </c>
      <c r="M46" s="20" t="str">
        <f t="shared" si="27"/>
        <v>-</v>
      </c>
      <c r="N46" s="27">
        <v>0</v>
      </c>
      <c r="O46" s="27">
        <v>0</v>
      </c>
      <c r="P46" s="20" t="str">
        <f t="shared" si="30"/>
        <v>-</v>
      </c>
      <c r="Q46" s="13" t="str">
        <f t="shared" si="5"/>
        <v>-</v>
      </c>
      <c r="R46" s="13" t="str">
        <f t="shared" si="5"/>
        <v>-</v>
      </c>
    </row>
    <row r="47" spans="1:18">
      <c r="A47" s="5" t="s">
        <v>59</v>
      </c>
      <c r="B47" s="27">
        <v>0</v>
      </c>
      <c r="C47" s="27">
        <v>0</v>
      </c>
      <c r="D47" s="20" t="str">
        <f t="shared" si="24"/>
        <v>-</v>
      </c>
      <c r="E47" s="27">
        <v>0</v>
      </c>
      <c r="F47" s="27">
        <v>0</v>
      </c>
      <c r="G47" s="20" t="str">
        <f t="shared" si="25"/>
        <v>-</v>
      </c>
      <c r="H47" s="27">
        <v>0</v>
      </c>
      <c r="I47" s="27">
        <v>0</v>
      </c>
      <c r="J47" s="20" t="str">
        <f t="shared" si="29"/>
        <v>-</v>
      </c>
      <c r="K47" s="27">
        <v>0</v>
      </c>
      <c r="L47" s="27">
        <v>0</v>
      </c>
      <c r="M47" s="20" t="str">
        <f t="shared" si="27"/>
        <v>-</v>
      </c>
      <c r="N47" s="27">
        <v>0</v>
      </c>
      <c r="O47" s="27">
        <v>0</v>
      </c>
      <c r="P47" s="20" t="str">
        <f t="shared" si="30"/>
        <v>-</v>
      </c>
      <c r="Q47" s="13" t="str">
        <f t="shared" ref="Q47:Q57" si="31">IF(K47&gt;0,N47/K47*100-100,"-")</f>
        <v>-</v>
      </c>
      <c r="R47" s="13" t="str">
        <f t="shared" ref="R47:R57" si="32">IF(L47&gt;0,O47/L47*100-100,"-")</f>
        <v>-</v>
      </c>
    </row>
    <row r="48" spans="1:18">
      <c r="A48" s="5" t="s">
        <v>60</v>
      </c>
      <c r="B48" s="27">
        <v>386644118.93000001</v>
      </c>
      <c r="C48" s="27">
        <v>0</v>
      </c>
      <c r="D48" s="20">
        <f t="shared" si="24"/>
        <v>0</v>
      </c>
      <c r="E48" s="27">
        <v>392152790.89999998</v>
      </c>
      <c r="F48" s="27">
        <v>0</v>
      </c>
      <c r="G48" s="20">
        <f t="shared" si="25"/>
        <v>0</v>
      </c>
      <c r="H48" s="27">
        <v>387174697.81</v>
      </c>
      <c r="I48" s="27">
        <v>0</v>
      </c>
      <c r="J48" s="20">
        <f t="shared" si="29"/>
        <v>0</v>
      </c>
      <c r="K48" s="27">
        <v>404732058.13999999</v>
      </c>
      <c r="L48" s="27">
        <v>0</v>
      </c>
      <c r="M48" s="20">
        <f t="shared" si="27"/>
        <v>0</v>
      </c>
      <c r="N48" s="27">
        <v>419510112.68000001</v>
      </c>
      <c r="O48" s="27">
        <v>0</v>
      </c>
      <c r="P48" s="20">
        <f t="shared" si="30"/>
        <v>0</v>
      </c>
      <c r="Q48" s="13">
        <f t="shared" si="31"/>
        <v>3.65131801219664</v>
      </c>
      <c r="R48" s="13" t="str">
        <f t="shared" si="32"/>
        <v>-</v>
      </c>
    </row>
    <row r="49" spans="1:18">
      <c r="A49" s="5" t="s">
        <v>61</v>
      </c>
      <c r="B49" s="27">
        <v>11387617.74</v>
      </c>
      <c r="C49" s="27">
        <v>0</v>
      </c>
      <c r="D49" s="20">
        <f t="shared" si="24"/>
        <v>0</v>
      </c>
      <c r="E49" s="27">
        <v>18243539.940000001</v>
      </c>
      <c r="F49" s="27">
        <v>0</v>
      </c>
      <c r="G49" s="20">
        <f t="shared" si="25"/>
        <v>0</v>
      </c>
      <c r="H49" s="27">
        <v>11502809.25</v>
      </c>
      <c r="I49" s="27">
        <v>0</v>
      </c>
      <c r="J49" s="20">
        <f t="shared" si="29"/>
        <v>0</v>
      </c>
      <c r="K49" s="27">
        <v>12552348.27</v>
      </c>
      <c r="L49" s="27">
        <v>0</v>
      </c>
      <c r="M49" s="20">
        <f t="shared" si="27"/>
        <v>0</v>
      </c>
      <c r="N49" s="27">
        <v>18598503.190000001</v>
      </c>
      <c r="O49" s="27">
        <v>0</v>
      </c>
      <c r="P49" s="20">
        <f t="shared" si="30"/>
        <v>0</v>
      </c>
      <c r="Q49" s="13">
        <f t="shared" si="31"/>
        <v>48.167520450737157</v>
      </c>
      <c r="R49" s="13" t="str">
        <f t="shared" si="32"/>
        <v>-</v>
      </c>
    </row>
    <row r="50" spans="1:18">
      <c r="A50" s="5" t="s">
        <v>62</v>
      </c>
      <c r="B50" s="27">
        <f t="shared" ref="B50:C50" si="33">SUM(B23:B32)</f>
        <v>3801283854.5699997</v>
      </c>
      <c r="C50" s="27">
        <f t="shared" si="33"/>
        <v>3443264426.6000004</v>
      </c>
      <c r="D50" s="20">
        <f t="shared" si="24"/>
        <v>90.581618167252117</v>
      </c>
      <c r="E50" s="27">
        <f t="shared" ref="E50:F50" si="34">SUM(E23:E32)</f>
        <v>4232152247.5</v>
      </c>
      <c r="F50" s="27">
        <f t="shared" si="34"/>
        <v>3760796150.3099999</v>
      </c>
      <c r="G50" s="20">
        <f t="shared" si="25"/>
        <v>88.862496677229942</v>
      </c>
      <c r="H50" s="27">
        <v>4356543538.5900002</v>
      </c>
      <c r="I50" s="27">
        <v>4000652978.5900002</v>
      </c>
      <c r="J50" s="20">
        <f t="shared" si="29"/>
        <v>91.830896286298</v>
      </c>
      <c r="K50" s="27">
        <f t="shared" ref="K50:L50" si="35">SUM(K23:K32)</f>
        <v>4418691804.1499996</v>
      </c>
      <c r="L50" s="27">
        <f t="shared" si="35"/>
        <v>4002214400.2400002</v>
      </c>
      <c r="M50" s="20">
        <f t="shared" si="27"/>
        <v>90.574644660239784</v>
      </c>
      <c r="N50" s="27">
        <f t="shared" ref="N50:O50" si="36">SUM(N23:N32)</f>
        <v>4448902857.0799999</v>
      </c>
      <c r="O50" s="27">
        <f t="shared" si="36"/>
        <v>3928182055.7699995</v>
      </c>
      <c r="P50" s="20">
        <f t="shared" si="30"/>
        <v>88.295523232625243</v>
      </c>
      <c r="Q50" s="13">
        <f t="shared" si="31"/>
        <v>0.68371034389920737</v>
      </c>
      <c r="R50" s="13">
        <f t="shared" si="32"/>
        <v>-1.8497845709005816</v>
      </c>
    </row>
    <row r="51" spans="1:18">
      <c r="A51" s="5" t="s">
        <v>63</v>
      </c>
      <c r="B51" s="27">
        <f t="shared" ref="B51:C51" si="37">SUM(B33:B37)</f>
        <v>906300674.51999998</v>
      </c>
      <c r="C51" s="27">
        <f t="shared" si="37"/>
        <v>678368189.25</v>
      </c>
      <c r="D51" s="20">
        <f t="shared" si="24"/>
        <v>74.850235503717471</v>
      </c>
      <c r="E51" s="27">
        <f t="shared" ref="E51:F51" si="38">SUM(E33:E37)</f>
        <v>1123707087.4200001</v>
      </c>
      <c r="F51" s="27">
        <f t="shared" si="38"/>
        <v>725222436.87</v>
      </c>
      <c r="G51" s="20">
        <f t="shared" si="25"/>
        <v>64.538387715885136</v>
      </c>
      <c r="H51" s="27">
        <v>1131422274.2800002</v>
      </c>
      <c r="I51" s="27">
        <v>938245978.63</v>
      </c>
      <c r="J51" s="20">
        <f t="shared" si="29"/>
        <v>82.926242478924934</v>
      </c>
      <c r="K51" s="27">
        <f t="shared" ref="K51:L51" si="39">SUM(K33:K37)</f>
        <v>1232492854.54</v>
      </c>
      <c r="L51" s="27">
        <f t="shared" si="39"/>
        <v>895240284.02999997</v>
      </c>
      <c r="M51" s="20">
        <f t="shared" si="27"/>
        <v>72.636549634531406</v>
      </c>
      <c r="N51" s="27">
        <f>SUM(N33:N37)</f>
        <v>1115372775.8400002</v>
      </c>
      <c r="O51" s="27">
        <f>SUM(O33:O37)</f>
        <v>808897003.36000001</v>
      </c>
      <c r="P51" s="20">
        <f t="shared" si="30"/>
        <v>72.522570111217775</v>
      </c>
      <c r="Q51" s="13">
        <f t="shared" si="31"/>
        <v>-9.5026983944432146</v>
      </c>
      <c r="R51" s="13">
        <f t="shared" si="32"/>
        <v>-9.6447045793469357</v>
      </c>
    </row>
    <row r="52" spans="1:18">
      <c r="A52" s="5" t="s">
        <v>64</v>
      </c>
      <c r="B52" s="27">
        <f t="shared" ref="B52:C52" si="40">SUM(B38:B41)</f>
        <v>239279987.58000001</v>
      </c>
      <c r="C52" s="27">
        <f t="shared" si="40"/>
        <v>22997987.579999998</v>
      </c>
      <c r="D52" s="20">
        <f t="shared" si="24"/>
        <v>9.6113293103172417</v>
      </c>
      <c r="E52" s="27">
        <f t="shared" ref="E52:F52" si="41">SUM(E38:E41)</f>
        <v>454989719.93000001</v>
      </c>
      <c r="F52" s="27">
        <f t="shared" si="41"/>
        <v>81110508.680000007</v>
      </c>
      <c r="G52" s="20">
        <f t="shared" si="25"/>
        <v>17.826888197051755</v>
      </c>
      <c r="H52" s="27">
        <v>63186776.700000003</v>
      </c>
      <c r="I52" s="27">
        <v>49723956.700000003</v>
      </c>
      <c r="J52" s="20">
        <f t="shared" si="29"/>
        <v>78.693611696765032</v>
      </c>
      <c r="K52" s="27">
        <f t="shared" ref="K52:L52" si="42">SUM(K38:K41)</f>
        <v>348980741.52999997</v>
      </c>
      <c r="L52" s="27">
        <f t="shared" si="42"/>
        <v>305919879.45999998</v>
      </c>
      <c r="M52" s="20">
        <f t="shared" si="27"/>
        <v>87.660963214986381</v>
      </c>
      <c r="N52" s="27">
        <f>SUM(N38:N41)</f>
        <v>49162273.369999997</v>
      </c>
      <c r="O52" s="27">
        <f>SUM(O38:O41)</f>
        <v>25102773.369999997</v>
      </c>
      <c r="P52" s="20">
        <f t="shared" si="30"/>
        <v>51.061050779881775</v>
      </c>
      <c r="Q52" s="13">
        <f t="shared" si="31"/>
        <v>-85.912611350854789</v>
      </c>
      <c r="R52" s="13">
        <f t="shared" si="32"/>
        <v>-91.794330785462321</v>
      </c>
    </row>
    <row r="53" spans="1:18">
      <c r="A53" s="5" t="s">
        <v>65</v>
      </c>
      <c r="B53" s="27">
        <f t="shared" ref="B53:C53" si="43">SUM(B42:B46)</f>
        <v>6738555.7800000003</v>
      </c>
      <c r="C53" s="27">
        <f t="shared" si="43"/>
        <v>6738555.7800000003</v>
      </c>
      <c r="D53" s="20">
        <f t="shared" si="24"/>
        <v>100</v>
      </c>
      <c r="E53" s="27">
        <f t="shared" ref="E53:F53" si="44">SUM(E42:E46)</f>
        <v>44045433.490000002</v>
      </c>
      <c r="F53" s="27">
        <f t="shared" si="44"/>
        <v>44045433.490000002</v>
      </c>
      <c r="G53" s="20">
        <f t="shared" si="25"/>
        <v>100</v>
      </c>
      <c r="H53" s="27">
        <v>13798177.279999999</v>
      </c>
      <c r="I53" s="27">
        <v>13798177.279999999</v>
      </c>
      <c r="J53" s="20">
        <f t="shared" si="29"/>
        <v>100</v>
      </c>
      <c r="K53" s="27">
        <f t="shared" ref="K53:L53" si="45">SUM(K42:K46)</f>
        <v>14284934.060000001</v>
      </c>
      <c r="L53" s="27">
        <f t="shared" si="45"/>
        <v>14284934.060000001</v>
      </c>
      <c r="M53" s="20">
        <f t="shared" si="27"/>
        <v>100</v>
      </c>
      <c r="N53" s="27">
        <f>SUM(N42:N46)</f>
        <v>24064651.620000001</v>
      </c>
      <c r="O53" s="27">
        <f>SUM(O42:O46)</f>
        <v>24064651.620000001</v>
      </c>
      <c r="P53" s="20">
        <f t="shared" si="30"/>
        <v>100</v>
      </c>
      <c r="Q53" s="13">
        <f t="shared" si="31"/>
        <v>68.46176201390179</v>
      </c>
      <c r="R53" s="13">
        <f t="shared" si="32"/>
        <v>68.46176201390179</v>
      </c>
    </row>
    <row r="54" spans="1:18">
      <c r="A54" s="5" t="s">
        <v>66</v>
      </c>
      <c r="B54" s="27">
        <f t="shared" ref="B54:C54" si="46">B47</f>
        <v>0</v>
      </c>
      <c r="C54" s="27">
        <f t="shared" si="46"/>
        <v>0</v>
      </c>
      <c r="D54" s="20" t="str">
        <f t="shared" si="24"/>
        <v>-</v>
      </c>
      <c r="E54" s="27">
        <f t="shared" ref="E54:F54" si="47">E47</f>
        <v>0</v>
      </c>
      <c r="F54" s="27">
        <f t="shared" si="47"/>
        <v>0</v>
      </c>
      <c r="G54" s="20" t="str">
        <f t="shared" si="25"/>
        <v>-</v>
      </c>
      <c r="H54" s="27">
        <v>0</v>
      </c>
      <c r="I54" s="27">
        <v>0</v>
      </c>
      <c r="J54" s="20" t="str">
        <f t="shared" si="29"/>
        <v>-</v>
      </c>
      <c r="K54" s="27">
        <f t="shared" ref="K54:L54" si="48">K47</f>
        <v>0</v>
      </c>
      <c r="L54" s="27">
        <f t="shared" si="48"/>
        <v>0</v>
      </c>
      <c r="M54" s="20" t="str">
        <f t="shared" si="27"/>
        <v>-</v>
      </c>
      <c r="N54" s="27">
        <f>N47</f>
        <v>0</v>
      </c>
      <c r="O54" s="27">
        <f>O47</f>
        <v>0</v>
      </c>
      <c r="P54" s="20" t="str">
        <f t="shared" si="30"/>
        <v>-</v>
      </c>
      <c r="Q54" s="13" t="str">
        <f t="shared" si="31"/>
        <v>-</v>
      </c>
      <c r="R54" s="13" t="str">
        <f t="shared" si="32"/>
        <v>-</v>
      </c>
    </row>
    <row r="55" spans="1:18">
      <c r="A55" s="5" t="s">
        <v>67</v>
      </c>
      <c r="B55" s="27">
        <f>SUM(B48:B49)</f>
        <v>398031736.67000002</v>
      </c>
      <c r="C55" s="29">
        <v>346838655.5</v>
      </c>
      <c r="D55" s="20">
        <f t="shared" si="24"/>
        <v>87.138442376909467</v>
      </c>
      <c r="E55" s="27">
        <f>SUM(E48:E49)</f>
        <v>410396330.83999997</v>
      </c>
      <c r="F55" s="29">
        <v>350289334.87</v>
      </c>
      <c r="G55" s="20">
        <f t="shared" si="25"/>
        <v>85.353914873709314</v>
      </c>
      <c r="H55" s="27">
        <v>398677507.06</v>
      </c>
      <c r="I55" s="29">
        <v>354415497.25999999</v>
      </c>
      <c r="J55" s="20">
        <f t="shared" si="29"/>
        <v>88.897791067671477</v>
      </c>
      <c r="K55" s="27">
        <f>SUM(K48:K49)</f>
        <v>417284406.40999997</v>
      </c>
      <c r="L55" s="29">
        <v>371630482.69</v>
      </c>
      <c r="M55" s="20">
        <f t="shared" si="27"/>
        <v>89.059278751206676</v>
      </c>
      <c r="N55" s="27">
        <f>SUM(N48:N49)</f>
        <v>438108615.87</v>
      </c>
      <c r="O55" s="29">
        <v>385252621.17000002</v>
      </c>
      <c r="P55" s="20">
        <f t="shared" si="30"/>
        <v>87.935413094983744</v>
      </c>
      <c r="Q55" s="13">
        <f t="shared" si="31"/>
        <v>4.9904116089925026</v>
      </c>
      <c r="R55" s="13">
        <f t="shared" si="32"/>
        <v>3.6655062258073912</v>
      </c>
    </row>
    <row r="56" spans="1:18">
      <c r="A56" s="5" t="s">
        <v>68</v>
      </c>
      <c r="B56" s="19">
        <f t="shared" ref="B56:C56" si="49">SUM(B50:B55)</f>
        <v>5351634809.1199999</v>
      </c>
      <c r="C56" s="19">
        <f t="shared" si="49"/>
        <v>4498207814.710001</v>
      </c>
      <c r="D56" s="20">
        <f t="shared" si="24"/>
        <v>84.052966526123399</v>
      </c>
      <c r="E56" s="19">
        <f t="shared" ref="E56:F56" si="50">SUM(E50:E55)</f>
        <v>6265290819.1800003</v>
      </c>
      <c r="F56" s="19">
        <f t="shared" si="50"/>
        <v>4961463864.2200003</v>
      </c>
      <c r="G56" s="20">
        <f t="shared" si="25"/>
        <v>79.189681810641872</v>
      </c>
      <c r="H56" s="24">
        <f t="shared" ref="H56:I56" si="51">SUM(H50:H55)</f>
        <v>5963628273.9100008</v>
      </c>
      <c r="I56" s="19">
        <f t="shared" si="51"/>
        <v>5356836588.46</v>
      </c>
      <c r="J56" s="20">
        <f t="shared" si="29"/>
        <v>89.8251256184993</v>
      </c>
      <c r="K56" s="24">
        <f t="shared" ref="K56:L56" si="52">SUM(K50:K55)</f>
        <v>6431734740.6899996</v>
      </c>
      <c r="L56" s="19">
        <f t="shared" si="52"/>
        <v>5589289980.4800005</v>
      </c>
      <c r="M56" s="20">
        <f t="shared" si="27"/>
        <v>86.901748996575975</v>
      </c>
      <c r="N56" s="24">
        <f t="shared" ref="N56:O56" si="53">SUM(N50:N55)</f>
        <v>6075611173.7799997</v>
      </c>
      <c r="O56" s="19">
        <f t="shared" si="53"/>
        <v>5171499105.289999</v>
      </c>
      <c r="P56" s="20">
        <f t="shared" si="30"/>
        <v>85.118993914689582</v>
      </c>
      <c r="Q56" s="13">
        <f t="shared" si="31"/>
        <v>-5.5369753459669937</v>
      </c>
      <c r="R56" s="13">
        <f t="shared" si="32"/>
        <v>-7.474847013647377</v>
      </c>
    </row>
    <row r="57" spans="1:18">
      <c r="A57" s="14" t="s">
        <v>69</v>
      </c>
      <c r="B57" s="15">
        <f t="shared" ref="B57:C57" si="54">B56-B55</f>
        <v>4953603072.4499998</v>
      </c>
      <c r="C57" s="15">
        <f t="shared" si="54"/>
        <v>4151369159.210001</v>
      </c>
      <c r="D57" s="21">
        <f t="shared" si="24"/>
        <v>83.805042481063737</v>
      </c>
      <c r="E57" s="15">
        <f t="shared" ref="E57:F57" si="55">E56-E55</f>
        <v>5854894488.3400002</v>
      </c>
      <c r="F57" s="15">
        <f t="shared" si="55"/>
        <v>4611174529.3500004</v>
      </c>
      <c r="G57" s="21">
        <f t="shared" si="25"/>
        <v>78.757602524403069</v>
      </c>
      <c r="H57" s="25">
        <f t="shared" ref="H57:I57" si="56">H56-H55</f>
        <v>5564950766.8500004</v>
      </c>
      <c r="I57" s="15">
        <f t="shared" si="56"/>
        <v>5002421091.1999998</v>
      </c>
      <c r="J57" s="21">
        <f t="shared" si="29"/>
        <v>89.891560604615805</v>
      </c>
      <c r="K57" s="25">
        <f t="shared" ref="K57:L57" si="57">K56-K55</f>
        <v>6014450334.2799997</v>
      </c>
      <c r="L57" s="15">
        <f t="shared" si="57"/>
        <v>5217659497.7900009</v>
      </c>
      <c r="M57" s="21">
        <f t="shared" si="27"/>
        <v>86.752058921351392</v>
      </c>
      <c r="N57" s="25">
        <f t="shared" ref="N57:O57" si="58">N56-N55</f>
        <v>5637502557.9099998</v>
      </c>
      <c r="O57" s="15">
        <f t="shared" si="58"/>
        <v>4786246484.1199989</v>
      </c>
      <c r="P57" s="21">
        <f t="shared" si="30"/>
        <v>84.900120841708528</v>
      </c>
      <c r="Q57" s="109">
        <f t="shared" si="31"/>
        <v>-6.2673686774258641</v>
      </c>
      <c r="R57" s="16">
        <f t="shared" si="32"/>
        <v>-8.2683244058515442</v>
      </c>
    </row>
    <row r="58" spans="1:18">
      <c r="A58" s="5" t="s">
        <v>70</v>
      </c>
      <c r="B58" s="19">
        <f>B14-B50</f>
        <v>1456000985.8900003</v>
      </c>
      <c r="C58" s="19">
        <f>C14-C50</f>
        <v>1218263142.6199999</v>
      </c>
      <c r="D58" s="22"/>
      <c r="E58" s="19">
        <f>E14-E50</f>
        <v>1339353724.1199999</v>
      </c>
      <c r="F58" s="19">
        <f>F14-F50</f>
        <v>1219065610.3899999</v>
      </c>
      <c r="G58" s="22"/>
      <c r="H58" s="19">
        <f>H14-H50</f>
        <v>1015956203.7700005</v>
      </c>
      <c r="I58" s="19">
        <f>I14-I50</f>
        <v>849489834.88000011</v>
      </c>
      <c r="J58" s="22"/>
      <c r="K58" s="19">
        <f>K14-K50</f>
        <v>1065833634.0700006</v>
      </c>
      <c r="L58" s="19">
        <f>L14-L50</f>
        <v>1024495446.7599998</v>
      </c>
      <c r="M58" s="22"/>
      <c r="N58" s="19">
        <f>N14-N50</f>
        <v>1057479271.9400005</v>
      </c>
      <c r="O58" s="19">
        <f>O14-O50</f>
        <v>1212261078.3500004</v>
      </c>
      <c r="P58" s="22"/>
      <c r="Q58" s="13">
        <f t="shared" ref="Q58:Q60" si="59">IF(K58&gt;0,N58/K58*100-100,"-")</f>
        <v>-0.78383359869195601</v>
      </c>
      <c r="R58" s="13">
        <f t="shared" ref="R58:R60" si="60">IF(L58&gt;0,O58/L58*100-100,"-")</f>
        <v>18.327619920987985</v>
      </c>
    </row>
    <row r="59" spans="1:18">
      <c r="A59" s="5" t="s">
        <v>71</v>
      </c>
      <c r="B59" s="19">
        <f>B15-B51</f>
        <v>-847384830.60000002</v>
      </c>
      <c r="C59" s="19">
        <f>C15-C51</f>
        <v>-623691180.03999996</v>
      </c>
      <c r="D59" s="22"/>
      <c r="E59" s="19">
        <f>E15-E51</f>
        <v>-1014797120.0600001</v>
      </c>
      <c r="F59" s="19">
        <f>F15-F51</f>
        <v>-667914703.20000005</v>
      </c>
      <c r="G59" s="22"/>
      <c r="H59" s="19">
        <f>H15-H51</f>
        <v>-1048726373.2100002</v>
      </c>
      <c r="I59" s="19">
        <f>I15-I51</f>
        <v>-871837372.10000002</v>
      </c>
      <c r="J59" s="22"/>
      <c r="K59" s="19">
        <f>K15-K51</f>
        <v>-1104544180.97</v>
      </c>
      <c r="L59" s="19">
        <f>L15-L51</f>
        <v>-793243675.49000001</v>
      </c>
      <c r="M59" s="22"/>
      <c r="N59" s="19">
        <f>N15-N51</f>
        <v>-1019171443.6600002</v>
      </c>
      <c r="O59" s="19">
        <f>O15-O51</f>
        <v>-762276125.98000002</v>
      </c>
      <c r="P59" s="22"/>
      <c r="Q59" s="13" t="str">
        <f t="shared" si="59"/>
        <v>-</v>
      </c>
      <c r="R59" s="13" t="str">
        <f t="shared" si="60"/>
        <v>-</v>
      </c>
    </row>
    <row r="60" spans="1:18">
      <c r="A60" s="5" t="s">
        <v>368</v>
      </c>
      <c r="B60" s="19">
        <f>SUM(B14:B16)-SUM(B50:B52)</f>
        <v>505014773.56999969</v>
      </c>
      <c r="C60" s="19">
        <f>SUM(C14:C16)-SUM(C50:C52)</f>
        <v>701835908.18000031</v>
      </c>
      <c r="D60" s="22"/>
      <c r="E60" s="19">
        <f>SUM(E14:E16)-SUM(E50:E52)</f>
        <v>17424266.969999313</v>
      </c>
      <c r="F60" s="19">
        <f>SUM(F14:F16)-SUM(F50:F52)</f>
        <v>614233139.53999901</v>
      </c>
      <c r="G60" s="22"/>
      <c r="H60" s="19">
        <f>SUM(H14:H16)-SUM(H50:H52)</f>
        <v>301623801.19999981</v>
      </c>
      <c r="I60" s="19">
        <f>SUM(I14:I16)-SUM(I50:I52)</f>
        <v>321291570.18000031</v>
      </c>
      <c r="J60" s="22"/>
      <c r="K60" s="19">
        <f>SUM(K14:K16)-SUM(K50:K52)</f>
        <v>-111784751.73999977</v>
      </c>
      <c r="L60" s="19">
        <f>SUM(L14:L16)-SUM(L50:L52)</f>
        <v>194706570.53999996</v>
      </c>
      <c r="M60" s="22"/>
      <c r="N60" s="19">
        <f>SUM(N14:N16)-SUM(N50:N52)</f>
        <v>78637446.710000992</v>
      </c>
      <c r="O60" s="19">
        <f>SUM(O14:O16)-SUM(O50:O52)</f>
        <v>506866396.86000061</v>
      </c>
      <c r="P60" s="22"/>
      <c r="Q60" s="13" t="str">
        <f t="shared" si="59"/>
        <v>-</v>
      </c>
      <c r="R60" s="13">
        <f t="shared" si="60"/>
        <v>160.32321120661487</v>
      </c>
    </row>
    <row r="61" spans="1:18">
      <c r="A61" s="5" t="s">
        <v>369</v>
      </c>
      <c r="B61" s="28">
        <f>B21-B57</f>
        <v>577629222.35000038</v>
      </c>
      <c r="C61" s="28">
        <f>C21-C57</f>
        <v>748069574.64999962</v>
      </c>
      <c r="D61" s="105"/>
      <c r="E61" s="28">
        <f>E21-E57</f>
        <v>-5932267.3300008774</v>
      </c>
      <c r="F61" s="28">
        <f>F21-F57</f>
        <v>581237706.04999924</v>
      </c>
      <c r="G61" s="105"/>
      <c r="H61" s="28">
        <f>H21-H57</f>
        <v>302002879.28999996</v>
      </c>
      <c r="I61" s="28">
        <f>I21-I57</f>
        <v>312493392.90000057</v>
      </c>
      <c r="J61" s="105"/>
      <c r="K61" s="28">
        <f>K21-K57</f>
        <v>-81069685.800000191</v>
      </c>
      <c r="L61" s="28">
        <f>L21-L57</f>
        <v>225421636.47999954</v>
      </c>
      <c r="M61" s="105"/>
      <c r="N61" s="28">
        <f>N21-N57</f>
        <v>54572795.090001106</v>
      </c>
      <c r="O61" s="28">
        <f>O21-O57</f>
        <v>482801745.24000072</v>
      </c>
      <c r="P61" s="105"/>
    </row>
    <row r="62" spans="1:18">
      <c r="A62" s="5" t="s">
        <v>370</v>
      </c>
      <c r="C62" s="6">
        <f>SUM(C14:C16)/SUM(B14:B16)*100</f>
        <v>88.895337801887607</v>
      </c>
      <c r="D62" s="105"/>
      <c r="F62" s="6">
        <f>SUM(F14:F16)/SUM(E14:E16)*100</f>
        <v>88.900467587920389</v>
      </c>
      <c r="G62" s="105"/>
      <c r="I62" s="6">
        <f>SUM(I14:I16)/SUM(H14:H16)*100</f>
        <v>90.724711309215408</v>
      </c>
      <c r="J62" s="105"/>
      <c r="L62" s="6">
        <f>SUM(L14:L16)/SUM(K14:K16)*100</f>
        <v>91.673440569156099</v>
      </c>
      <c r="M62" s="105"/>
      <c r="O62" s="6">
        <f>SUM(O14:O16)/SUM(N14:N16)*100</f>
        <v>92.568139080993632</v>
      </c>
      <c r="P62" s="105"/>
    </row>
    <row r="63" spans="1:18">
      <c r="A63" s="5" t="s">
        <v>371</v>
      </c>
      <c r="C63" s="6">
        <f>SUM(C50:C52)/SUM(B50:B52)*100</f>
        <v>83.782981916391222</v>
      </c>
      <c r="D63" s="105"/>
      <c r="F63" s="6">
        <f>SUM(F50:F52)/SUM(E50:E52)*100</f>
        <v>78.596588084628806</v>
      </c>
      <c r="G63" s="105"/>
      <c r="I63" s="6">
        <f>SUM(I50:I52)/SUM(H50:H52)*100</f>
        <v>89.866434644456874</v>
      </c>
      <c r="J63" s="105"/>
      <c r="L63" s="6">
        <f>SUM(L50:L52)/SUM(K50:K52)*100</f>
        <v>86.72051879668544</v>
      </c>
      <c r="M63" s="105"/>
      <c r="O63" s="6">
        <f>SUM(O50:O52)/SUM(N50:N52)*100</f>
        <v>84.835388081230107</v>
      </c>
      <c r="P63" s="105"/>
    </row>
  </sheetData>
  <mergeCells count="6">
    <mergeCell ref="Q1:R1"/>
    <mergeCell ref="B1:D1"/>
    <mergeCell ref="E1:G1"/>
    <mergeCell ref="K1:M1"/>
    <mergeCell ref="H1:J1"/>
    <mergeCell ref="N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I2" sqref="I2"/>
    </sheetView>
  </sheetViews>
  <sheetFormatPr defaultRowHeight="15"/>
  <cols>
    <col min="1" max="2" width="10.28515625" bestFit="1" customWidth="1"/>
    <col min="3" max="3" width="50.7109375" bestFit="1" customWidth="1"/>
    <col min="4" max="4" width="7.42578125" customWidth="1"/>
    <col min="5" max="9" width="7.5703125" customWidth="1"/>
  </cols>
  <sheetData>
    <row r="1" spans="1:9" ht="23.25" customHeight="1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18.62</v>
      </c>
      <c r="F2" s="82">
        <f>Piano_indicatori!E3</f>
        <v>20.43</v>
      </c>
      <c r="G2" s="82">
        <f>Piano_indicatori!F3</f>
        <v>20.11</v>
      </c>
      <c r="H2" s="82">
        <f>Piano_indicatori!G3</f>
        <v>20.62</v>
      </c>
      <c r="I2" s="82">
        <f>Piano_indicatori!H3</f>
        <v>20.3</v>
      </c>
    </row>
    <row r="3" spans="1:9" ht="29.25" customHeight="1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95.83</v>
      </c>
      <c r="F3" s="83">
        <f>Piano_indicatori!E12</f>
        <v>92.42</v>
      </c>
      <c r="G3" s="83">
        <f>Piano_indicatori!F12</f>
        <v>82.1</v>
      </c>
      <c r="H3" s="83">
        <f>Piano_indicatori!G12</f>
        <v>94.9</v>
      </c>
      <c r="I3" s="83">
        <f>Piano_indicatori!H12</f>
        <v>86.63</v>
      </c>
    </row>
    <row r="4" spans="1:9" ht="29.25" customHeight="1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0.08</v>
      </c>
      <c r="F5" s="85">
        <f>Piano_indicatori!E51</f>
        <v>0.75</v>
      </c>
      <c r="G5" s="85">
        <f>Piano_indicatori!F51</f>
        <v>0.28000000000000003</v>
      </c>
      <c r="H5" s="85">
        <f>Piano_indicatori!G51</f>
        <v>0.28000000000000003</v>
      </c>
      <c r="I5" s="85">
        <f>Piano_indicatori!H51</f>
        <v>0.31</v>
      </c>
    </row>
    <row r="6" spans="1:9" ht="29.25" customHeight="1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</row>
    <row r="7" spans="1:9" ht="29.25" customHeight="1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0.05</v>
      </c>
      <c r="F7" s="87">
        <f>Piano_indicatori!E65</f>
        <v>0.03</v>
      </c>
      <c r="G7" s="87">
        <f>Piano_indicatori!F65</f>
        <v>0.01</v>
      </c>
      <c r="H7" s="87">
        <f>Piano_indicatori!G65</f>
        <v>0.11</v>
      </c>
      <c r="I7" s="87">
        <f>Piano_indicatori!H65</f>
        <v>0.02</v>
      </c>
    </row>
    <row r="8" spans="1:9" ht="29.25" customHeight="1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>
      <c r="A9" s="76" t="s">
        <v>317</v>
      </c>
      <c r="B9" s="76"/>
      <c r="C9" s="81" t="s">
        <v>324</v>
      </c>
      <c r="D9" s="91" t="s">
        <v>332</v>
      </c>
      <c r="E9" s="88">
        <f>Piano_indicatori!D77</f>
        <v>79.617232190631995</v>
      </c>
      <c r="F9" s="88">
        <f>Piano_indicatori!E77</f>
        <v>75.817085986845399</v>
      </c>
      <c r="G9" s="88">
        <f>Piano_indicatori!F77</f>
        <v>78.554972590106743</v>
      </c>
      <c r="H9" s="88">
        <f>Piano_indicatori!G77</f>
        <v>80.081700974038199</v>
      </c>
      <c r="I9" s="88">
        <f>Piano_indicatori!H77</f>
        <v>78.836199784440993</v>
      </c>
    </row>
  </sheetData>
  <conditionalFormatting sqref="E2:I2">
    <cfRule type="cellIs" dxfId="7" priority="8" operator="greaterThan">
      <formula>48</formula>
    </cfRule>
  </conditionalFormatting>
  <conditionalFormatting sqref="E3:I3">
    <cfRule type="cellIs" dxfId="6" priority="7" operator="lessThan">
      <formula>22</formula>
    </cfRule>
  </conditionalFormatting>
  <conditionalFormatting sqref="E4:I4">
    <cfRule type="cellIs" dxfId="5" priority="6" operator="greaterThan">
      <formula>0</formula>
    </cfRule>
  </conditionalFormatting>
  <conditionalFormatting sqref="E5:I5">
    <cfRule type="cellIs" dxfId="4" priority="5" operator="greaterThan">
      <formula>16</formula>
    </cfRule>
  </conditionalFormatting>
  <conditionalFormatting sqref="E6:I6">
    <cfRule type="cellIs" dxfId="3" priority="4" operator="greaterThan">
      <formula>1.2</formula>
    </cfRule>
  </conditionalFormatting>
  <conditionalFormatting sqref="E7:I7">
    <cfRule type="cellIs" dxfId="2" priority="3" operator="greaterThan">
      <formula>1</formula>
    </cfRule>
  </conditionalFormatting>
  <conditionalFormatting sqref="E8:I8">
    <cfRule type="cellIs" dxfId="1" priority="2" operator="greaterThan">
      <formula>0.6</formula>
    </cfRule>
  </conditionalFormatting>
  <conditionalFormatting sqref="E9:I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B3" sqref="B3"/>
    </sheetView>
  </sheetViews>
  <sheetFormatPr defaultRowHeight="15"/>
  <cols>
    <col min="2" max="2" width="12.28515625" bestFit="1" customWidth="1"/>
    <col min="5" max="5" width="10.28515625" customWidth="1"/>
  </cols>
  <sheetData>
    <row r="1" spans="1:20" ht="30">
      <c r="A1" s="100" t="s">
        <v>362</v>
      </c>
      <c r="B1" s="100" t="s">
        <v>363</v>
      </c>
      <c r="C1" s="100" t="s">
        <v>232</v>
      </c>
      <c r="D1" s="100" t="s">
        <v>346</v>
      </c>
      <c r="E1" s="104" t="s">
        <v>347</v>
      </c>
      <c r="F1" s="104" t="s">
        <v>348</v>
      </c>
    </row>
    <row r="2" spans="1:20">
      <c r="A2" s="31">
        <v>2021</v>
      </c>
      <c r="B2" s="95">
        <v>534912</v>
      </c>
      <c r="C2" s="101">
        <f>B2/B3*100-100</f>
        <v>0.42580034694843505</v>
      </c>
    </row>
    <row r="3" spans="1:20">
      <c r="A3" s="31">
        <v>2020</v>
      </c>
      <c r="B3" s="95">
        <v>532644</v>
      </c>
      <c r="C3" s="101">
        <f>B3/B4*100-100</f>
        <v>0.43955173642736156</v>
      </c>
      <c r="D3">
        <v>-256</v>
      </c>
      <c r="E3" s="1">
        <v>2524</v>
      </c>
      <c r="F3" s="1">
        <f t="shared" ref="F3:F8" si="0">B2-B3-D3-E3</f>
        <v>0</v>
      </c>
    </row>
    <row r="4" spans="1:20">
      <c r="A4" s="31">
        <v>2019</v>
      </c>
      <c r="B4" s="95">
        <v>530313</v>
      </c>
      <c r="C4" s="101">
        <f>B4/B5*100-100</f>
        <v>0.67220733068576521</v>
      </c>
      <c r="D4">
        <v>780</v>
      </c>
      <c r="E4" s="1">
        <v>1551</v>
      </c>
      <c r="F4" s="1">
        <f t="shared" si="0"/>
        <v>0</v>
      </c>
      <c r="K4" s="107"/>
      <c r="L4" s="108"/>
      <c r="M4" s="108"/>
      <c r="N4" s="108"/>
      <c r="O4" s="108"/>
      <c r="P4" s="108"/>
      <c r="Q4" s="108"/>
      <c r="R4" s="108"/>
      <c r="S4" s="108"/>
      <c r="T4" s="108"/>
    </row>
    <row r="5" spans="1:20">
      <c r="A5" s="31">
        <v>2018</v>
      </c>
      <c r="B5" s="95">
        <v>526772</v>
      </c>
      <c r="C5" s="101">
        <f t="shared" ref="C5:C7" si="1">B5/B6*100-100</f>
        <v>0.63386658617568514</v>
      </c>
      <c r="D5" s="95">
        <v>887</v>
      </c>
      <c r="E5" s="95">
        <v>2654</v>
      </c>
      <c r="F5" s="1">
        <f t="shared" si="0"/>
        <v>0</v>
      </c>
      <c r="K5" s="107"/>
      <c r="L5" s="108"/>
      <c r="M5" s="108"/>
      <c r="N5" s="108"/>
      <c r="O5" s="108"/>
      <c r="P5" s="108"/>
      <c r="Q5" s="108"/>
      <c r="R5" s="108"/>
      <c r="S5" s="108"/>
      <c r="T5" s="108"/>
    </row>
    <row r="6" spans="1:20">
      <c r="A6" s="31">
        <v>2017</v>
      </c>
      <c r="B6" s="95">
        <v>523454</v>
      </c>
      <c r="C6" s="101">
        <f t="shared" si="1"/>
        <v>0.61547096407126389</v>
      </c>
      <c r="D6" s="95">
        <v>956</v>
      </c>
      <c r="E6" s="95">
        <v>2362</v>
      </c>
      <c r="F6" s="1">
        <f t="shared" si="0"/>
        <v>0</v>
      </c>
      <c r="K6" s="107"/>
      <c r="L6" s="108"/>
      <c r="M6" s="108"/>
      <c r="N6" s="108"/>
      <c r="O6" s="108"/>
      <c r="P6" s="108"/>
      <c r="Q6" s="108"/>
      <c r="R6" s="108"/>
      <c r="S6" s="108"/>
      <c r="T6" s="108"/>
    </row>
    <row r="7" spans="1:20">
      <c r="A7" s="31">
        <v>2016</v>
      </c>
      <c r="B7" s="95">
        <v>520252</v>
      </c>
      <c r="C7" s="101">
        <f t="shared" si="1"/>
        <v>0.43591238508552976</v>
      </c>
      <c r="D7" s="95">
        <v>1198</v>
      </c>
      <c r="E7" s="95">
        <v>2004</v>
      </c>
      <c r="F7" s="1">
        <f t="shared" si="0"/>
        <v>0</v>
      </c>
      <c r="K7" s="107"/>
      <c r="L7" s="108"/>
      <c r="M7" s="108"/>
      <c r="N7" s="108"/>
      <c r="O7" s="108"/>
      <c r="P7" s="108"/>
      <c r="Q7" s="108"/>
      <c r="R7" s="108"/>
      <c r="S7" s="108"/>
      <c r="T7" s="108"/>
    </row>
    <row r="8" spans="1:20">
      <c r="A8" s="102">
        <v>2015</v>
      </c>
      <c r="B8" s="103">
        <v>517994</v>
      </c>
      <c r="C8" s="103"/>
      <c r="D8" s="103">
        <v>980</v>
      </c>
      <c r="E8" s="103">
        <v>1278</v>
      </c>
      <c r="F8" s="1">
        <f t="shared" si="0"/>
        <v>0</v>
      </c>
    </row>
    <row r="9" spans="1:20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H1" sqref="H1:H21"/>
    </sheetView>
  </sheetViews>
  <sheetFormatPr defaultRowHeight="15"/>
  <cols>
    <col min="1" max="1" width="55.7109375" bestFit="1" customWidth="1"/>
    <col min="2" max="6" width="14.28515625" bestFit="1" customWidth="1"/>
    <col min="7" max="7" width="8.42578125" customWidth="1"/>
    <col min="8" max="8" width="6.5703125" bestFit="1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372</v>
      </c>
      <c r="J1" s="42" t="s">
        <v>267</v>
      </c>
    </row>
    <row r="2" spans="1:10">
      <c r="A2" s="55" t="s">
        <v>19</v>
      </c>
      <c r="B2" s="56">
        <f>Entrate_Uscite!B3</f>
        <v>4592880456.1199999</v>
      </c>
      <c r="C2" s="56">
        <f>Entrate_Uscite!E3</f>
        <v>4896472492.3000002</v>
      </c>
      <c r="D2" s="56">
        <f>Entrate_Uscite!H3</f>
        <v>4650212637.5500002</v>
      </c>
      <c r="E2" s="56">
        <f>Entrate_Uscite!K3</f>
        <v>4725096177.8900003</v>
      </c>
      <c r="F2" s="56">
        <f>Entrate_Uscite!N3</f>
        <v>4557485222.2700005</v>
      </c>
      <c r="G2" s="56">
        <f>F2/F$21*100</f>
        <v>80.067197632371176</v>
      </c>
      <c r="H2" s="57">
        <f>IF(E2&gt;0,F2/E2*100-100,"-")</f>
        <v>-3.5472496074110893</v>
      </c>
      <c r="I2" s="56">
        <f>Entrate_Uscite!O3</f>
        <v>4333369796.6099997</v>
      </c>
      <c r="J2" s="58">
        <f>IF(F2&gt;0,I2/F2*100,"-")</f>
        <v>95.08247608648584</v>
      </c>
    </row>
    <row r="3" spans="1:10">
      <c r="A3" s="55" t="s">
        <v>20</v>
      </c>
      <c r="B3" s="56">
        <f>Entrate_Uscite!B4</f>
        <v>453629135.70999998</v>
      </c>
      <c r="C3" s="56">
        <f>Entrate_Uscite!E4</f>
        <v>437537541.76999998</v>
      </c>
      <c r="D3" s="56">
        <f>Entrate_Uscite!H4</f>
        <v>472422576.38999999</v>
      </c>
      <c r="E3" s="56">
        <f>Entrate_Uscite!K4</f>
        <v>521906013.89999998</v>
      </c>
      <c r="F3" s="56">
        <f>Entrate_Uscite!N4</f>
        <v>731343462.51999998</v>
      </c>
      <c r="G3" s="56">
        <f t="shared" ref="G3:G21" si="0">F3/F$21*100</f>
        <v>12.848450119946961</v>
      </c>
      <c r="H3" s="57">
        <f t="shared" ref="H3:H21" si="1">IF(E3&gt;0,F3/E3*100-100,"-")</f>
        <v>40.129341881875547</v>
      </c>
      <c r="I3" s="56">
        <f>Entrate_Uscite!O4</f>
        <v>611794070.04999995</v>
      </c>
      <c r="J3" s="58">
        <f t="shared" ref="J3:J21" si="2">IF(F3&gt;0,I3/F3*100,"-")</f>
        <v>83.653454416879995</v>
      </c>
    </row>
    <row r="4" spans="1:10">
      <c r="A4" s="55" t="s">
        <v>21</v>
      </c>
      <c r="B4" s="56">
        <f>Entrate_Uscite!B5</f>
        <v>210775248.63</v>
      </c>
      <c r="C4" s="56">
        <f>Entrate_Uscite!E5</f>
        <v>237495937.55000001</v>
      </c>
      <c r="D4" s="56">
        <f>Entrate_Uscite!H5</f>
        <v>249864528.41999999</v>
      </c>
      <c r="E4" s="56">
        <f>Entrate_Uscite!K5</f>
        <v>237523246.43000001</v>
      </c>
      <c r="F4" s="56">
        <f>Entrate_Uscite!N5</f>
        <v>217553444.22999999</v>
      </c>
      <c r="G4" s="56">
        <f t="shared" si="0"/>
        <v>3.82204083288073</v>
      </c>
      <c r="H4" s="57">
        <f t="shared" si="1"/>
        <v>-8.4075148433461919</v>
      </c>
      <c r="I4" s="56">
        <f>Entrate_Uscite!O5</f>
        <v>195279267.46000001</v>
      </c>
      <c r="J4" s="58">
        <f t="shared" si="2"/>
        <v>89.761514992862416</v>
      </c>
    </row>
    <row r="5" spans="1:10">
      <c r="A5" s="4" t="s">
        <v>30</v>
      </c>
      <c r="B5" s="43">
        <f>SUM(B2:B4)</f>
        <v>5257284840.46</v>
      </c>
      <c r="C5" s="43">
        <f>SUM(C2:C4)</f>
        <v>5571505971.6199999</v>
      </c>
      <c r="D5" s="43">
        <f>SUM(D2:D4)</f>
        <v>5372499742.3600006</v>
      </c>
      <c r="E5" s="43">
        <f>SUM(E2:E4)</f>
        <v>5484525438.2200003</v>
      </c>
      <c r="F5" s="43">
        <f>SUM(F2:F4)</f>
        <v>5506382129.0200005</v>
      </c>
      <c r="G5" s="43">
        <f t="shared" si="0"/>
        <v>96.737688585198882</v>
      </c>
      <c r="H5" s="44">
        <f t="shared" si="1"/>
        <v>0.39851562448207289</v>
      </c>
      <c r="I5" s="43">
        <f>SUM(I2:I4)</f>
        <v>5140443134.1199999</v>
      </c>
      <c r="J5" s="45">
        <f t="shared" si="2"/>
        <v>93.35427534221769</v>
      </c>
    </row>
    <row r="6" spans="1:10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0"/>
        <v>0</v>
      </c>
      <c r="H6" s="57" t="str">
        <f t="shared" si="1"/>
        <v>-</v>
      </c>
      <c r="I6" s="56">
        <f>Entrate_Uscite!O6</f>
        <v>0</v>
      </c>
      <c r="J6" s="58" t="str">
        <f t="shared" si="2"/>
        <v>-</v>
      </c>
    </row>
    <row r="7" spans="1:10">
      <c r="A7" s="55" t="s">
        <v>23</v>
      </c>
      <c r="B7" s="56">
        <f>Entrate_Uscite!B7</f>
        <v>9584811.5299999993</v>
      </c>
      <c r="C7" s="56">
        <f>Entrate_Uscite!E7</f>
        <v>11148360.01</v>
      </c>
      <c r="D7" s="56">
        <f>Entrate_Uscite!H7</f>
        <v>14078512.08</v>
      </c>
      <c r="E7" s="56">
        <f>Entrate_Uscite!K7</f>
        <v>76168576.719999999</v>
      </c>
      <c r="F7" s="56">
        <f>Entrate_Uscite!N7</f>
        <v>70262588.099999994</v>
      </c>
      <c r="G7" s="56">
        <f t="shared" si="0"/>
        <v>1.234393147360008</v>
      </c>
      <c r="H7" s="57">
        <f t="shared" si="1"/>
        <v>-7.7538387538876492</v>
      </c>
      <c r="I7" s="56">
        <f>Entrate_Uscite!O7</f>
        <v>29173409.190000001</v>
      </c>
      <c r="J7" s="58">
        <f t="shared" si="2"/>
        <v>41.520544544245169</v>
      </c>
    </row>
    <row r="8" spans="1:10">
      <c r="A8" s="55" t="s">
        <v>24</v>
      </c>
      <c r="B8" s="56">
        <f>Entrate_Uscite!B8</f>
        <v>25807087.59</v>
      </c>
      <c r="C8" s="56">
        <f>Entrate_Uscite!E8</f>
        <v>34725935.899999999</v>
      </c>
      <c r="D8" s="56">
        <f>Entrate_Uscite!H8</f>
        <v>48208208.840000004</v>
      </c>
      <c r="E8" s="56">
        <f>Entrate_Uscite!K8</f>
        <v>7486724.8700000001</v>
      </c>
      <c r="F8" s="56">
        <f>Entrate_Uscite!N8</f>
        <v>6043890.7699999996</v>
      </c>
      <c r="G8" s="56">
        <f t="shared" si="0"/>
        <v>0.10618079338697749</v>
      </c>
      <c r="H8" s="57">
        <f t="shared" si="1"/>
        <v>-19.271899596331778</v>
      </c>
      <c r="I8" s="56">
        <f>Entrate_Uscite!O8</f>
        <v>3685731.07</v>
      </c>
      <c r="J8" s="58">
        <f t="shared" si="2"/>
        <v>60.982754491441618</v>
      </c>
    </row>
    <row r="9" spans="1:10">
      <c r="A9" s="55" t="s">
        <v>25</v>
      </c>
      <c r="B9" s="56">
        <f>Entrate_Uscite!B9</f>
        <v>9014742</v>
      </c>
      <c r="C9" s="56">
        <f>Entrate_Uscite!E9</f>
        <v>17426196.789999999</v>
      </c>
      <c r="D9" s="56">
        <f>Entrate_Uscite!H9</f>
        <v>9789393.4499999993</v>
      </c>
      <c r="E9" s="56">
        <f>Entrate_Uscite!K9</f>
        <v>34449687.25</v>
      </c>
      <c r="F9" s="56">
        <f>Entrate_Uscite!N9</f>
        <v>8291253.1799999997</v>
      </c>
      <c r="G9" s="56">
        <f t="shared" si="0"/>
        <v>0.14566309589752893</v>
      </c>
      <c r="H9" s="57">
        <f t="shared" si="1"/>
        <v>-75.932283158826067</v>
      </c>
      <c r="I9" s="56">
        <f>Entrate_Uscite!O9</f>
        <v>8271741.1799999997</v>
      </c>
      <c r="J9" s="58">
        <f t="shared" si="2"/>
        <v>99.764667661493363</v>
      </c>
    </row>
    <row r="10" spans="1:10">
      <c r="A10" s="55" t="s">
        <v>26</v>
      </c>
      <c r="B10" s="56">
        <f>Entrate_Uscite!B10</f>
        <v>14509202.800000001</v>
      </c>
      <c r="C10" s="56">
        <f>Entrate_Uscite!E10</f>
        <v>45609474.659999996</v>
      </c>
      <c r="D10" s="56">
        <f>Entrate_Uscite!H10</f>
        <v>10619786.699999999</v>
      </c>
      <c r="E10" s="56">
        <f>Entrate_Uscite!K10</f>
        <v>9843684.7300000004</v>
      </c>
      <c r="F10" s="56">
        <f>Entrate_Uscite!N10</f>
        <v>11603600.130000001</v>
      </c>
      <c r="G10" s="56">
        <f t="shared" si="0"/>
        <v>0.20385534994515381</v>
      </c>
      <c r="H10" s="57">
        <f t="shared" si="1"/>
        <v>17.878624196856023</v>
      </c>
      <c r="I10" s="56">
        <f>Entrate_Uscite!O10</f>
        <v>5489995.9400000004</v>
      </c>
      <c r="J10" s="58">
        <f t="shared" si="2"/>
        <v>47.31286737299866</v>
      </c>
    </row>
    <row r="11" spans="1:10">
      <c r="A11" s="4" t="s">
        <v>31</v>
      </c>
      <c r="B11" s="46">
        <f>SUM(B6:B10)</f>
        <v>58915843.920000002</v>
      </c>
      <c r="C11" s="46">
        <f>SUM(C6:C10)</f>
        <v>108909967.35999998</v>
      </c>
      <c r="D11" s="46">
        <f>SUM(D6:D10)</f>
        <v>82695901.070000008</v>
      </c>
      <c r="E11" s="46">
        <f>SUM(E6:E10)</f>
        <v>127948673.57000001</v>
      </c>
      <c r="F11" s="46">
        <f>SUM(F6:F10)</f>
        <v>96201332.179999977</v>
      </c>
      <c r="G11" s="46">
        <f t="shared" si="0"/>
        <v>1.690092386589668</v>
      </c>
      <c r="H11" s="44">
        <f t="shared" si="1"/>
        <v>-24.812559993153215</v>
      </c>
      <c r="I11" s="46">
        <f>SUM(I6:I10)</f>
        <v>46620877.379999995</v>
      </c>
      <c r="J11" s="45">
        <f t="shared" si="2"/>
        <v>48.461779399030362</v>
      </c>
    </row>
    <row r="12" spans="1:10">
      <c r="A12" s="55" t="s">
        <v>27</v>
      </c>
      <c r="B12" s="56">
        <f>Entrate_Uscite!B11</f>
        <v>469992.61</v>
      </c>
      <c r="C12" s="56">
        <f>Entrate_Uscite!E11</f>
        <v>884100</v>
      </c>
      <c r="D12" s="56">
        <f>Entrate_Uscite!H11</f>
        <v>78746481.560000002</v>
      </c>
      <c r="E12" s="56">
        <f>Entrate_Uscite!K11</f>
        <v>53813000</v>
      </c>
      <c r="F12" s="56">
        <f>Entrate_Uscite!N11</f>
        <v>0</v>
      </c>
      <c r="G12" s="56">
        <f t="shared" si="0"/>
        <v>0</v>
      </c>
      <c r="H12" s="57">
        <f t="shared" si="1"/>
        <v>-100</v>
      </c>
      <c r="I12" s="56">
        <f>Entrate_Uscite!O11</f>
        <v>0</v>
      </c>
      <c r="J12" s="58" t="str">
        <f t="shared" si="2"/>
        <v>-</v>
      </c>
    </row>
    <row r="13" spans="1:10">
      <c r="A13" s="55" t="s">
        <v>28</v>
      </c>
      <c r="B13" s="56">
        <f>Entrate_Uscite!B12</f>
        <v>135208613.25</v>
      </c>
      <c r="C13" s="56">
        <f>Entrate_Uscite!E12</f>
        <v>146973282.84</v>
      </c>
      <c r="D13" s="56">
        <f>Entrate_Uscite!H12</f>
        <v>318834265.77999997</v>
      </c>
      <c r="E13" s="56">
        <f>Entrate_Uscite!K12</f>
        <v>222093536.69</v>
      </c>
      <c r="F13" s="56">
        <f>Entrate_Uscite!N12</f>
        <v>89491891.799999997</v>
      </c>
      <c r="G13" s="56">
        <f t="shared" si="0"/>
        <v>1.5722190282114485</v>
      </c>
      <c r="H13" s="57">
        <f t="shared" si="1"/>
        <v>-59.705314646362936</v>
      </c>
      <c r="I13" s="56">
        <f>Entrate_Uscite!O12</f>
        <v>81984217.859999999</v>
      </c>
      <c r="J13" s="58">
        <f t="shared" si="2"/>
        <v>91.610777480513605</v>
      </c>
    </row>
    <row r="14" spans="1:10">
      <c r="A14" s="55" t="s">
        <v>29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 t="shared" si="0"/>
        <v>0</v>
      </c>
      <c r="H14" s="57" t="str">
        <f t="shared" si="1"/>
        <v>-</v>
      </c>
      <c r="I14" s="56">
        <f>Entrate_Uscite!O13</f>
        <v>0</v>
      </c>
      <c r="J14" s="58" t="str">
        <f t="shared" si="2"/>
        <v>-</v>
      </c>
    </row>
    <row r="15" spans="1:10">
      <c r="A15" s="4" t="s">
        <v>32</v>
      </c>
      <c r="B15" s="43">
        <f>SUM(B12:B14)</f>
        <v>135678605.86000001</v>
      </c>
      <c r="C15" s="43">
        <f>SUM(C12:C14)</f>
        <v>147857382.84</v>
      </c>
      <c r="D15" s="43">
        <f>SUM(D12:D14)</f>
        <v>397580747.33999997</v>
      </c>
      <c r="E15" s="43">
        <f>SUM(E12:E14)</f>
        <v>275906536.69</v>
      </c>
      <c r="F15" s="43">
        <f>SUM(F12:F14)</f>
        <v>89491891.799999997</v>
      </c>
      <c r="G15" s="43">
        <f t="shared" si="0"/>
        <v>1.5722190282114485</v>
      </c>
      <c r="H15" s="44">
        <f t="shared" si="1"/>
        <v>-67.564417692448401</v>
      </c>
      <c r="I15" s="43">
        <f>SUM(I12:I14)</f>
        <v>81984217.859999999</v>
      </c>
      <c r="J15" s="45">
        <f t="shared" si="2"/>
        <v>91.610777480513605</v>
      </c>
    </row>
    <row r="16" spans="1:10">
      <c r="A16" s="47" t="s">
        <v>343</v>
      </c>
      <c r="B16" s="48">
        <f>B5+B11+B15</f>
        <v>5451879290.2399998</v>
      </c>
      <c r="C16" s="48">
        <f t="shared" ref="C16:E16" si="3">C5+C11+C15</f>
        <v>5828273321.8199997</v>
      </c>
      <c r="D16" s="48">
        <f t="shared" si="3"/>
        <v>5852776390.7700005</v>
      </c>
      <c r="E16" s="48">
        <f t="shared" si="3"/>
        <v>5888380648.4799995</v>
      </c>
      <c r="F16" s="48">
        <f t="shared" ref="F16" si="4">F5+F11+F15</f>
        <v>5692075353.000001</v>
      </c>
      <c r="G16" s="48">
        <f t="shared" si="0"/>
        <v>100</v>
      </c>
      <c r="H16" s="49">
        <f t="shared" si="1"/>
        <v>-3.3337738709312532</v>
      </c>
      <c r="I16" s="48">
        <f t="shared" ref="I16" si="5">I5+I11+I15</f>
        <v>5269048229.3599997</v>
      </c>
      <c r="J16" s="50">
        <f t="shared" si="2"/>
        <v>92.568139080993632</v>
      </c>
    </row>
    <row r="17" spans="1:10">
      <c r="A17" s="4" t="s">
        <v>33</v>
      </c>
      <c r="B17" s="43">
        <f>Entrate_Uscite!B17</f>
        <v>79353004.560000002</v>
      </c>
      <c r="C17" s="43">
        <f>Entrate_Uscite!E17</f>
        <v>20688899.190000001</v>
      </c>
      <c r="D17" s="43">
        <f>Entrate_Uscite!H17</f>
        <v>14177255.369999999</v>
      </c>
      <c r="E17" s="43">
        <f>Entrate_Uscite!K17</f>
        <v>45000000</v>
      </c>
      <c r="F17" s="43">
        <f>Entrate_Uscite!N17</f>
        <v>0</v>
      </c>
      <c r="G17" s="43">
        <f t="shared" si="0"/>
        <v>0</v>
      </c>
      <c r="H17" s="44">
        <f t="shared" si="1"/>
        <v>-100</v>
      </c>
      <c r="I17" s="43">
        <f>Entrate_Uscite!O17</f>
        <v>0</v>
      </c>
      <c r="J17" s="45" t="str">
        <f t="shared" si="2"/>
        <v>-</v>
      </c>
    </row>
    <row r="18" spans="1:10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0"/>
        <v>0</v>
      </c>
      <c r="H18" s="44" t="str">
        <f t="shared" si="1"/>
        <v>-</v>
      </c>
      <c r="I18" s="43">
        <f>Entrate_Uscite!O18</f>
        <v>0</v>
      </c>
      <c r="J18" s="45" t="str">
        <f t="shared" si="2"/>
        <v>-</v>
      </c>
    </row>
    <row r="19" spans="1:10">
      <c r="A19" s="4" t="s">
        <v>35</v>
      </c>
      <c r="B19" s="43">
        <f>Entrate_Uscite!B19</f>
        <v>398031736.67000002</v>
      </c>
      <c r="C19" s="43">
        <f>Entrate_Uscite!E19</f>
        <v>410396330.83999997</v>
      </c>
      <c r="D19" s="43">
        <f>Entrate_Uscite!H19</f>
        <v>398677507.06</v>
      </c>
      <c r="E19" s="43">
        <f>Entrate_Uscite!K19</f>
        <v>417284414.94</v>
      </c>
      <c r="F19" s="43">
        <f>Entrate_Uscite!N19</f>
        <v>438108615.87</v>
      </c>
      <c r="G19" s="43"/>
      <c r="H19" s="44">
        <f t="shared" si="1"/>
        <v>4.990409462810689</v>
      </c>
      <c r="I19" s="43">
        <f>Entrate_Uscite!O19</f>
        <v>437852048.13</v>
      </c>
      <c r="J19" s="45">
        <f t="shared" si="2"/>
        <v>99.941437412845559</v>
      </c>
    </row>
    <row r="20" spans="1:10">
      <c r="A20" s="47" t="s">
        <v>36</v>
      </c>
      <c r="B20" s="48">
        <f>B5+B11+B15+B17+B18+B19</f>
        <v>5929264031.4700003</v>
      </c>
      <c r="C20" s="48">
        <f>C5+C11+C15+C17+C18+C19</f>
        <v>6259358551.8499994</v>
      </c>
      <c r="D20" s="48">
        <f>D5+D11+D15+D17+D18+D19</f>
        <v>6265631153.2000008</v>
      </c>
      <c r="E20" s="48">
        <f>E5+E11+E15+E17+E18+E19</f>
        <v>6350665063.4199991</v>
      </c>
      <c r="F20" s="48">
        <f>F5+F11+F15+F17+F18+F19</f>
        <v>6130183968.8700008</v>
      </c>
      <c r="G20" s="48"/>
      <c r="H20" s="49">
        <f t="shared" si="1"/>
        <v>-3.4717796065167335</v>
      </c>
      <c r="I20" s="48">
        <f>I5+I11+I15+I17+I18+I19</f>
        <v>5706900277.4899998</v>
      </c>
      <c r="J20" s="50">
        <f t="shared" si="2"/>
        <v>93.09508991035996</v>
      </c>
    </row>
    <row r="21" spans="1:10">
      <c r="A21" s="38" t="s">
        <v>37</v>
      </c>
      <c r="B21" s="51">
        <f>B20-B19</f>
        <v>5531232294.8000002</v>
      </c>
      <c r="C21" s="51">
        <f>C20-C19</f>
        <v>5848962221.0099993</v>
      </c>
      <c r="D21" s="51">
        <f>D20-D19</f>
        <v>5866953646.1400003</v>
      </c>
      <c r="E21" s="51">
        <f>E20-E19</f>
        <v>5933380648.4799995</v>
      </c>
      <c r="F21" s="51">
        <f>F20-F19</f>
        <v>5692075353.000001</v>
      </c>
      <c r="G21" s="51">
        <f t="shared" si="0"/>
        <v>100</v>
      </c>
      <c r="H21" s="52">
        <f t="shared" si="1"/>
        <v>-4.066910750818181</v>
      </c>
      <c r="I21" s="51">
        <f>I20-I19</f>
        <v>5269048229.3599997</v>
      </c>
      <c r="J21" s="53">
        <f t="shared" si="2"/>
        <v>92.568139080993632</v>
      </c>
    </row>
    <row r="22" spans="1:10">
      <c r="I22" s="6"/>
    </row>
    <row r="23" spans="1:10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showGridLines="0" tabSelected="1" topLeftCell="A7" workbookViewId="0">
      <selection activeCell="H1" sqref="H1:H31"/>
    </sheetView>
  </sheetViews>
  <sheetFormatPr defaultRowHeight="15"/>
  <cols>
    <col min="1" max="1" width="50.7109375" bestFit="1" customWidth="1"/>
    <col min="2" max="6" width="15.28515625" bestFit="1" customWidth="1"/>
    <col min="7" max="7" width="8.5703125" customWidth="1"/>
    <col min="8" max="8" width="8.140625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373</v>
      </c>
      <c r="J1" s="42" t="s">
        <v>334</v>
      </c>
    </row>
    <row r="2" spans="1:10">
      <c r="A2" s="59" t="s">
        <v>268</v>
      </c>
      <c r="B2" s="56">
        <f>Entrate_Uscite!B23</f>
        <v>971063268.63</v>
      </c>
      <c r="C2" s="56">
        <f>Entrate_Uscite!E23</f>
        <v>1030924669.41</v>
      </c>
      <c r="D2" s="56">
        <f>Entrate_Uscite!H23</f>
        <v>995791800.16999996</v>
      </c>
      <c r="E2" s="56">
        <f>Entrate_Uscite!K23</f>
        <v>1046807799.6</v>
      </c>
      <c r="F2" s="56">
        <f>Entrate_Uscite!N23</f>
        <v>1024843811.2</v>
      </c>
      <c r="G2" s="56">
        <f>F2/F$31*100</f>
        <v>18.21063048542495</v>
      </c>
      <c r="H2" s="57">
        <f>IF(E2&gt;0,F2/E2*100-100,"-")</f>
        <v>-2.098187308920771</v>
      </c>
      <c r="I2" s="56">
        <f>Entrate_Uscite!O23</f>
        <v>945531231.11000001</v>
      </c>
      <c r="J2" s="58">
        <f>IF(F2&gt;0,I2/F2*100,"-")</f>
        <v>92.2610080459839</v>
      </c>
    </row>
    <row r="3" spans="1:10">
      <c r="A3" s="59" t="s">
        <v>269</v>
      </c>
      <c r="B3" s="56">
        <f>Entrate_Uscite!B24</f>
        <v>2662866.3199999998</v>
      </c>
      <c r="C3" s="56">
        <f>Entrate_Uscite!E24</f>
        <v>67367601.489999995</v>
      </c>
      <c r="D3" s="56">
        <f>Entrate_Uscite!H24</f>
        <v>66446536.219999999</v>
      </c>
      <c r="E3" s="56">
        <f>Entrate_Uscite!K24</f>
        <v>69482660.75</v>
      </c>
      <c r="F3" s="56">
        <f>Entrate_Uscite!N24</f>
        <v>65393385.280000001</v>
      </c>
      <c r="G3" s="56">
        <f t="shared" ref="G3:G31" si="0">F3/F$31*100</f>
        <v>1.1619865998221945</v>
      </c>
      <c r="H3" s="57">
        <f t="shared" ref="H3:H31" si="1">IF(E3&gt;0,F3/E3*100-100,"-")</f>
        <v>-5.8853178992573305</v>
      </c>
      <c r="I3" s="56">
        <f>Entrate_Uscite!O24</f>
        <v>62658758.399999999</v>
      </c>
      <c r="J3" s="58">
        <f t="shared" ref="J3:J31" si="2">IF(F3&gt;0,I3/F3*100,"-")</f>
        <v>95.818190374621324</v>
      </c>
    </row>
    <row r="4" spans="1:10">
      <c r="A4" s="59" t="s">
        <v>270</v>
      </c>
      <c r="B4" s="56">
        <f>Entrate_Uscite!B25</f>
        <v>169510568.31</v>
      </c>
      <c r="C4" s="56">
        <f>Entrate_Uscite!E25</f>
        <v>291766602.22000003</v>
      </c>
      <c r="D4" s="56">
        <f>Entrate_Uscite!H25</f>
        <v>316623280.75999999</v>
      </c>
      <c r="E4" s="56">
        <f>Entrate_Uscite!K25</f>
        <v>284150874.06</v>
      </c>
      <c r="F4" s="56">
        <f>Entrate_Uscite!N25</f>
        <v>314491887.99000001</v>
      </c>
      <c r="G4" s="56">
        <f t="shared" si="0"/>
        <v>5.5882618407419846</v>
      </c>
      <c r="H4" s="57">
        <f t="shared" si="1"/>
        <v>10.677783072239762</v>
      </c>
      <c r="I4" s="56">
        <f>Entrate_Uscite!O25</f>
        <v>272165243.47000003</v>
      </c>
      <c r="J4" s="58">
        <f t="shared" si="2"/>
        <v>86.541260319774651</v>
      </c>
    </row>
    <row r="5" spans="1:10">
      <c r="A5" s="59" t="s">
        <v>271</v>
      </c>
      <c r="B5" s="56">
        <f>Entrate_Uscite!B26</f>
        <v>2608669676.4899998</v>
      </c>
      <c r="C5" s="56">
        <f>Entrate_Uscite!E26</f>
        <v>2791921485.98</v>
      </c>
      <c r="D5" s="56">
        <f>Entrate_Uscite!H26</f>
        <v>2920277016.9000001</v>
      </c>
      <c r="E5" s="56">
        <f>Entrate_Uscite!K26</f>
        <v>2962032079.1199999</v>
      </c>
      <c r="F5" s="56">
        <f>Entrate_Uscite!N26</f>
        <v>3028369514.54</v>
      </c>
      <c r="G5" s="56">
        <f t="shared" si="0"/>
        <v>53.81163217255488</v>
      </c>
      <c r="H5" s="57">
        <f t="shared" si="1"/>
        <v>2.23959206544815</v>
      </c>
      <c r="I5" s="56">
        <f>Entrate_Uscite!O26</f>
        <v>2634083065.1199999</v>
      </c>
      <c r="J5" s="58">
        <f t="shared" si="2"/>
        <v>86.98023977830556</v>
      </c>
    </row>
    <row r="6" spans="1:10">
      <c r="A6" s="59" t="s">
        <v>272</v>
      </c>
      <c r="B6" s="56">
        <f>Entrate_Uscite!B29</f>
        <v>1196143.54</v>
      </c>
      <c r="C6" s="56">
        <f>Entrate_Uscite!E29</f>
        <v>1578603.4</v>
      </c>
      <c r="D6" s="56">
        <f>Entrate_Uscite!H29</f>
        <v>1301776.1299999999</v>
      </c>
      <c r="E6" s="56">
        <f>Entrate_Uscite!K29</f>
        <v>1213017.1000000001</v>
      </c>
      <c r="F6" s="56">
        <f>Entrate_Uscite!N29</f>
        <v>911311.72</v>
      </c>
      <c r="G6" s="56">
        <f t="shared" si="0"/>
        <v>1.6193258727420261E-2</v>
      </c>
      <c r="H6" s="57">
        <f t="shared" si="1"/>
        <v>-24.872310538738489</v>
      </c>
      <c r="I6" s="56">
        <f>Entrate_Uscite!O29</f>
        <v>911311.72</v>
      </c>
      <c r="J6" s="58">
        <f t="shared" si="2"/>
        <v>100</v>
      </c>
    </row>
    <row r="7" spans="1:10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5775</v>
      </c>
      <c r="F7" s="56">
        <f>Entrate_Uscite!N30</f>
        <v>4862</v>
      </c>
      <c r="G7" s="56">
        <f t="shared" si="0"/>
        <v>8.6393735760050715E-5</v>
      </c>
      <c r="H7" s="57">
        <f t="shared" si="1"/>
        <v>-15.80952380952381</v>
      </c>
      <c r="I7" s="56">
        <f>Entrate_Uscite!O30</f>
        <v>4862</v>
      </c>
      <c r="J7" s="58">
        <f t="shared" si="2"/>
        <v>100</v>
      </c>
    </row>
    <row r="8" spans="1:10">
      <c r="A8" s="59" t="s">
        <v>274</v>
      </c>
      <c r="B8" s="56">
        <f>Entrate_Uscite!B31</f>
        <v>5301389.87</v>
      </c>
      <c r="C8" s="56">
        <f>Entrate_Uscite!E31</f>
        <v>2018482.39</v>
      </c>
      <c r="D8" s="56">
        <f>Entrate_Uscite!H31</f>
        <v>1199677.5</v>
      </c>
      <c r="E8" s="56">
        <f>Entrate_Uscite!K31</f>
        <v>6206841.9000000004</v>
      </c>
      <c r="F8" s="56">
        <f>Entrate_Uscite!N31</f>
        <v>1314331.69</v>
      </c>
      <c r="G8" s="56">
        <f t="shared" si="0"/>
        <v>2.3354591675631607E-2</v>
      </c>
      <c r="H8" s="57">
        <f t="shared" si="1"/>
        <v>-78.824469655010873</v>
      </c>
      <c r="I8" s="56">
        <f>Entrate_Uscite!O31</f>
        <v>1047015.79</v>
      </c>
      <c r="J8" s="58">
        <f t="shared" si="2"/>
        <v>79.661458212272123</v>
      </c>
    </row>
    <row r="9" spans="1:10">
      <c r="A9" s="59" t="s">
        <v>275</v>
      </c>
      <c r="B9" s="56">
        <f>Entrate_Uscite!B32</f>
        <v>42879941.409999996</v>
      </c>
      <c r="C9" s="56">
        <f>Entrate_Uscite!E32</f>
        <v>46574802.609999999</v>
      </c>
      <c r="D9" s="56">
        <f>Entrate_Uscite!H32</f>
        <v>54903450.909999996</v>
      </c>
      <c r="E9" s="56">
        <f>Entrate_Uscite!K32</f>
        <v>48792756.619999997</v>
      </c>
      <c r="F9" s="56">
        <f>Entrate_Uscite!N32</f>
        <v>13573752.66</v>
      </c>
      <c r="G9" s="56">
        <f t="shared" si="0"/>
        <v>0.24119440571376502</v>
      </c>
      <c r="H9" s="57">
        <f t="shared" si="1"/>
        <v>-72.180803872769587</v>
      </c>
      <c r="I9" s="56">
        <f>Entrate_Uscite!O32</f>
        <v>11780568.16</v>
      </c>
      <c r="J9" s="58">
        <f t="shared" si="2"/>
        <v>86.789323889153579</v>
      </c>
    </row>
    <row r="10" spans="1:10">
      <c r="A10" s="4" t="s">
        <v>280</v>
      </c>
      <c r="B10" s="43">
        <f>SUM(B2:B9)</f>
        <v>3801283854.5699997</v>
      </c>
      <c r="C10" s="43">
        <f>SUM(C2:C9)</f>
        <v>4232152247.5</v>
      </c>
      <c r="D10" s="43">
        <f>SUM(D2:D9)</f>
        <v>4356543538.5900002</v>
      </c>
      <c r="E10" s="43">
        <f>SUM(E2:E9)</f>
        <v>4418691804.1499996</v>
      </c>
      <c r="F10" s="43">
        <f>SUM(F2:F9)</f>
        <v>4448902857.0799999</v>
      </c>
      <c r="G10" s="43">
        <f t="shared" si="0"/>
        <v>79.053339748396581</v>
      </c>
      <c r="H10" s="44">
        <f t="shared" si="1"/>
        <v>0.68371034389920737</v>
      </c>
      <c r="I10" s="43">
        <f>SUM(I2:I9)</f>
        <v>3928182055.7699995</v>
      </c>
      <c r="J10" s="45">
        <f t="shared" si="2"/>
        <v>88.295523232625243</v>
      </c>
    </row>
    <row r="11" spans="1:10">
      <c r="A11" s="59" t="s">
        <v>276</v>
      </c>
      <c r="B11" s="56">
        <f>Entrate_Uscite!B34</f>
        <v>154078905.25</v>
      </c>
      <c r="C11" s="56">
        <f>Entrate_Uscite!E34</f>
        <v>247730307.09</v>
      </c>
      <c r="D11" s="56">
        <f>Entrate_Uscite!H34</f>
        <v>264740376.90000001</v>
      </c>
      <c r="E11" s="56">
        <f>Entrate_Uscite!K34</f>
        <v>278565411.54000002</v>
      </c>
      <c r="F11" s="56">
        <f>Entrate_Uscite!N34</f>
        <v>249946165.66</v>
      </c>
      <c r="G11" s="56">
        <f t="shared" si="0"/>
        <v>4.4413375134240853</v>
      </c>
      <c r="H11" s="57">
        <f t="shared" si="1"/>
        <v>-10.273797354015898</v>
      </c>
      <c r="I11" s="56">
        <f>Entrate_Uscite!O34</f>
        <v>211522201.09999999</v>
      </c>
      <c r="J11" s="58">
        <f t="shared" si="2"/>
        <v>84.627103817120414</v>
      </c>
    </row>
    <row r="12" spans="1:10">
      <c r="A12" s="59" t="s">
        <v>277</v>
      </c>
      <c r="B12" s="56">
        <f>Entrate_Uscite!B35</f>
        <v>607826980.42999995</v>
      </c>
      <c r="C12" s="56">
        <f>Entrate_Uscite!E35</f>
        <v>863375061.92999995</v>
      </c>
      <c r="D12" s="56">
        <f>Entrate_Uscite!H35</f>
        <v>852973830.46000004</v>
      </c>
      <c r="E12" s="56">
        <f>Entrate_Uscite!K35</f>
        <v>938354687.76999998</v>
      </c>
      <c r="F12" s="56">
        <f>Entrate_Uscite!N35</f>
        <v>863898448.24000001</v>
      </c>
      <c r="G12" s="56">
        <f t="shared" si="0"/>
        <v>15.350763936808805</v>
      </c>
      <c r="H12" s="57">
        <f t="shared" si="1"/>
        <v>-7.9347650201380873</v>
      </c>
      <c r="I12" s="56">
        <f>Entrate_Uscite!O35</f>
        <v>596103780.33000004</v>
      </c>
      <c r="J12" s="58">
        <f t="shared" si="2"/>
        <v>69.001603318587769</v>
      </c>
    </row>
    <row r="13" spans="1:10">
      <c r="A13" s="59" t="s">
        <v>278</v>
      </c>
      <c r="B13" s="56">
        <f>Entrate_Uscite!B36</f>
        <v>142470124.84</v>
      </c>
      <c r="C13" s="56">
        <f>Entrate_Uscite!E36</f>
        <v>674964.77</v>
      </c>
      <c r="D13" s="56">
        <f>Entrate_Uscite!H36</f>
        <v>1721824.88</v>
      </c>
      <c r="E13" s="56">
        <f>Entrate_Uscite!K36</f>
        <v>6544076.4199999999</v>
      </c>
      <c r="F13" s="56">
        <f>Entrate_Uscite!N36</f>
        <v>1528161.94</v>
      </c>
      <c r="G13" s="56">
        <f t="shared" si="0"/>
        <v>2.7154179112078666E-2</v>
      </c>
      <c r="H13" s="57">
        <f t="shared" si="1"/>
        <v>-76.64816481467679</v>
      </c>
      <c r="I13" s="56">
        <f>Entrate_Uscite!O36</f>
        <v>1271021.93</v>
      </c>
      <c r="J13" s="58">
        <f t="shared" si="2"/>
        <v>83.17324864143653</v>
      </c>
    </row>
    <row r="14" spans="1:10">
      <c r="A14" s="59" t="s">
        <v>279</v>
      </c>
      <c r="B14" s="56">
        <f>Entrate_Uscite!B37</f>
        <v>1924664</v>
      </c>
      <c r="C14" s="56">
        <f>Entrate_Uscite!E37</f>
        <v>11926753.630000001</v>
      </c>
      <c r="D14" s="56">
        <f>Entrate_Uscite!H37</f>
        <v>11986242.039999999</v>
      </c>
      <c r="E14" s="56">
        <f>Entrate_Uscite!K37</f>
        <v>9028678.8100000005</v>
      </c>
      <c r="F14" s="56">
        <f>Entrate_Uscite!N37</f>
        <v>0</v>
      </c>
      <c r="G14" s="56">
        <f t="shared" si="0"/>
        <v>0</v>
      </c>
      <c r="H14" s="106">
        <f t="shared" si="1"/>
        <v>-100</v>
      </c>
      <c r="I14" s="56">
        <f>Entrate_Uscite!O37</f>
        <v>0</v>
      </c>
      <c r="J14" s="58" t="str">
        <f t="shared" si="2"/>
        <v>-</v>
      </c>
    </row>
    <row r="15" spans="1:10">
      <c r="A15" s="4" t="s">
        <v>281</v>
      </c>
      <c r="B15" s="46">
        <f>SUM(B11:B14)</f>
        <v>906300674.51999998</v>
      </c>
      <c r="C15" s="46">
        <f>SUM(C11:C14)</f>
        <v>1123707087.4200001</v>
      </c>
      <c r="D15" s="46">
        <f>SUM(D11:D14)</f>
        <v>1131422274.2800002</v>
      </c>
      <c r="E15" s="46">
        <f>SUM(E11:E14)</f>
        <v>1232492854.54</v>
      </c>
      <c r="F15" s="46">
        <f>SUM(F11:F14)</f>
        <v>1115372775.8400002</v>
      </c>
      <c r="G15" s="46">
        <f t="shared" si="0"/>
        <v>19.819255629344969</v>
      </c>
      <c r="H15" s="44">
        <f t="shared" si="1"/>
        <v>-9.5026983944432146</v>
      </c>
      <c r="I15" s="46">
        <f>SUM(I11:I14)</f>
        <v>808897003.36000001</v>
      </c>
      <c r="J15" s="45">
        <f t="shared" si="2"/>
        <v>72.522570111217775</v>
      </c>
    </row>
    <row r="16" spans="1:10">
      <c r="A16" s="59" t="s">
        <v>282</v>
      </c>
      <c r="B16" s="56">
        <f>Entrate_Uscite!B38</f>
        <v>26687797.899999999</v>
      </c>
      <c r="C16" s="56">
        <f>Entrate_Uscite!E38</f>
        <v>106931536.69</v>
      </c>
      <c r="D16" s="56">
        <f>Entrate_Uscite!H38</f>
        <v>20469362.699999999</v>
      </c>
      <c r="E16" s="56">
        <f>Entrate_Uscite!K38</f>
        <v>9921251.75</v>
      </c>
      <c r="F16" s="56">
        <f>Entrate_Uscite!N38</f>
        <v>10208000</v>
      </c>
      <c r="G16" s="56">
        <f t="shared" si="0"/>
        <v>0.18138775290797979</v>
      </c>
      <c r="H16" s="57">
        <f t="shared" si="1"/>
        <v>2.8902426551165661</v>
      </c>
      <c r="I16" s="56">
        <f>Entrate_Uscite!O38</f>
        <v>10208000</v>
      </c>
      <c r="J16" s="58">
        <f t="shared" si="2"/>
        <v>100</v>
      </c>
    </row>
    <row r="17" spans="1:10">
      <c r="A17" s="59" t="s">
        <v>283</v>
      </c>
      <c r="B17" s="56">
        <f>Entrate_Uscite!B39</f>
        <v>192954189.68000001</v>
      </c>
      <c r="C17" s="56">
        <f>Entrate_Uscite!E39</f>
        <v>296058183.24000001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2"/>
        <v>-</v>
      </c>
    </row>
    <row r="18" spans="1:10">
      <c r="A18" s="59" t="s">
        <v>284</v>
      </c>
      <c r="B18" s="56">
        <f>Entrate_Uscite!B40</f>
        <v>19638000</v>
      </c>
      <c r="C18" s="56">
        <f>Entrate_Uscite!E40</f>
        <v>52000000</v>
      </c>
      <c r="D18" s="56">
        <f>Entrate_Uscite!H40</f>
        <v>42717414</v>
      </c>
      <c r="E18" s="56">
        <f>Entrate_Uscite!K40</f>
        <v>339059489.77999997</v>
      </c>
      <c r="F18" s="56">
        <f>Entrate_Uscite!N40</f>
        <v>38954273.369999997</v>
      </c>
      <c r="G18" s="56">
        <f t="shared" si="0"/>
        <v>0.69218535587259566</v>
      </c>
      <c r="H18" s="57">
        <f t="shared" si="1"/>
        <v>-88.511080048142702</v>
      </c>
      <c r="I18" s="56">
        <f>Entrate_Uscite!O40</f>
        <v>14894773.369999999</v>
      </c>
      <c r="J18" s="58">
        <f t="shared" si="2"/>
        <v>38.236558101147807</v>
      </c>
    </row>
    <row r="19" spans="1:10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0</v>
      </c>
      <c r="E19" s="56">
        <f>Entrate_Uscite!K41</f>
        <v>0</v>
      </c>
      <c r="F19" s="56">
        <f>Entrate_Uscite!N41</f>
        <v>0</v>
      </c>
      <c r="G19" s="56">
        <f t="shared" si="0"/>
        <v>0</v>
      </c>
      <c r="H19" s="57" t="str">
        <f t="shared" si="1"/>
        <v>-</v>
      </c>
      <c r="I19" s="56">
        <f>Entrate_Uscite!O41</f>
        <v>0</v>
      </c>
      <c r="J19" s="58" t="str">
        <f t="shared" si="2"/>
        <v>-</v>
      </c>
    </row>
    <row r="20" spans="1:10">
      <c r="A20" s="4" t="s">
        <v>286</v>
      </c>
      <c r="B20" s="43">
        <f>SUM(B16:B19)</f>
        <v>239279987.58000001</v>
      </c>
      <c r="C20" s="43">
        <f>SUM(C16:C19)</f>
        <v>454989719.93000001</v>
      </c>
      <c r="D20" s="43">
        <f>SUM(D16:D19)</f>
        <v>63186776.700000003</v>
      </c>
      <c r="E20" s="43">
        <f>SUM(E16:E19)</f>
        <v>348980741.52999997</v>
      </c>
      <c r="F20" s="43">
        <f>SUM(F16:F19)</f>
        <v>49162273.369999997</v>
      </c>
      <c r="G20" s="43">
        <f t="shared" si="0"/>
        <v>0.87357310878057537</v>
      </c>
      <c r="H20" s="44">
        <f t="shared" si="1"/>
        <v>-85.912611350854789</v>
      </c>
      <c r="I20" s="43">
        <f>SUM(I16:I19)</f>
        <v>25102773.369999997</v>
      </c>
      <c r="J20" s="40">
        <f t="shared" si="2"/>
        <v>51.061050779881775</v>
      </c>
    </row>
    <row r="21" spans="1:10">
      <c r="A21" s="47" t="s">
        <v>344</v>
      </c>
      <c r="B21" s="48">
        <f>B10+B15+B20</f>
        <v>4946864516.6700001</v>
      </c>
      <c r="C21" s="48">
        <f>C10+C15+C20</f>
        <v>5810849054.8500004</v>
      </c>
      <c r="D21" s="48">
        <f>D10+D15+D20</f>
        <v>5551152589.5700006</v>
      </c>
      <c r="E21" s="48">
        <f>E10+E15+E20</f>
        <v>6000165400.2199993</v>
      </c>
      <c r="F21" s="48">
        <f>F10+F15+F20</f>
        <v>5613437906.29</v>
      </c>
      <c r="G21" s="48">
        <f t="shared" si="0"/>
        <v>99.746168486522123</v>
      </c>
      <c r="H21" s="49">
        <f t="shared" si="1"/>
        <v>-6.4452805570296476</v>
      </c>
      <c r="I21" s="48">
        <f>I10+I15+I20</f>
        <v>4762181832.499999</v>
      </c>
      <c r="J21" s="50">
        <f t="shared" si="2"/>
        <v>84.835388081230107</v>
      </c>
    </row>
    <row r="22" spans="1:10">
      <c r="A22" s="59" t="s">
        <v>287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Entrate_Uscite!L42</f>
        <v>0</v>
      </c>
      <c r="G22" s="60">
        <f t="shared" si="0"/>
        <v>0</v>
      </c>
      <c r="H22" s="61" t="str">
        <f t="shared" si="1"/>
        <v>-</v>
      </c>
      <c r="I22" s="60">
        <f>Entrate_Uscite!O42</f>
        <v>0</v>
      </c>
      <c r="J22" s="58" t="str">
        <f t="shared" si="2"/>
        <v>-</v>
      </c>
    </row>
    <row r="23" spans="1:10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Entrate_Uscite!L43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2"/>
        <v>-</v>
      </c>
    </row>
    <row r="24" spans="1:10">
      <c r="A24" s="59" t="s">
        <v>289</v>
      </c>
      <c r="B24" s="60">
        <f>Entrate_Uscite!B44</f>
        <v>6738555.7800000003</v>
      </c>
      <c r="C24" s="60">
        <f>Entrate_Uscite!E44</f>
        <v>44045433.490000002</v>
      </c>
      <c r="D24" s="60">
        <f>Entrate_Uscite!H44</f>
        <v>13798177.279999999</v>
      </c>
      <c r="E24" s="60">
        <f>Entrate_Uscite!K44</f>
        <v>14284934.060000001</v>
      </c>
      <c r="F24" s="60">
        <f>Entrate_Uscite!L44</f>
        <v>14284934.060000001</v>
      </c>
      <c r="G24" s="60">
        <f t="shared" si="0"/>
        <v>0.25383151347786681</v>
      </c>
      <c r="H24" s="61">
        <f t="shared" si="1"/>
        <v>0</v>
      </c>
      <c r="I24" s="60">
        <f>Entrate_Uscite!O44</f>
        <v>24064651.620000001</v>
      </c>
      <c r="J24" s="58">
        <f t="shared" si="2"/>
        <v>168.46176201390179</v>
      </c>
    </row>
    <row r="25" spans="1:10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Entrate_Uscite!L45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2"/>
        <v>-</v>
      </c>
    </row>
    <row r="26" spans="1:10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Entrate_Uscite!L46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2"/>
        <v>-</v>
      </c>
    </row>
    <row r="27" spans="1:10">
      <c r="A27" s="4" t="s">
        <v>292</v>
      </c>
      <c r="B27" s="43">
        <f>SUM(B22:B26)</f>
        <v>6738555.7800000003</v>
      </c>
      <c r="C27" s="43">
        <f>SUM(C22:C26)</f>
        <v>44045433.490000002</v>
      </c>
      <c r="D27" s="43">
        <f>SUM(D22:D26)</f>
        <v>13798177.279999999</v>
      </c>
      <c r="E27" s="43">
        <f>SUM(E22:E26)</f>
        <v>14284934.060000001</v>
      </c>
      <c r="F27" s="43">
        <f>SUM(F22:F26)</f>
        <v>14284934.060000001</v>
      </c>
      <c r="G27" s="43">
        <f t="shared" si="0"/>
        <v>0.25383151347786681</v>
      </c>
      <c r="H27" s="44">
        <f t="shared" si="1"/>
        <v>0</v>
      </c>
      <c r="I27" s="43">
        <f>SUM(I22:I26)</f>
        <v>24064651.620000001</v>
      </c>
      <c r="J27" s="45">
        <f t="shared" si="2"/>
        <v>168.46176201390179</v>
      </c>
    </row>
    <row r="28" spans="1:10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Entrate_Uscite!L54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 t="shared" si="2"/>
        <v>-</v>
      </c>
    </row>
    <row r="29" spans="1:10">
      <c r="A29" s="4" t="s">
        <v>294</v>
      </c>
      <c r="B29" s="43">
        <f>Entrate_Uscite!B55</f>
        <v>398031736.67000002</v>
      </c>
      <c r="C29" s="43">
        <f>Entrate_Uscite!E55</f>
        <v>410396330.83999997</v>
      </c>
      <c r="D29" s="43">
        <f>Entrate_Uscite!H55</f>
        <v>398677507.06</v>
      </c>
      <c r="E29" s="43">
        <f>Entrate_Uscite!K55</f>
        <v>417284406.40999997</v>
      </c>
      <c r="F29" s="43">
        <f>Entrate_Uscite!L55</f>
        <v>371630482.69</v>
      </c>
      <c r="G29" s="43"/>
      <c r="H29" s="44">
        <f t="shared" si="1"/>
        <v>-10.940721248793324</v>
      </c>
      <c r="I29" s="43">
        <f>Entrate_Uscite!O55</f>
        <v>385252621.17000002</v>
      </c>
      <c r="J29" s="45">
        <f t="shared" si="2"/>
        <v>103.66550622580739</v>
      </c>
    </row>
    <row r="30" spans="1:10">
      <c r="A30" s="47" t="s">
        <v>68</v>
      </c>
      <c r="B30" s="48">
        <f>B10+B15+B20+B27+B28+B29</f>
        <v>5351634809.1199999</v>
      </c>
      <c r="C30" s="48">
        <f>C10+C15+C20+C27+C28+C29</f>
        <v>6265290819.1800003</v>
      </c>
      <c r="D30" s="48">
        <f>D10+D15+D20+D27+D28+D29</f>
        <v>5963628273.9100008</v>
      </c>
      <c r="E30" s="48">
        <f>E10+E15+E20+E27+E28+E29</f>
        <v>6431734740.6899996</v>
      </c>
      <c r="F30" s="48">
        <f>F10+F15+F20+F27+F28+F29</f>
        <v>5999353323.04</v>
      </c>
      <c r="G30" s="48"/>
      <c r="H30" s="49">
        <f t="shared" si="1"/>
        <v>-6.7226251560805679</v>
      </c>
      <c r="I30" s="48">
        <f>I10+I15+I20+I27+I28+I29</f>
        <v>5171499105.289999</v>
      </c>
      <c r="J30" s="50">
        <f t="shared" si="2"/>
        <v>86.20094244873529</v>
      </c>
    </row>
    <row r="31" spans="1:10">
      <c r="A31" s="38" t="s">
        <v>69</v>
      </c>
      <c r="B31" s="51">
        <f>B30-B29</f>
        <v>4953603072.4499998</v>
      </c>
      <c r="C31" s="51">
        <f>C30-C29</f>
        <v>5854894488.3400002</v>
      </c>
      <c r="D31" s="51">
        <f>D30-D29</f>
        <v>5564950766.8500004</v>
      </c>
      <c r="E31" s="51">
        <f>E30-E29</f>
        <v>6014450334.2799997</v>
      </c>
      <c r="F31" s="51">
        <f>F30-F29</f>
        <v>5627722840.3500004</v>
      </c>
      <c r="G31" s="51">
        <f t="shared" si="0"/>
        <v>100</v>
      </c>
      <c r="H31" s="52">
        <f t="shared" si="1"/>
        <v>-6.4299723571712804</v>
      </c>
      <c r="I31" s="51">
        <f>I30-I29</f>
        <v>4786246484.1199989</v>
      </c>
      <c r="J31" s="53">
        <f t="shared" si="2"/>
        <v>85.047658171850046</v>
      </c>
    </row>
    <row r="32" spans="1:10">
      <c r="I32" s="6"/>
    </row>
    <row r="33" spans="9:9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F11" sqref="F11"/>
    </sheetView>
  </sheetViews>
  <sheetFormatPr defaultRowHeight="15"/>
  <cols>
    <col min="1" max="1" width="50.7109375" bestFit="1" customWidth="1"/>
    <col min="2" max="2" width="13.28515625" bestFit="1" customWidth="1"/>
    <col min="3" max="6" width="14" bestFit="1" customWidth="1"/>
    <col min="7" max="7" width="12.28515625" bestFit="1" customWidth="1"/>
    <col min="8" max="8" width="13.28515625" bestFit="1" customWidth="1"/>
  </cols>
  <sheetData>
    <row r="1" spans="1:8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>
      <c r="A2" s="62" t="s">
        <v>296</v>
      </c>
      <c r="B2" s="64">
        <f>Entrate_Uscite!B58</f>
        <v>1456000985.8900003</v>
      </c>
      <c r="C2" s="64">
        <f>Entrate_Uscite!E58</f>
        <v>1339353724.1199999</v>
      </c>
      <c r="D2" s="64">
        <f>Entrate_Uscite!H58</f>
        <v>1015956203.7700005</v>
      </c>
      <c r="E2" s="64">
        <f>Entrate_Uscite!K58</f>
        <v>1065833634.0700006</v>
      </c>
      <c r="F2" s="64">
        <f>Entrate_Uscite!N58</f>
        <v>1057479271.9400005</v>
      </c>
      <c r="G2" s="64">
        <f>F2-E2</f>
        <v>-8354362.1300001144</v>
      </c>
      <c r="H2" s="64">
        <f>Entrate_Uscite!O58</f>
        <v>1212261078.3500004</v>
      </c>
    </row>
    <row r="3" spans="1:8">
      <c r="A3" s="62" t="s">
        <v>71</v>
      </c>
      <c r="B3" s="64">
        <f>Entrate_Uscite!B59</f>
        <v>-847384830.60000002</v>
      </c>
      <c r="C3" s="64">
        <f>Entrate_Uscite!E59</f>
        <v>-1014797120.0600001</v>
      </c>
      <c r="D3" s="64">
        <f>Entrate_Uscite!H59</f>
        <v>-1048726373.2100002</v>
      </c>
      <c r="E3" s="64">
        <f>Entrate_Uscite!K59</f>
        <v>-1104544180.97</v>
      </c>
      <c r="F3" s="64">
        <f>Entrate_Uscite!N59</f>
        <v>-1019171443.6600002</v>
      </c>
      <c r="G3" s="64">
        <f t="shared" ref="G3:G6" si="0">F3-E3</f>
        <v>85372737.309999824</v>
      </c>
      <c r="H3" s="64">
        <f>Entrate_Uscite!O59</f>
        <v>-762276125.98000002</v>
      </c>
    </row>
    <row r="4" spans="1:8">
      <c r="A4" s="62" t="s">
        <v>299</v>
      </c>
      <c r="B4" s="65">
        <f>Entrate_Uscite!B16-Entrate_Uscite!B52</f>
        <v>-103601381.72</v>
      </c>
      <c r="C4" s="65">
        <f>Entrate_Uscite!E16-Entrate_Uscite!E52</f>
        <v>-307132337.09000003</v>
      </c>
      <c r="D4" s="65">
        <f>Entrate_Uscite!H16-Entrate_Uscite!H52</f>
        <v>334393970.63999999</v>
      </c>
      <c r="E4" s="65">
        <f>Entrate_Uscite!K16-Entrate_Uscite!K52</f>
        <v>-73074204.839999974</v>
      </c>
      <c r="F4" s="65">
        <f>Entrate_Uscite!N16-Entrate_Uscite!N52</f>
        <v>40329618.43</v>
      </c>
      <c r="G4" s="64">
        <f t="shared" si="0"/>
        <v>113403823.26999998</v>
      </c>
      <c r="H4" s="65">
        <f>Entrate_Uscite!O16-Entrate_Uscite!O52</f>
        <v>56881444.490000002</v>
      </c>
    </row>
    <row r="5" spans="1:8">
      <c r="A5" s="47" t="s">
        <v>297</v>
      </c>
      <c r="B5" s="66">
        <f>Entrate_Uscite!B60</f>
        <v>505014773.56999969</v>
      </c>
      <c r="C5" s="66">
        <f>Entrate_Uscite!E60</f>
        <v>17424266.969999313</v>
      </c>
      <c r="D5" s="66">
        <f>Entrate_Uscite!H60</f>
        <v>301623801.19999981</v>
      </c>
      <c r="E5" s="66">
        <f>Entrate_Uscite!K60</f>
        <v>-111784751.73999977</v>
      </c>
      <c r="F5" s="66">
        <f>Entrate_Uscite!N60</f>
        <v>78637446.710000992</v>
      </c>
      <c r="G5" s="66">
        <f t="shared" si="0"/>
        <v>190422198.45000076</v>
      </c>
      <c r="H5" s="66">
        <f>Entrate_Uscite!O60</f>
        <v>506866396.86000061</v>
      </c>
    </row>
    <row r="6" spans="1:8">
      <c r="A6" s="38" t="s">
        <v>298</v>
      </c>
      <c r="B6" s="67">
        <f>Entrate_Uscite!B61</f>
        <v>577629222.35000038</v>
      </c>
      <c r="C6" s="67">
        <f>Entrate_Uscite!E61</f>
        <v>-5932267.3300008774</v>
      </c>
      <c r="D6" s="67">
        <f>Entrate_Uscite!H61</f>
        <v>302002879.28999996</v>
      </c>
      <c r="E6" s="67">
        <f>Entrate_Uscite!K61</f>
        <v>-81069685.800000191</v>
      </c>
      <c r="F6" s="67">
        <f>Entrate_Uscite!N61</f>
        <v>54572795.090001106</v>
      </c>
      <c r="G6" s="67">
        <f t="shared" si="0"/>
        <v>135642480.8900013</v>
      </c>
      <c r="H6" s="67">
        <f>Entrate_Uscite!O61</f>
        <v>482801745.24000072</v>
      </c>
    </row>
    <row r="7" spans="1:8">
      <c r="G7" s="6"/>
    </row>
    <row r="8" spans="1:8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showGridLines="0" workbookViewId="0">
      <selection activeCell="E20" sqref="E20:E21"/>
    </sheetView>
  </sheetViews>
  <sheetFormatPr defaultRowHeight="15"/>
  <cols>
    <col min="1" max="1" width="36.42578125" bestFit="1" customWidth="1"/>
    <col min="2" max="6" width="13.5703125" bestFit="1" customWidth="1"/>
    <col min="7" max="7" width="12.7109375" bestFit="1" customWidth="1"/>
    <col min="8" max="8" width="13.5703125" bestFit="1" customWidth="1"/>
    <col min="9" max="9" width="10" bestFit="1" customWidth="1"/>
  </cols>
  <sheetData>
    <row r="1" spans="1:8">
      <c r="A1" s="41"/>
      <c r="B1" s="96">
        <v>2016</v>
      </c>
      <c r="C1" s="96">
        <v>2017</v>
      </c>
      <c r="D1" s="69">
        <v>2018</v>
      </c>
      <c r="E1" s="69">
        <v>2019</v>
      </c>
      <c r="F1" s="69">
        <v>2020</v>
      </c>
    </row>
    <row r="2" spans="1:8">
      <c r="A2" t="s">
        <v>5</v>
      </c>
      <c r="B2" s="1">
        <v>913070743.19000006</v>
      </c>
      <c r="C2" s="1">
        <v>1370151950.8299999</v>
      </c>
      <c r="D2" s="1">
        <v>1401147233.78</v>
      </c>
      <c r="E2" s="1">
        <v>1635525750.01</v>
      </c>
      <c r="F2" s="1">
        <v>1966077784.02</v>
      </c>
    </row>
    <row r="3" spans="1:8">
      <c r="A3" t="s">
        <v>6</v>
      </c>
      <c r="B3" s="1">
        <v>1928427564.24</v>
      </c>
      <c r="C3" s="1">
        <v>1976501514.9400001</v>
      </c>
      <c r="D3" s="1">
        <v>1752385331.3099999</v>
      </c>
      <c r="E3" s="1">
        <v>1610221365.3800001</v>
      </c>
      <c r="F3" s="1">
        <v>1637317182.4000001</v>
      </c>
    </row>
    <row r="4" spans="1:8">
      <c r="A4" t="s">
        <v>7</v>
      </c>
      <c r="B4" s="1">
        <v>1297888737.6099999</v>
      </c>
      <c r="C4" s="1">
        <v>1821505519.73</v>
      </c>
      <c r="D4" s="1">
        <v>1324272758.8099999</v>
      </c>
      <c r="E4" s="1">
        <v>1503120998.8299999</v>
      </c>
      <c r="F4" s="1">
        <v>1782962329.1500001</v>
      </c>
    </row>
    <row r="5" spans="1:8">
      <c r="A5" t="s">
        <v>8</v>
      </c>
      <c r="B5" s="1">
        <v>241267647.38</v>
      </c>
      <c r="C5" s="1">
        <v>169975798.97999999</v>
      </c>
      <c r="D5" s="1">
        <v>187075855.94999999</v>
      </c>
      <c r="E5" s="1">
        <v>192537729.11000001</v>
      </c>
      <c r="F5" s="1">
        <v>245887555.63999999</v>
      </c>
    </row>
    <row r="6" spans="1:8">
      <c r="A6" t="s">
        <v>355</v>
      </c>
      <c r="B6" s="1">
        <v>1026598078.5</v>
      </c>
      <c r="C6" s="1">
        <v>987521227.85000002</v>
      </c>
      <c r="D6" s="1">
        <v>1032559005.24</v>
      </c>
      <c r="E6" s="1">
        <v>934439346.76999998</v>
      </c>
      <c r="F6" s="1">
        <v>830690446.72000003</v>
      </c>
    </row>
    <row r="7" spans="1:8">
      <c r="A7" s="4" t="s">
        <v>0</v>
      </c>
      <c r="B7" s="3">
        <f t="shared" ref="B7:C7" si="0">B2+B3-B4-B5-B6</f>
        <v>275743843.94000053</v>
      </c>
      <c r="C7" s="3">
        <f t="shared" si="0"/>
        <v>367650919.20999992</v>
      </c>
      <c r="D7" s="3">
        <f>D2+D3-D4-D5-D6</f>
        <v>609624945.09000015</v>
      </c>
      <c r="E7" s="3">
        <f>E2+E3-E4-E5-E6</f>
        <v>615649040.68000031</v>
      </c>
      <c r="F7" s="3">
        <f>F2+F3-F4-F5-F6</f>
        <v>743854634.91000009</v>
      </c>
    </row>
    <row r="8" spans="1:8">
      <c r="A8" t="s">
        <v>9</v>
      </c>
      <c r="B8" s="1">
        <v>55868330.210000001</v>
      </c>
      <c r="C8" s="1">
        <v>61175575.210000001</v>
      </c>
      <c r="D8" s="1">
        <v>91391763.480000004</v>
      </c>
      <c r="E8" s="1">
        <v>61793107.439999998</v>
      </c>
      <c r="F8" s="1">
        <v>79756972.040000007</v>
      </c>
    </row>
    <row r="9" spans="1:8">
      <c r="A9" t="s">
        <v>349</v>
      </c>
      <c r="B9" s="1">
        <v>21931722.329999998</v>
      </c>
      <c r="C9" s="1">
        <v>51497101.939999998</v>
      </c>
      <c r="D9" s="1">
        <v>52096257.049999997</v>
      </c>
      <c r="E9" s="1">
        <v>34887472.039999999</v>
      </c>
      <c r="F9" s="1">
        <v>0</v>
      </c>
    </row>
    <row r="10" spans="1:8">
      <c r="A10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8">
      <c r="A11" t="s">
        <v>11</v>
      </c>
      <c r="B11" s="1">
        <v>454372.08</v>
      </c>
      <c r="C11" s="1">
        <v>1208276.27</v>
      </c>
      <c r="D11" s="1">
        <v>13850650</v>
      </c>
      <c r="E11" s="1">
        <v>21595847.210000001</v>
      </c>
      <c r="F11" s="1">
        <v>86540877.400000006</v>
      </c>
    </row>
    <row r="12" spans="1:8">
      <c r="A12" t="s">
        <v>12</v>
      </c>
      <c r="B12" s="1">
        <v>264474.59999999998</v>
      </c>
      <c r="C12" s="1">
        <v>131380.51999999999</v>
      </c>
      <c r="D12" s="1">
        <v>7629853.6600000001</v>
      </c>
      <c r="E12" s="1">
        <v>407977.1</v>
      </c>
      <c r="F12" s="1">
        <v>6347183.4699999997</v>
      </c>
    </row>
    <row r="13" spans="1:8">
      <c r="A13" t="s">
        <v>13</v>
      </c>
      <c r="B13" s="1">
        <v>101756454.52</v>
      </c>
      <c r="C13" s="1">
        <v>0</v>
      </c>
      <c r="D13" s="1">
        <v>0</v>
      </c>
      <c r="E13" s="1">
        <v>0</v>
      </c>
      <c r="F13" s="1">
        <v>138395945.30000001</v>
      </c>
    </row>
    <row r="14" spans="1:8">
      <c r="A14" s="4" t="s">
        <v>1</v>
      </c>
      <c r="B14" s="3">
        <f t="shared" ref="B14:C14" si="1">SUM(B8:B13)</f>
        <v>180275353.73999998</v>
      </c>
      <c r="C14" s="3">
        <f t="shared" si="1"/>
        <v>114012333.94</v>
      </c>
      <c r="D14" s="3">
        <f>SUM(D8:D13)</f>
        <v>164968524.19</v>
      </c>
      <c r="E14" s="3">
        <f>SUM(E8:E13)</f>
        <v>118684403.78999999</v>
      </c>
      <c r="F14" s="3">
        <f>SUM(F8:F13)</f>
        <v>311040978.21000004</v>
      </c>
      <c r="G14" s="98"/>
      <c r="H14" s="98"/>
    </row>
    <row r="15" spans="1:8">
      <c r="A1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8">
      <c r="A16" t="s">
        <v>14</v>
      </c>
      <c r="B16" s="1">
        <v>0</v>
      </c>
      <c r="C16" s="1">
        <v>0</v>
      </c>
      <c r="D16" s="1">
        <v>11324210.699999999</v>
      </c>
      <c r="E16" s="1">
        <v>23498447.93</v>
      </c>
      <c r="F16" s="1">
        <v>52138083.960000001</v>
      </c>
    </row>
    <row r="17" spans="1:6">
      <c r="A17" t="s">
        <v>16</v>
      </c>
      <c r="B17" s="1">
        <v>0</v>
      </c>
      <c r="C17" s="1">
        <v>0</v>
      </c>
      <c r="D17" s="1">
        <v>5170435.7699999996</v>
      </c>
      <c r="E17" s="1">
        <v>3270199.59</v>
      </c>
      <c r="F17" s="1">
        <v>0</v>
      </c>
    </row>
    <row r="18" spans="1:6">
      <c r="A18" t="s">
        <v>17</v>
      </c>
      <c r="B18" s="1">
        <v>7668311.7400000002</v>
      </c>
      <c r="C18" s="1">
        <v>8892304.7300000004</v>
      </c>
      <c r="D18" s="1">
        <v>0</v>
      </c>
      <c r="E18" s="1">
        <v>0</v>
      </c>
      <c r="F18" s="1">
        <v>0</v>
      </c>
    </row>
    <row r="19" spans="1:6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>
      <c r="A20" s="4" t="s">
        <v>2</v>
      </c>
      <c r="B20" s="3">
        <f t="shared" ref="B20:C20" si="2">SUM(B15:B19)</f>
        <v>7668311.7400000002</v>
      </c>
      <c r="C20" s="3">
        <f t="shared" si="2"/>
        <v>8892304.7300000004</v>
      </c>
      <c r="D20" s="3">
        <f>SUM(D15:D19)</f>
        <v>16494646.469999999</v>
      </c>
      <c r="E20" s="3">
        <f>SUM(E15:E19)</f>
        <v>26768647.52</v>
      </c>
      <c r="F20" s="3">
        <f>SUM(F15:F19)</f>
        <v>52138083.960000001</v>
      </c>
    </row>
    <row r="21" spans="1:6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>
      <c r="A22" s="70" t="s">
        <v>4</v>
      </c>
      <c r="B22" s="37">
        <f t="shared" ref="B22" si="3">B7-B14-B20-B21</f>
        <v>87800178.46000056</v>
      </c>
      <c r="C22" s="37">
        <f>C7-C14-C20-C21</f>
        <v>244746280.53999993</v>
      </c>
      <c r="D22" s="37">
        <f>D7-D14-D20-D21</f>
        <v>428161774.43000019</v>
      </c>
      <c r="E22" s="37">
        <f>E7-E14-E20-E21</f>
        <v>470195989.37000036</v>
      </c>
      <c r="F22" s="37">
        <f>F7-F14-F20-F21</f>
        <v>380675572.74000007</v>
      </c>
    </row>
    <row r="23" spans="1:6">
      <c r="A23" t="s">
        <v>366</v>
      </c>
      <c r="B23" s="1">
        <v>-577577787.54999995</v>
      </c>
      <c r="C23" s="1">
        <v>-14653987.08</v>
      </c>
      <c r="D23" s="1">
        <v>-70609742.030000001</v>
      </c>
      <c r="E23" s="1">
        <v>-18919499.41</v>
      </c>
      <c r="F23" s="1">
        <v>-4000880.78</v>
      </c>
    </row>
    <row r="24" spans="1:6">
      <c r="A24" t="s">
        <v>365</v>
      </c>
      <c r="B24" s="6">
        <f t="shared" ref="B24:D24" si="4">B8/B3*100</f>
        <v>2.8970924936979889</v>
      </c>
      <c r="C24" s="6">
        <f t="shared" si="4"/>
        <v>3.0951443622777637</v>
      </c>
      <c r="D24" s="6">
        <f t="shared" si="4"/>
        <v>5.2152778185879853</v>
      </c>
      <c r="E24" s="6">
        <f t="shared" ref="E24:F24" si="5">E8/E3*100</f>
        <v>3.8375535667679634</v>
      </c>
      <c r="F24" s="6">
        <f t="shared" si="5"/>
        <v>4.8711986228038748</v>
      </c>
    </row>
    <row r="25" spans="1:6">
      <c r="A25" t="s">
        <v>356</v>
      </c>
    </row>
    <row r="52" spans="1:6">
      <c r="A52" t="s">
        <v>13</v>
      </c>
      <c r="B52" s="1">
        <f t="shared" ref="B52:D52" si="6">SUM(B11:B13)</f>
        <v>102475301.2</v>
      </c>
      <c r="C52" s="1">
        <f t="shared" si="6"/>
        <v>1339656.79</v>
      </c>
      <c r="D52" s="1">
        <f t="shared" si="6"/>
        <v>21480503.66</v>
      </c>
      <c r="E52" s="1">
        <f t="shared" ref="E52:F52" si="7">SUM(E11:E13)</f>
        <v>22003824.310000002</v>
      </c>
      <c r="F52" s="1">
        <f t="shared" si="7"/>
        <v>231284006.17000002</v>
      </c>
    </row>
  </sheetData>
  <conditionalFormatting sqref="B22:F22">
    <cfRule type="cellIs" dxfId="28" priority="15" operator="greaterThan">
      <formula>0</formula>
    </cfRule>
  </conditionalFormatting>
  <conditionalFormatting sqref="B22:F22">
    <cfRule type="cellIs" dxfId="27" priority="12" operator="greaterThan">
      <formula>0</formula>
    </cfRule>
    <cfRule type="cellIs" dxfId="26" priority="13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K34" sqref="K34"/>
    </sheetView>
  </sheetViews>
  <sheetFormatPr defaultRowHeight="15"/>
  <cols>
    <col min="1" max="1" width="65.28515625" bestFit="1" customWidth="1"/>
    <col min="2" max="2" width="3.42578125" bestFit="1" customWidth="1"/>
    <col min="3" max="3" width="15.42578125" bestFit="1" customWidth="1"/>
    <col min="4" max="6" width="15.5703125" customWidth="1"/>
    <col min="7" max="7" width="12.28515625" bestFit="1" customWidth="1"/>
  </cols>
  <sheetData>
    <row r="1" spans="1:7">
      <c r="C1" s="12">
        <v>2017</v>
      </c>
      <c r="D1" s="12">
        <v>2018</v>
      </c>
      <c r="E1" s="12">
        <v>2019</v>
      </c>
      <c r="F1" s="12">
        <v>2020</v>
      </c>
      <c r="G1" s="12" t="s">
        <v>264</v>
      </c>
    </row>
    <row r="2" spans="1:7">
      <c r="A2" t="s">
        <v>234</v>
      </c>
      <c r="B2" s="26" t="s">
        <v>258</v>
      </c>
      <c r="C2" s="1">
        <v>4895857795.5600004</v>
      </c>
      <c r="D2" s="1">
        <v>4650212637.5500002</v>
      </c>
      <c r="E2" s="1">
        <v>4725096177.8900003</v>
      </c>
      <c r="F2" s="1">
        <v>4557485222.2700005</v>
      </c>
      <c r="G2" s="1">
        <f t="shared" ref="G2:G28" si="0">F2-E2</f>
        <v>-167610955.61999989</v>
      </c>
    </row>
    <row r="3" spans="1:7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f t="shared" si="0"/>
        <v>0</v>
      </c>
    </row>
    <row r="4" spans="1:7">
      <c r="A4" t="s">
        <v>236</v>
      </c>
      <c r="B4" s="26" t="s">
        <v>258</v>
      </c>
      <c r="C4" s="1">
        <v>448684845.77999997</v>
      </c>
      <c r="D4" s="1">
        <v>486392585.75999999</v>
      </c>
      <c r="E4" s="1">
        <v>598074590.62</v>
      </c>
      <c r="F4" s="1">
        <v>801606050.62</v>
      </c>
      <c r="G4" s="1">
        <f t="shared" si="0"/>
        <v>203531460</v>
      </c>
    </row>
    <row r="5" spans="1:7">
      <c r="A5" t="s">
        <v>237</v>
      </c>
      <c r="B5" s="26" t="s">
        <v>258</v>
      </c>
      <c r="C5" s="1">
        <v>71464189.120000005</v>
      </c>
      <c r="D5" s="1">
        <v>75871012.609999999</v>
      </c>
      <c r="E5" s="1">
        <v>79121141.670000002</v>
      </c>
      <c r="F5" s="1">
        <v>86007099.079999998</v>
      </c>
      <c r="G5" s="1">
        <f t="shared" si="0"/>
        <v>6885957.4099999964</v>
      </c>
    </row>
    <row r="6" spans="1:7">
      <c r="A6" t="s">
        <v>238</v>
      </c>
      <c r="B6" s="26" t="s">
        <v>258</v>
      </c>
      <c r="C6" s="1"/>
      <c r="D6" s="1"/>
      <c r="E6" s="1"/>
      <c r="F6" s="1"/>
      <c r="G6" s="1">
        <f t="shared" si="0"/>
        <v>0</v>
      </c>
    </row>
    <row r="7" spans="1:7">
      <c r="A7" t="s">
        <v>239</v>
      </c>
      <c r="B7" s="26" t="s">
        <v>258</v>
      </c>
      <c r="C7" s="1"/>
      <c r="D7" s="1"/>
      <c r="E7" s="1"/>
      <c r="F7" s="1"/>
      <c r="G7" s="1">
        <f t="shared" si="0"/>
        <v>0</v>
      </c>
    </row>
    <row r="8" spans="1:7">
      <c r="A8" t="s">
        <v>240</v>
      </c>
      <c r="B8" s="26" t="s">
        <v>258</v>
      </c>
      <c r="C8" s="1">
        <v>30161423.120000001</v>
      </c>
      <c r="D8" s="1"/>
      <c r="E8" s="1"/>
      <c r="F8" s="1"/>
      <c r="G8" s="1">
        <f t="shared" si="0"/>
        <v>0</v>
      </c>
    </row>
    <row r="9" spans="1:7">
      <c r="A9" s="32" t="s">
        <v>241</v>
      </c>
      <c r="B9" s="33" t="s">
        <v>258</v>
      </c>
      <c r="C9" s="34">
        <v>136746342.87</v>
      </c>
      <c r="D9" s="34">
        <v>148013721.61000001</v>
      </c>
      <c r="E9" s="34">
        <v>142335643.77000001</v>
      </c>
      <c r="F9" s="34">
        <v>109091935.52</v>
      </c>
      <c r="G9" s="1">
        <f t="shared" si="0"/>
        <v>-33243708.250000015</v>
      </c>
    </row>
    <row r="10" spans="1:7">
      <c r="A10" s="35" t="s">
        <v>262</v>
      </c>
      <c r="B10" s="36" t="s">
        <v>258</v>
      </c>
      <c r="C10" s="94">
        <f t="shared" ref="C10:D10" si="1">SUM(C2:C9)</f>
        <v>5582914596.4499998</v>
      </c>
      <c r="D10" s="94">
        <f t="shared" si="1"/>
        <v>5360489957.5299997</v>
      </c>
      <c r="E10" s="94">
        <f t="shared" ref="E10:F10" si="2">SUM(E2:E9)</f>
        <v>5544627553.9500008</v>
      </c>
      <c r="F10" s="94">
        <f t="shared" si="2"/>
        <v>5554190307.4900007</v>
      </c>
      <c r="G10" s="11">
        <f t="shared" si="0"/>
        <v>9562753.5399999619</v>
      </c>
    </row>
    <row r="11" spans="1:7">
      <c r="A11" t="s">
        <v>242</v>
      </c>
      <c r="B11" s="26" t="s">
        <v>259</v>
      </c>
      <c r="C11" s="1">
        <v>17768759.780000001</v>
      </c>
      <c r="D11" s="1">
        <v>20723615.16</v>
      </c>
      <c r="E11" s="1">
        <v>18197502.350000001</v>
      </c>
      <c r="F11" s="1">
        <v>19311650.809999999</v>
      </c>
      <c r="G11" s="1">
        <f t="shared" si="0"/>
        <v>1114148.4599999972</v>
      </c>
    </row>
    <row r="12" spans="1:7">
      <c r="A12" t="s">
        <v>243</v>
      </c>
      <c r="B12" s="26" t="s">
        <v>259</v>
      </c>
      <c r="C12" s="1">
        <v>260104620.68000001</v>
      </c>
      <c r="D12" s="1">
        <v>278605578.56999999</v>
      </c>
      <c r="E12" s="1">
        <v>249972907.91999999</v>
      </c>
      <c r="F12" s="1">
        <v>278354141.62</v>
      </c>
      <c r="G12" s="1">
        <f t="shared" si="0"/>
        <v>28381233.700000018</v>
      </c>
    </row>
    <row r="13" spans="1:7">
      <c r="A13" t="s">
        <v>244</v>
      </c>
      <c r="B13" s="26" t="s">
        <v>259</v>
      </c>
      <c r="C13" s="1">
        <v>9798287.6999999993</v>
      </c>
      <c r="D13" s="1">
        <v>10114130.289999999</v>
      </c>
      <c r="E13" s="1">
        <v>9589864.0600000005</v>
      </c>
      <c r="F13" s="1">
        <v>8110211.4500000002</v>
      </c>
      <c r="G13" s="1">
        <f t="shared" si="0"/>
        <v>-1479652.6100000003</v>
      </c>
    </row>
    <row r="14" spans="1:7">
      <c r="A14" t="s">
        <v>245</v>
      </c>
      <c r="B14" s="26" t="s">
        <v>259</v>
      </c>
      <c r="C14" s="1">
        <v>4005754957.29</v>
      </c>
      <c r="D14" s="1">
        <v>3752514307.25</v>
      </c>
      <c r="E14" s="1">
        <v>3899742803.77</v>
      </c>
      <c r="F14" s="1">
        <v>3929458643.6500001</v>
      </c>
      <c r="G14" s="1">
        <f t="shared" si="0"/>
        <v>29715839.880000114</v>
      </c>
    </row>
    <row r="15" spans="1:7">
      <c r="A15" t="s">
        <v>246</v>
      </c>
      <c r="B15" s="26" t="s">
        <v>259</v>
      </c>
      <c r="C15" s="1">
        <v>1019435382.46</v>
      </c>
      <c r="D15" s="1">
        <v>984759198.54999995</v>
      </c>
      <c r="E15" s="1">
        <v>1034316885.45</v>
      </c>
      <c r="F15" s="1">
        <v>1021527249.88</v>
      </c>
      <c r="G15" s="1">
        <f t="shared" si="0"/>
        <v>-12789635.570000052</v>
      </c>
    </row>
    <row r="16" spans="1:7">
      <c r="A16" t="s">
        <v>247</v>
      </c>
      <c r="B16" s="26" t="s">
        <v>259</v>
      </c>
      <c r="C16" s="1">
        <v>74569129.420000002</v>
      </c>
      <c r="D16" s="1">
        <v>124367819.59999999</v>
      </c>
      <c r="E16" s="1">
        <v>67178770.579999998</v>
      </c>
      <c r="F16" s="1">
        <v>84806909.689999998</v>
      </c>
      <c r="G16" s="1">
        <f t="shared" si="0"/>
        <v>17628139.109999999</v>
      </c>
    </row>
    <row r="17" spans="1:7">
      <c r="A17" t="s">
        <v>248</v>
      </c>
      <c r="B17" s="26" t="s">
        <v>259</v>
      </c>
      <c r="C17" s="1">
        <v>90908.4</v>
      </c>
      <c r="D17" s="1">
        <v>-1038019.53</v>
      </c>
      <c r="E17" s="1">
        <v>91209.24</v>
      </c>
      <c r="F17" s="1">
        <v>519929.76</v>
      </c>
      <c r="G17" s="1">
        <f t="shared" si="0"/>
        <v>428720.52</v>
      </c>
    </row>
    <row r="18" spans="1:7">
      <c r="A18" t="s">
        <v>249</v>
      </c>
      <c r="B18" s="26" t="s">
        <v>259</v>
      </c>
      <c r="C18" s="1">
        <v>0</v>
      </c>
      <c r="D18" s="1">
        <v>12642373.73</v>
      </c>
      <c r="E18" s="1">
        <v>7745197.21</v>
      </c>
      <c r="F18" s="1">
        <v>203340975.49000001</v>
      </c>
      <c r="G18" s="1">
        <f t="shared" si="0"/>
        <v>195595778.28</v>
      </c>
    </row>
    <row r="19" spans="1:7">
      <c r="A19" t="s">
        <v>13</v>
      </c>
      <c r="B19" s="26" t="s">
        <v>259</v>
      </c>
      <c r="C19" s="1">
        <v>5693891.79</v>
      </c>
      <c r="D19" s="1">
        <v>6569327.46</v>
      </c>
      <c r="E19" s="1">
        <v>5751887.5999999996</v>
      </c>
      <c r="F19" s="1">
        <v>0</v>
      </c>
      <c r="G19" s="1">
        <f t="shared" si="0"/>
        <v>-5751887.5999999996</v>
      </c>
    </row>
    <row r="20" spans="1:7">
      <c r="A20" s="32" t="s">
        <v>250</v>
      </c>
      <c r="B20" s="33" t="s">
        <v>259</v>
      </c>
      <c r="C20" s="34">
        <v>54255701.240000002</v>
      </c>
      <c r="D20" s="1">
        <v>60497818.079999998</v>
      </c>
      <c r="E20" s="1">
        <v>58044526.530000001</v>
      </c>
      <c r="F20" s="1">
        <v>18517087.75</v>
      </c>
      <c r="G20" s="1">
        <f t="shared" si="0"/>
        <v>-39527438.780000001</v>
      </c>
    </row>
    <row r="21" spans="1:7">
      <c r="A21" s="35" t="s">
        <v>263</v>
      </c>
      <c r="B21" s="36" t="s">
        <v>259</v>
      </c>
      <c r="C21" s="94">
        <f t="shared" ref="C21:D21" si="3">SUM(C11:C20)</f>
        <v>5447471638.7599993</v>
      </c>
      <c r="D21" s="94">
        <f t="shared" si="3"/>
        <v>5249756149.1599998</v>
      </c>
      <c r="E21" s="94">
        <f t="shared" ref="E21:F21" si="4">SUM(E11:E20)</f>
        <v>5350631554.71</v>
      </c>
      <c r="F21" s="94">
        <f t="shared" si="4"/>
        <v>5563946800.0999994</v>
      </c>
      <c r="G21" s="11">
        <f t="shared" si="0"/>
        <v>213315245.38999939</v>
      </c>
    </row>
    <row r="22" spans="1:7">
      <c r="A22" t="s">
        <v>251</v>
      </c>
      <c r="B22" s="26" t="s">
        <v>258</v>
      </c>
      <c r="C22" s="1">
        <v>24007926.140000001</v>
      </c>
      <c r="D22" s="1">
        <v>24999927.960000001</v>
      </c>
      <c r="E22" s="1">
        <v>15419232.060000001</v>
      </c>
      <c r="F22" s="1">
        <v>20794121.670000002</v>
      </c>
      <c r="G22" s="1">
        <f t="shared" si="0"/>
        <v>5374889.6100000013</v>
      </c>
    </row>
    <row r="23" spans="1:7">
      <c r="A23" t="s">
        <v>252</v>
      </c>
      <c r="B23" s="26" t="s">
        <v>259</v>
      </c>
      <c r="C23" s="1">
        <v>1578603.4</v>
      </c>
      <c r="D23" s="1">
        <v>1301776.1299999999</v>
      </c>
      <c r="E23" s="1">
        <v>1213017.1000000001</v>
      </c>
      <c r="F23" s="1">
        <v>911311.72</v>
      </c>
      <c r="G23" s="1">
        <f t="shared" si="0"/>
        <v>-301705.38000000012</v>
      </c>
    </row>
    <row r="24" spans="1:7">
      <c r="A24" t="s">
        <v>253</v>
      </c>
      <c r="B24" s="26" t="s">
        <v>258</v>
      </c>
      <c r="C24" s="1">
        <v>-1075164.96</v>
      </c>
      <c r="D24" s="1">
        <v>-986626.29</v>
      </c>
      <c r="E24" s="1">
        <v>-2714905.13</v>
      </c>
      <c r="F24" s="1">
        <v>42366042.140000001</v>
      </c>
      <c r="G24" s="1">
        <f t="shared" si="0"/>
        <v>45080947.270000003</v>
      </c>
    </row>
    <row r="25" spans="1:7">
      <c r="A25" t="s">
        <v>254</v>
      </c>
      <c r="B25" s="26" t="s">
        <v>258</v>
      </c>
      <c r="C25" s="1">
        <v>189668853.59</v>
      </c>
      <c r="D25" s="1">
        <v>137622377.38</v>
      </c>
      <c r="E25" s="1">
        <v>148624727.66</v>
      </c>
      <c r="F25" s="1">
        <v>76992375.209999993</v>
      </c>
      <c r="G25" s="1">
        <f t="shared" si="0"/>
        <v>-71632352.450000003</v>
      </c>
    </row>
    <row r="26" spans="1:7">
      <c r="A26" t="s">
        <v>255</v>
      </c>
      <c r="B26" s="26" t="s">
        <v>259</v>
      </c>
      <c r="C26" s="1">
        <v>173841704.31999999</v>
      </c>
      <c r="D26" s="1">
        <v>36325087.670000002</v>
      </c>
      <c r="E26" s="1">
        <v>121007980.95999999</v>
      </c>
      <c r="F26" s="1">
        <v>18603315.300000001</v>
      </c>
      <c r="G26" s="1">
        <f t="shared" si="0"/>
        <v>-102404665.66</v>
      </c>
    </row>
    <row r="27" spans="1:7">
      <c r="A27" t="s">
        <v>256</v>
      </c>
      <c r="B27" s="26" t="s">
        <v>259</v>
      </c>
      <c r="C27" s="1">
        <v>62118833.479999997</v>
      </c>
      <c r="D27" s="1">
        <v>62765290.909999996</v>
      </c>
      <c r="E27" s="1">
        <v>66993106.119999997</v>
      </c>
      <c r="F27" s="1">
        <v>61501325.590000004</v>
      </c>
      <c r="G27" s="1">
        <f t="shared" si="0"/>
        <v>-5491780.5299999937</v>
      </c>
    </row>
    <row r="28" spans="1:7">
      <c r="A28" s="10" t="s">
        <v>257</v>
      </c>
      <c r="B28" s="36" t="s">
        <v>260</v>
      </c>
      <c r="C28" s="37">
        <f t="shared" ref="C28:D28" si="5">C10-C21+C22-C23+C24+C25-C26-C27</f>
        <v>110505431.26000056</v>
      </c>
      <c r="D28" s="37">
        <f t="shared" si="5"/>
        <v>171977332.70999989</v>
      </c>
      <c r="E28" s="37">
        <f t="shared" ref="E28:F28" si="6">E10-E21+E22-E23+E24+E25-E26-E27</f>
        <v>166110949.65000075</v>
      </c>
      <c r="F28" s="37">
        <f t="shared" si="6"/>
        <v>49380093.800001293</v>
      </c>
      <c r="G28" s="37">
        <f t="shared" si="0"/>
        <v>-116730855.84999946</v>
      </c>
    </row>
  </sheetData>
  <conditionalFormatting sqref="C28:G28">
    <cfRule type="cellIs" dxfId="25" priority="1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showGridLines="0" workbookViewId="0">
      <selection activeCell="F1" sqref="F1:F1048576"/>
    </sheetView>
  </sheetViews>
  <sheetFormatPr defaultRowHeight="15"/>
  <cols>
    <col min="1" max="1" width="50.7109375" bestFit="1" customWidth="1"/>
    <col min="2" max="5" width="14.28515625" bestFit="1" customWidth="1"/>
    <col min="6" max="6" width="12.28515625" bestFit="1" customWidth="1"/>
  </cols>
  <sheetData>
    <row r="1" spans="1:6">
      <c r="A1" s="41"/>
      <c r="B1" s="42">
        <v>2017</v>
      </c>
      <c r="C1" s="42">
        <v>2018</v>
      </c>
      <c r="D1" s="42">
        <v>2019</v>
      </c>
      <c r="E1" s="42">
        <v>2020</v>
      </c>
      <c r="F1" s="42" t="s">
        <v>264</v>
      </c>
    </row>
    <row r="2" spans="1:6">
      <c r="A2" s="71" t="s">
        <v>341</v>
      </c>
      <c r="B2" s="64">
        <f>Conto_economico!C10</f>
        <v>5582914596.4499998</v>
      </c>
      <c r="C2" s="64">
        <f>Conto_economico!D10</f>
        <v>5360489957.5299997</v>
      </c>
      <c r="D2" s="64">
        <f>Conto_economico!E10</f>
        <v>5544627553.9500008</v>
      </c>
      <c r="E2" s="64">
        <f>Conto_economico!F10</f>
        <v>5554190307.4900007</v>
      </c>
      <c r="F2" s="64">
        <f t="shared" ref="F2:F15" si="0">E2-D2</f>
        <v>9562753.5399999619</v>
      </c>
    </row>
    <row r="3" spans="1:6">
      <c r="A3" s="71" t="s">
        <v>336</v>
      </c>
      <c r="B3" s="64">
        <f>Conto_economico!C2</f>
        <v>4895857795.5600004</v>
      </c>
      <c r="C3" s="64">
        <f>Conto_economico!D2</f>
        <v>4650212637.5500002</v>
      </c>
      <c r="D3" s="64">
        <f>Conto_economico!E2</f>
        <v>4725096177.8900003</v>
      </c>
      <c r="E3" s="64">
        <f>Conto_economico!F2</f>
        <v>4557485222.2700005</v>
      </c>
      <c r="F3" s="64">
        <f t="shared" si="0"/>
        <v>-167610955.61999989</v>
      </c>
    </row>
    <row r="4" spans="1:6">
      <c r="A4" s="71" t="s">
        <v>337</v>
      </c>
      <c r="B4" s="64">
        <f>Conto_economico!C4</f>
        <v>448684845.77999997</v>
      </c>
      <c r="C4" s="64">
        <f>Conto_economico!D4</f>
        <v>486392585.75999999</v>
      </c>
      <c r="D4" s="64">
        <f>Conto_economico!E4</f>
        <v>598074590.62</v>
      </c>
      <c r="E4" s="64">
        <f>Conto_economico!F4</f>
        <v>801606050.62</v>
      </c>
      <c r="F4" s="64">
        <f t="shared" si="0"/>
        <v>203531460</v>
      </c>
    </row>
    <row r="5" spans="1:6">
      <c r="A5" s="71" t="s">
        <v>342</v>
      </c>
      <c r="B5" s="65">
        <f>Conto_economico!C21</f>
        <v>5447471638.7599993</v>
      </c>
      <c r="C5" s="65">
        <f>Conto_economico!D21</f>
        <v>5249756149.1599998</v>
      </c>
      <c r="D5" s="65">
        <f>Conto_economico!E21</f>
        <v>5350631554.71</v>
      </c>
      <c r="E5" s="65">
        <f>Conto_economico!F21</f>
        <v>5563946800.0999994</v>
      </c>
      <c r="F5" s="64">
        <f t="shared" si="0"/>
        <v>213315245.38999939</v>
      </c>
    </row>
    <row r="6" spans="1:6">
      <c r="A6" s="71" t="s">
        <v>338</v>
      </c>
      <c r="B6" s="64">
        <f>Conto_economico!C12</f>
        <v>260104620.68000001</v>
      </c>
      <c r="C6" s="64">
        <f>Conto_economico!D12</f>
        <v>278605578.56999999</v>
      </c>
      <c r="D6" s="64">
        <f>Conto_economico!E12</f>
        <v>249972907.91999999</v>
      </c>
      <c r="E6" s="64">
        <f>Conto_economico!F12</f>
        <v>278354141.62</v>
      </c>
      <c r="F6" s="64">
        <f t="shared" si="0"/>
        <v>28381233.700000018</v>
      </c>
    </row>
    <row r="7" spans="1:6">
      <c r="A7" s="71" t="s">
        <v>339</v>
      </c>
      <c r="B7" s="64">
        <f>Conto_economico!C15</f>
        <v>1019435382.46</v>
      </c>
      <c r="C7" s="64">
        <f>Conto_economico!D15</f>
        <v>984759198.54999995</v>
      </c>
      <c r="D7" s="64">
        <f>Conto_economico!E15</f>
        <v>1034316885.45</v>
      </c>
      <c r="E7" s="64">
        <f>Conto_economico!F15</f>
        <v>1021527249.88</v>
      </c>
      <c r="F7" s="64">
        <f t="shared" si="0"/>
        <v>-12789635.570000052</v>
      </c>
    </row>
    <row r="8" spans="1:6">
      <c r="A8" s="71" t="s">
        <v>340</v>
      </c>
      <c r="B8" s="64">
        <f>Conto_economico!C16</f>
        <v>74569129.420000002</v>
      </c>
      <c r="C8" s="64">
        <f>Conto_economico!D16</f>
        <v>124367819.59999999</v>
      </c>
      <c r="D8" s="64">
        <f>Conto_economico!E16</f>
        <v>67178770.579999998</v>
      </c>
      <c r="E8" s="64">
        <f>Conto_economico!F16</f>
        <v>84806909.689999998</v>
      </c>
      <c r="F8" s="64">
        <f t="shared" si="0"/>
        <v>17628139.109999999</v>
      </c>
    </row>
    <row r="9" spans="1:6">
      <c r="A9" s="47" t="s">
        <v>304</v>
      </c>
      <c r="B9" s="66">
        <f t="shared" ref="B9:C9" si="1">B2-B5</f>
        <v>135442957.69000053</v>
      </c>
      <c r="C9" s="66">
        <f t="shared" si="1"/>
        <v>110733808.36999989</v>
      </c>
      <c r="D9" s="66">
        <f t="shared" ref="D9:E9" si="2">D2-D5</f>
        <v>193995999.24000072</v>
      </c>
      <c r="E9" s="66">
        <f t="shared" si="2"/>
        <v>-9756492.609998703</v>
      </c>
      <c r="F9" s="66">
        <f t="shared" si="0"/>
        <v>-203752491.84999943</v>
      </c>
    </row>
    <row r="10" spans="1:6">
      <c r="A10" s="71" t="s">
        <v>305</v>
      </c>
      <c r="B10" s="64">
        <f>Conto_economico!C22-Conto_economico!C23</f>
        <v>22429322.740000002</v>
      </c>
      <c r="C10" s="64">
        <f>Conto_economico!D22-Conto_economico!D23</f>
        <v>23698151.830000002</v>
      </c>
      <c r="D10" s="64">
        <f>Conto_economico!E22-Conto_economico!E23</f>
        <v>14206214.960000001</v>
      </c>
      <c r="E10" s="64">
        <f>Conto_economico!F22-Conto_economico!F23</f>
        <v>19882809.950000003</v>
      </c>
      <c r="F10" s="64">
        <f t="shared" si="0"/>
        <v>5676594.9900000021</v>
      </c>
    </row>
    <row r="11" spans="1:6">
      <c r="A11" s="71" t="s">
        <v>306</v>
      </c>
      <c r="B11" s="65">
        <f>Conto_economico!C25-Conto_economico!C26</f>
        <v>15827149.270000011</v>
      </c>
      <c r="C11" s="65">
        <f>Conto_economico!D25-Conto_economico!D26</f>
        <v>101297289.70999999</v>
      </c>
      <c r="D11" s="65">
        <f>Conto_economico!E25-Conto_economico!E26</f>
        <v>27616746.700000003</v>
      </c>
      <c r="E11" s="65">
        <f>Conto_economico!F25-Conto_economico!F26</f>
        <v>58389059.909999996</v>
      </c>
      <c r="F11" s="64">
        <f t="shared" si="0"/>
        <v>30772313.209999993</v>
      </c>
    </row>
    <row r="12" spans="1:6">
      <c r="A12" s="71" t="s">
        <v>253</v>
      </c>
      <c r="B12" s="65">
        <f>Conto_economico!C24</f>
        <v>-1075164.96</v>
      </c>
      <c r="C12" s="65">
        <f>Conto_economico!D24</f>
        <v>-986626.29</v>
      </c>
      <c r="D12" s="65">
        <f>Conto_economico!E24</f>
        <v>-2714905.13</v>
      </c>
      <c r="E12" s="65">
        <f>Conto_economico!F24</f>
        <v>42366042.140000001</v>
      </c>
      <c r="F12" s="64">
        <f t="shared" si="0"/>
        <v>45080947.270000003</v>
      </c>
    </row>
    <row r="13" spans="1:6">
      <c r="A13" s="47" t="s">
        <v>307</v>
      </c>
      <c r="B13" s="66">
        <f t="shared" ref="B13:C13" si="3">SUM(B9:B12)</f>
        <v>172624264.74000055</v>
      </c>
      <c r="C13" s="66">
        <f t="shared" si="3"/>
        <v>234742623.61999992</v>
      </c>
      <c r="D13" s="66">
        <f t="shared" ref="D13:E13" si="4">SUM(D9:D12)</f>
        <v>233104055.77000076</v>
      </c>
      <c r="E13" s="66">
        <f t="shared" si="4"/>
        <v>110881419.3900013</v>
      </c>
      <c r="F13" s="66">
        <f t="shared" si="0"/>
        <v>-122222636.37999946</v>
      </c>
    </row>
    <row r="14" spans="1:6">
      <c r="A14" s="71" t="s">
        <v>256</v>
      </c>
      <c r="B14" s="64">
        <f>Conto_economico!C27</f>
        <v>62118833.479999997</v>
      </c>
      <c r="C14" s="64">
        <f>Conto_economico!D27</f>
        <v>62765290.909999996</v>
      </c>
      <c r="D14" s="64">
        <f>Conto_economico!E27</f>
        <v>66993106.119999997</v>
      </c>
      <c r="E14" s="64">
        <f>Conto_economico!F27</f>
        <v>61501325.590000004</v>
      </c>
      <c r="F14" s="64">
        <f t="shared" si="0"/>
        <v>-5491780.5299999937</v>
      </c>
    </row>
    <row r="15" spans="1:6">
      <c r="A15" s="70" t="s">
        <v>257</v>
      </c>
      <c r="B15" s="67">
        <f t="shared" ref="B15:C15" si="5">B13-B14</f>
        <v>110505431.26000056</v>
      </c>
      <c r="C15" s="67">
        <f t="shared" si="5"/>
        <v>171977332.70999992</v>
      </c>
      <c r="D15" s="67">
        <f t="shared" ref="D15:E15" si="6">D13-D14</f>
        <v>166110949.65000075</v>
      </c>
      <c r="E15" s="67">
        <f t="shared" si="6"/>
        <v>49380093.800001293</v>
      </c>
      <c r="F15" s="67">
        <f t="shared" si="0"/>
        <v>-116730855.84999946</v>
      </c>
    </row>
  </sheetData>
  <conditionalFormatting sqref="B15:F15">
    <cfRule type="cellIs" dxfId="24" priority="13" operator="greaterThan">
      <formula>0</formula>
    </cfRule>
  </conditionalFormatting>
  <conditionalFormatting sqref="B9:F9 B13:F13">
    <cfRule type="cellIs" dxfId="23" priority="1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showGridLines="0" topLeftCell="A7" workbookViewId="0">
      <selection activeCell="E20" sqref="E20"/>
    </sheetView>
  </sheetViews>
  <sheetFormatPr defaultRowHeight="15"/>
  <cols>
    <col min="1" max="1" width="51.7109375" style="32" bestFit="1" customWidth="1"/>
    <col min="2" max="5" width="13.85546875" bestFit="1" customWidth="1"/>
    <col min="6" max="7" width="12.7109375" bestFit="1" customWidth="1"/>
  </cols>
  <sheetData>
    <row r="1" spans="1:5">
      <c r="A1" s="73"/>
      <c r="B1" s="69">
        <v>2017</v>
      </c>
      <c r="C1" s="69">
        <v>2018</v>
      </c>
      <c r="D1" s="69">
        <v>2019</v>
      </c>
      <c r="E1" s="69">
        <v>2020</v>
      </c>
    </row>
    <row r="2" spans="1:5">
      <c r="A2" s="32" t="s">
        <v>211</v>
      </c>
      <c r="B2" s="1">
        <v>0</v>
      </c>
      <c r="C2" s="1">
        <v>0</v>
      </c>
      <c r="D2" s="1">
        <v>0</v>
      </c>
      <c r="E2" s="1">
        <v>0</v>
      </c>
    </row>
    <row r="3" spans="1:5">
      <c r="A3" s="32" t="s">
        <v>212</v>
      </c>
      <c r="B3" s="1">
        <v>1173652409.8399999</v>
      </c>
      <c r="C3" s="1">
        <v>1181389029.6900001</v>
      </c>
      <c r="D3" s="1">
        <v>1226904084.53</v>
      </c>
      <c r="E3" s="1">
        <v>1297185493.1400001</v>
      </c>
    </row>
    <row r="4" spans="1:5">
      <c r="A4" s="32" t="s">
        <v>213</v>
      </c>
      <c r="B4" s="1">
        <v>8135250625.3699999</v>
      </c>
      <c r="C4" s="1">
        <v>8013248102.4899998</v>
      </c>
      <c r="D4" s="1">
        <v>7993061604.1400003</v>
      </c>
      <c r="E4" s="1">
        <v>7855212050.96</v>
      </c>
    </row>
    <row r="5" spans="1:5">
      <c r="A5" s="32" t="s">
        <v>227</v>
      </c>
      <c r="B5" s="1">
        <v>967987137.89999998</v>
      </c>
      <c r="C5" s="1">
        <v>2238770871.54</v>
      </c>
      <c r="D5" s="1">
        <v>2192398117.4099998</v>
      </c>
      <c r="E5" s="1">
        <v>2253616212.48</v>
      </c>
    </row>
    <row r="6" spans="1:5">
      <c r="A6" s="32" t="s">
        <v>228</v>
      </c>
      <c r="B6" s="1">
        <v>1368672150.97</v>
      </c>
      <c r="C6" s="1">
        <v>1177520006.01</v>
      </c>
      <c r="D6" s="1">
        <v>1284979772.9000001</v>
      </c>
      <c r="E6" s="1">
        <v>1221719360.01</v>
      </c>
    </row>
    <row r="7" spans="1:5">
      <c r="A7" s="32" t="s">
        <v>229</v>
      </c>
      <c r="B7" s="1">
        <v>197288.97</v>
      </c>
      <c r="C7" s="1">
        <v>0</v>
      </c>
      <c r="D7" s="1">
        <v>1472308</v>
      </c>
      <c r="E7" s="1">
        <v>1472308</v>
      </c>
    </row>
    <row r="8" spans="1:5">
      <c r="A8" s="32" t="s">
        <v>230</v>
      </c>
      <c r="B8" s="1">
        <v>5621685.7699999996</v>
      </c>
      <c r="C8" s="1">
        <v>6659705.2999999998</v>
      </c>
      <c r="D8" s="1">
        <v>6568496.0599999996</v>
      </c>
      <c r="E8" s="1">
        <v>6048566.2999999998</v>
      </c>
    </row>
    <row r="9" spans="1:5">
      <c r="A9" s="32" t="s">
        <v>214</v>
      </c>
      <c r="B9" s="1">
        <v>1915347817.2</v>
      </c>
      <c r="C9" s="1">
        <v>1579821758.6500001</v>
      </c>
      <c r="D9" s="1">
        <v>1468995111.3299999</v>
      </c>
      <c r="E9" s="1">
        <v>1486930381.48</v>
      </c>
    </row>
    <row r="10" spans="1:5">
      <c r="A10" s="99" t="s">
        <v>358</v>
      </c>
      <c r="B10" s="1">
        <v>0</v>
      </c>
      <c r="C10" s="1">
        <v>0</v>
      </c>
      <c r="D10" s="1">
        <v>0</v>
      </c>
      <c r="E10" s="1">
        <v>0</v>
      </c>
    </row>
    <row r="11" spans="1:5">
      <c r="A11" s="99" t="s">
        <v>361</v>
      </c>
      <c r="B11" s="1">
        <v>564920899.99000001</v>
      </c>
      <c r="C11" s="1">
        <v>568531253.74000001</v>
      </c>
      <c r="D11" s="1">
        <v>577657624.15999997</v>
      </c>
      <c r="E11" s="1">
        <v>603366080.58000004</v>
      </c>
    </row>
    <row r="12" spans="1:5">
      <c r="A12" s="32" t="s">
        <v>231</v>
      </c>
      <c r="B12" s="1">
        <v>0</v>
      </c>
      <c r="C12" s="1">
        <v>0</v>
      </c>
      <c r="D12" s="1">
        <v>0</v>
      </c>
      <c r="E12" s="1">
        <v>0</v>
      </c>
    </row>
    <row r="13" spans="1:5">
      <c r="A13" s="32" t="s">
        <v>215</v>
      </c>
      <c r="B13" s="1">
        <v>1370330875.28</v>
      </c>
      <c r="C13" s="1">
        <v>1490825979.8800001</v>
      </c>
      <c r="D13" s="1">
        <v>1720940200.6600001</v>
      </c>
      <c r="E13" s="1">
        <v>2038796762.8299999</v>
      </c>
    </row>
    <row r="14" spans="1:5">
      <c r="A14" s="32" t="s">
        <v>216</v>
      </c>
      <c r="B14" s="1">
        <v>240377.15</v>
      </c>
      <c r="C14" s="1">
        <v>155838.84</v>
      </c>
      <c r="D14" s="1">
        <v>421312.56</v>
      </c>
      <c r="E14" s="1">
        <v>155275.43</v>
      </c>
    </row>
    <row r="15" spans="1:5">
      <c r="A15" s="10" t="s">
        <v>217</v>
      </c>
      <c r="B15" s="11">
        <f t="shared" ref="B15" si="0">SUM(B2:B9)+SUM(B12:B14)</f>
        <v>14937300368.449999</v>
      </c>
      <c r="C15" s="11">
        <f>SUM(C2:C9)+SUM(C12:C14)</f>
        <v>15688391292.4</v>
      </c>
      <c r="D15" s="11">
        <f>SUM(D2:D9)+SUM(D12:D14)</f>
        <v>15895741007.589998</v>
      </c>
      <c r="E15" s="11">
        <f>SUM(E2:E9)+SUM(E12:E14)</f>
        <v>16161136410.629999</v>
      </c>
    </row>
    <row r="16" spans="1:5">
      <c r="A16" s="32" t="s">
        <v>218</v>
      </c>
      <c r="B16" s="1">
        <v>1214065158.01</v>
      </c>
      <c r="C16" s="1">
        <v>1265393975.0699999</v>
      </c>
      <c r="D16" s="1">
        <v>1265393975.0699999</v>
      </c>
      <c r="E16" s="1">
        <v>1265393975.0699999</v>
      </c>
    </row>
    <row r="17" spans="1:7">
      <c r="A17" s="32" t="s">
        <v>219</v>
      </c>
      <c r="B17" s="1">
        <v>11292985256.1</v>
      </c>
      <c r="C17" s="1">
        <v>12530346861.030001</v>
      </c>
      <c r="D17" s="1">
        <v>12560849892.299999</v>
      </c>
      <c r="E17" s="1">
        <v>12554088508.24</v>
      </c>
    </row>
    <row r="18" spans="1:7">
      <c r="A18" s="32" t="s">
        <v>220</v>
      </c>
      <c r="B18" s="1">
        <v>110505431.26000001</v>
      </c>
      <c r="C18" s="1">
        <v>171977332.71000001</v>
      </c>
      <c r="D18" s="1">
        <v>166110949.65000001</v>
      </c>
      <c r="E18" s="1">
        <v>49380093.799999997</v>
      </c>
    </row>
    <row r="19" spans="1:7">
      <c r="A19" s="32" t="s">
        <v>221</v>
      </c>
      <c r="B19" s="1">
        <f>52705378.21+108828125.73</f>
        <v>161533503.94</v>
      </c>
      <c r="C19" s="1">
        <f>66130304.78+110065842.2</f>
        <v>176196146.98000002</v>
      </c>
      <c r="D19" s="1">
        <f>21772513.48+108177685.31</f>
        <v>129950198.79000001</v>
      </c>
      <c r="E19" s="1">
        <f>225100027.16+106322934.34</f>
        <v>331422961.5</v>
      </c>
    </row>
    <row r="20" spans="1:7">
      <c r="A20" s="32" t="s">
        <v>208</v>
      </c>
      <c r="B20" s="1">
        <v>218933870.28</v>
      </c>
      <c r="C20" s="1">
        <v>151681730.69</v>
      </c>
      <c r="D20" s="1">
        <v>183580642.06</v>
      </c>
      <c r="E20" s="1">
        <v>158332145</v>
      </c>
    </row>
    <row r="21" spans="1:7">
      <c r="A21" s="32" t="s">
        <v>222</v>
      </c>
      <c r="B21" s="1">
        <v>290382165.43000001</v>
      </c>
      <c r="C21" s="1">
        <v>188735976.47</v>
      </c>
      <c r="D21" s="1">
        <v>273208397.89999998</v>
      </c>
      <c r="E21" s="1">
        <v>76793814.189999998</v>
      </c>
    </row>
    <row r="22" spans="1:7">
      <c r="A22" s="32" t="s">
        <v>223</v>
      </c>
      <c r="B22" s="1">
        <v>1121950824.9400001</v>
      </c>
      <c r="C22" s="1">
        <v>943102682.77999997</v>
      </c>
      <c r="D22" s="1">
        <v>1126188305.1800001</v>
      </c>
      <c r="E22" s="1">
        <v>1495067550.1199999</v>
      </c>
    </row>
    <row r="23" spans="1:7">
      <c r="A23" s="99" t="s">
        <v>359</v>
      </c>
      <c r="B23" s="1">
        <v>0</v>
      </c>
      <c r="C23" s="1">
        <v>0</v>
      </c>
      <c r="D23" s="1">
        <v>0</v>
      </c>
      <c r="E23" s="1">
        <v>0</v>
      </c>
    </row>
    <row r="24" spans="1:7">
      <c r="A24" s="99" t="s">
        <v>360</v>
      </c>
      <c r="B24" s="1">
        <v>1002612304.12</v>
      </c>
      <c r="C24" s="1">
        <v>884040346.46000004</v>
      </c>
      <c r="D24" s="1">
        <v>1048115811.74</v>
      </c>
      <c r="E24" s="1">
        <v>1433173110.75</v>
      </c>
    </row>
    <row r="25" spans="1:7">
      <c r="A25" s="32" t="s">
        <v>224</v>
      </c>
      <c r="B25" s="1">
        <f>43621023.16+472766622.51</f>
        <v>516387645.66999996</v>
      </c>
      <c r="C25" s="1">
        <f>5556434.3+244530356.61</f>
        <v>250086790.91000003</v>
      </c>
      <c r="D25" s="1">
        <f>19703867.87+160809364.27</f>
        <v>180513232.14000002</v>
      </c>
      <c r="E25" s="1">
        <f>63714.67+221199929.86</f>
        <v>221263644.53</v>
      </c>
      <c r="F25" s="1"/>
      <c r="G25" s="1"/>
    </row>
    <row r="26" spans="1:7">
      <c r="A26" s="32" t="s">
        <v>225</v>
      </c>
      <c r="B26" s="1">
        <v>10556512.82</v>
      </c>
      <c r="C26" s="1">
        <v>10869795.76</v>
      </c>
      <c r="D26" s="1">
        <v>9945414.5</v>
      </c>
      <c r="E26" s="1">
        <v>9393718.1799999997</v>
      </c>
    </row>
    <row r="27" spans="1:7">
      <c r="A27" s="72" t="s">
        <v>226</v>
      </c>
      <c r="B27" s="3">
        <f t="shared" ref="B27" si="1">SUM(B16:B26)-B23-B24</f>
        <v>14937300368.450003</v>
      </c>
      <c r="C27" s="3">
        <f>SUM(C16:C26)-C23-C24</f>
        <v>15688391292.399998</v>
      </c>
      <c r="D27" s="3">
        <f>SUM(D16:D26)-D23-D24</f>
        <v>15895741007.589998</v>
      </c>
      <c r="E27" s="3">
        <f>SUM(E16:E26)-E23-E24</f>
        <v>16161136410.629997</v>
      </c>
    </row>
    <row r="28" spans="1:7">
      <c r="A28" s="10" t="s">
        <v>265</v>
      </c>
      <c r="B28" s="11">
        <f>B16+B17+B18</f>
        <v>12617555845.370001</v>
      </c>
      <c r="C28" s="11">
        <f>C16+C17+C18</f>
        <v>13967718168.809999</v>
      </c>
      <c r="D28" s="11">
        <f>D16+D17+D18</f>
        <v>13992354817.019999</v>
      </c>
      <c r="E28" s="11">
        <f>E16+E17+E18</f>
        <v>13868862577.109999</v>
      </c>
    </row>
    <row r="29" spans="1:7">
      <c r="B29" s="1"/>
      <c r="C29" s="6">
        <f>C28/C27*100</f>
        <v>89.032188887183409</v>
      </c>
      <c r="D29" s="6">
        <f>D28/D27*100</f>
        <v>88.025810249039921</v>
      </c>
      <c r="E29" s="6">
        <f>E28/E27*100</f>
        <v>85.81613461283419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1"/>
  <sheetViews>
    <sheetView workbookViewId="0">
      <selection activeCell="H92" sqref="H92:H95"/>
    </sheetView>
  </sheetViews>
  <sheetFormatPr defaultRowHeight="15"/>
  <cols>
    <col min="2" max="2" width="83.28515625" bestFit="1" customWidth="1"/>
    <col min="3" max="3" width="11.85546875" customWidth="1"/>
  </cols>
  <sheetData>
    <row r="1" spans="1:8">
      <c r="A1" s="114" t="s">
        <v>209</v>
      </c>
      <c r="B1" s="114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>
      <c r="A2" t="s">
        <v>76</v>
      </c>
    </row>
    <row r="3" spans="1:8">
      <c r="A3" s="8" t="s">
        <v>77</v>
      </c>
      <c r="B3" s="8" t="s">
        <v>78</v>
      </c>
      <c r="C3" s="9">
        <v>48</v>
      </c>
      <c r="D3" s="7">
        <v>18.62</v>
      </c>
      <c r="E3" s="7">
        <v>20.43</v>
      </c>
      <c r="F3" s="7">
        <v>20.11</v>
      </c>
      <c r="G3" s="7">
        <v>20.62</v>
      </c>
      <c r="H3" s="7">
        <v>20.3</v>
      </c>
    </row>
    <row r="4" spans="1:8">
      <c r="A4" t="s">
        <v>79</v>
      </c>
      <c r="D4" s="7"/>
      <c r="E4" s="7"/>
      <c r="F4" s="7"/>
      <c r="G4" s="7"/>
      <c r="H4" s="7"/>
    </row>
    <row r="5" spans="1:8">
      <c r="A5" t="s">
        <v>80</v>
      </c>
      <c r="B5" t="s">
        <v>81</v>
      </c>
      <c r="D5" s="7">
        <v>103.86</v>
      </c>
      <c r="E5" s="7">
        <v>111.33</v>
      </c>
      <c r="F5" s="7">
        <v>105.31</v>
      </c>
      <c r="G5" s="7">
        <v>108.2</v>
      </c>
      <c r="H5" s="7">
        <v>104.11</v>
      </c>
    </row>
    <row r="6" spans="1:8">
      <c r="A6" t="s">
        <v>82</v>
      </c>
      <c r="B6" t="s">
        <v>83</v>
      </c>
      <c r="D6" s="7">
        <v>98.95</v>
      </c>
      <c r="E6" s="7">
        <v>101.17</v>
      </c>
      <c r="F6" s="7">
        <v>102.02</v>
      </c>
      <c r="G6" s="7">
        <v>101.06</v>
      </c>
      <c r="H6" s="7">
        <v>98.24</v>
      </c>
    </row>
    <row r="7" spans="1:8">
      <c r="A7" t="s">
        <v>84</v>
      </c>
      <c r="B7" t="s">
        <v>85</v>
      </c>
      <c r="D7" s="7">
        <v>94.9</v>
      </c>
      <c r="E7" s="7">
        <v>102.59</v>
      </c>
      <c r="F7" s="7">
        <v>96.05</v>
      </c>
      <c r="G7" s="7">
        <v>97.9</v>
      </c>
      <c r="H7" s="7">
        <v>90.29</v>
      </c>
    </row>
    <row r="8" spans="1:8">
      <c r="A8" t="s">
        <v>86</v>
      </c>
      <c r="B8" t="s">
        <v>87</v>
      </c>
      <c r="D8" s="7">
        <v>90.41</v>
      </c>
      <c r="E8" s="7">
        <v>93.22</v>
      </c>
      <c r="F8" s="7">
        <v>93.05</v>
      </c>
      <c r="G8" s="7">
        <v>91.44</v>
      </c>
      <c r="H8" s="7">
        <v>85.19</v>
      </c>
    </row>
    <row r="9" spans="1:8">
      <c r="A9" t="s">
        <v>88</v>
      </c>
      <c r="B9" t="s">
        <v>89</v>
      </c>
      <c r="D9" s="7">
        <v>131.44</v>
      </c>
      <c r="E9" s="7">
        <v>104.04</v>
      </c>
      <c r="F9" s="7">
        <v>108.01</v>
      </c>
      <c r="G9" s="7">
        <v>112.31</v>
      </c>
      <c r="H9" s="7">
        <v>104.23</v>
      </c>
    </row>
    <row r="10" spans="1:8">
      <c r="A10" t="s">
        <v>90</v>
      </c>
      <c r="B10" t="s">
        <v>91</v>
      </c>
      <c r="D10" s="7">
        <v>102.41</v>
      </c>
      <c r="E10" s="7">
        <v>100.42</v>
      </c>
      <c r="F10" s="7">
        <v>91.92</v>
      </c>
      <c r="G10" s="7">
        <v>104.39</v>
      </c>
      <c r="H10" s="7">
        <v>99.75</v>
      </c>
    </row>
    <row r="11" spans="1:8">
      <c r="A11" t="s">
        <v>92</v>
      </c>
      <c r="B11" t="s">
        <v>93</v>
      </c>
      <c r="D11" s="7">
        <v>122.99</v>
      </c>
      <c r="E11" s="7">
        <v>95.74</v>
      </c>
      <c r="F11" s="7">
        <v>96.47</v>
      </c>
      <c r="G11" s="7">
        <v>102.11</v>
      </c>
      <c r="H11" s="7">
        <v>90.52</v>
      </c>
    </row>
    <row r="12" spans="1:8">
      <c r="A12" s="8" t="s">
        <v>94</v>
      </c>
      <c r="B12" s="8" t="s">
        <v>95</v>
      </c>
      <c r="C12" s="9">
        <v>22</v>
      </c>
      <c r="D12" s="7">
        <v>95.83</v>
      </c>
      <c r="E12" s="7">
        <v>92.42</v>
      </c>
      <c r="F12" s="7">
        <v>82.1</v>
      </c>
      <c r="G12" s="7">
        <v>94.9</v>
      </c>
      <c r="H12" s="7">
        <v>86.63</v>
      </c>
    </row>
    <row r="13" spans="1:8">
      <c r="A13" t="s">
        <v>96</v>
      </c>
      <c r="D13" s="7"/>
      <c r="E13" s="7"/>
      <c r="F13" s="7"/>
      <c r="G13" s="7"/>
      <c r="H13" s="7"/>
    </row>
    <row r="14" spans="1:8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t="s">
        <v>101</v>
      </c>
      <c r="D16" s="7"/>
      <c r="E16" s="7"/>
      <c r="F16" s="7"/>
      <c r="G16" s="7"/>
      <c r="H16" s="7"/>
    </row>
    <row r="17" spans="1:8">
      <c r="A17" t="s">
        <v>102</v>
      </c>
      <c r="B17" t="s">
        <v>103</v>
      </c>
      <c r="D17" s="7">
        <v>25.55</v>
      </c>
      <c r="E17" s="7">
        <v>25.55</v>
      </c>
      <c r="F17" s="7">
        <v>24.51</v>
      </c>
      <c r="G17" s="7">
        <v>25.36</v>
      </c>
      <c r="H17" s="7">
        <v>24.61</v>
      </c>
    </row>
    <row r="18" spans="1:8">
      <c r="A18" t="s">
        <v>104</v>
      </c>
      <c r="B18" t="s">
        <v>105</v>
      </c>
      <c r="D18" s="7">
        <v>71.13</v>
      </c>
      <c r="E18" s="7">
        <v>9.44</v>
      </c>
      <c r="F18" s="7">
        <v>12.78</v>
      </c>
      <c r="G18" s="7">
        <v>12.13</v>
      </c>
      <c r="H18" s="7">
        <v>12.54</v>
      </c>
    </row>
    <row r="19" spans="1:8">
      <c r="A19" t="s">
        <v>106</v>
      </c>
      <c r="B19" t="s">
        <v>107</v>
      </c>
      <c r="D19" s="7">
        <v>1.05</v>
      </c>
      <c r="E19" s="7">
        <v>1.26</v>
      </c>
      <c r="F19" s="7">
        <v>1.36</v>
      </c>
      <c r="G19" s="7">
        <v>1.41</v>
      </c>
      <c r="H19" s="7">
        <v>1.35</v>
      </c>
    </row>
    <row r="20" spans="1:8">
      <c r="A20" t="s">
        <v>108</v>
      </c>
      <c r="B20" t="s">
        <v>109</v>
      </c>
      <c r="D20" s="7">
        <v>1864.24</v>
      </c>
      <c r="E20" s="7">
        <v>2055.73</v>
      </c>
      <c r="F20" s="7">
        <v>2018.96</v>
      </c>
      <c r="G20" s="7">
        <v>2100.31</v>
      </c>
      <c r="H20" s="7">
        <v>2048.7800000000002</v>
      </c>
    </row>
    <row r="21" spans="1:8">
      <c r="A21" t="s">
        <v>110</v>
      </c>
      <c r="D21" s="7"/>
      <c r="E21" s="7"/>
      <c r="F21" s="7"/>
      <c r="G21" s="7"/>
      <c r="H21" s="7"/>
    </row>
    <row r="22" spans="1:8">
      <c r="A22" t="s">
        <v>111</v>
      </c>
      <c r="B22" t="s">
        <v>112</v>
      </c>
      <c r="D22" s="7">
        <v>1.34</v>
      </c>
      <c r="E22" s="7">
        <v>2.96</v>
      </c>
      <c r="F22" s="7">
        <v>2.92</v>
      </c>
      <c r="G22" s="7">
        <v>3.11</v>
      </c>
      <c r="H22" s="7">
        <v>3.01</v>
      </c>
    </row>
    <row r="23" spans="1:8">
      <c r="A23" t="s">
        <v>113</v>
      </c>
      <c r="D23" s="7"/>
      <c r="E23" s="7"/>
      <c r="F23" s="7"/>
      <c r="G23" s="7"/>
      <c r="H23" s="7"/>
    </row>
    <row r="24" spans="1:8">
      <c r="A24" t="s">
        <v>114</v>
      </c>
      <c r="B24" t="s">
        <v>115</v>
      </c>
      <c r="D24" s="7">
        <v>0.02</v>
      </c>
      <c r="E24" s="7">
        <v>0.03</v>
      </c>
      <c r="F24" s="7">
        <v>0.02</v>
      </c>
      <c r="G24" s="7">
        <v>0.02</v>
      </c>
      <c r="H24" s="7">
        <v>0.02</v>
      </c>
    </row>
    <row r="25" spans="1:8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>
      <c r="A26" t="s">
        <v>118</v>
      </c>
      <c r="B26" t="s">
        <v>119</v>
      </c>
      <c r="D26" s="7">
        <v>5.52</v>
      </c>
      <c r="E26" s="7">
        <v>3.28</v>
      </c>
      <c r="F26" s="7">
        <v>1.36</v>
      </c>
      <c r="G26" s="7">
        <v>0.61</v>
      </c>
      <c r="H26" s="7">
        <v>0.91</v>
      </c>
    </row>
    <row r="27" spans="1:8">
      <c r="A27" t="s">
        <v>120</v>
      </c>
      <c r="D27" s="7"/>
      <c r="E27" s="7"/>
      <c r="F27" s="7"/>
      <c r="G27" s="7"/>
      <c r="H27" s="7"/>
    </row>
    <row r="28" spans="1:8">
      <c r="A28" t="s">
        <v>121</v>
      </c>
      <c r="B28" t="s">
        <v>122</v>
      </c>
      <c r="D28" s="7">
        <v>16.18</v>
      </c>
      <c r="E28" s="7">
        <v>20.75</v>
      </c>
      <c r="F28" s="7">
        <v>20.37</v>
      </c>
      <c r="G28" s="7">
        <v>21.53</v>
      </c>
      <c r="H28" s="7">
        <v>20.02</v>
      </c>
    </row>
    <row r="29" spans="1:8">
      <c r="A29" t="s">
        <v>123</v>
      </c>
      <c r="B29" t="s">
        <v>124</v>
      </c>
      <c r="D29" s="7">
        <v>295.8</v>
      </c>
      <c r="E29" s="7">
        <v>472.54</v>
      </c>
      <c r="F29" s="7">
        <v>501.64</v>
      </c>
      <c r="G29" s="7">
        <v>524.42999999999995</v>
      </c>
      <c r="H29" s="7">
        <v>468.56</v>
      </c>
    </row>
    <row r="30" spans="1:8">
      <c r="A30" t="s">
        <v>125</v>
      </c>
      <c r="B30" t="s">
        <v>126</v>
      </c>
      <c r="D30" s="7">
        <v>1166.9000000000001</v>
      </c>
      <c r="E30" s="7">
        <v>1646.86</v>
      </c>
      <c r="F30" s="7">
        <v>1616.25</v>
      </c>
      <c r="G30" s="7">
        <v>1766.47</v>
      </c>
      <c r="H30" s="7">
        <v>1619.49</v>
      </c>
    </row>
    <row r="31" spans="1:8">
      <c r="A31" t="s">
        <v>127</v>
      </c>
      <c r="B31" t="s">
        <v>128</v>
      </c>
      <c r="D31" s="7">
        <v>1462.7</v>
      </c>
      <c r="E31" s="7">
        <v>2119.39</v>
      </c>
      <c r="F31" s="7">
        <v>2117.89</v>
      </c>
      <c r="G31" s="7">
        <v>2290.9</v>
      </c>
      <c r="H31" s="7">
        <v>2088.04</v>
      </c>
    </row>
    <row r="32" spans="1:8">
      <c r="A32" t="s">
        <v>129</v>
      </c>
      <c r="B32" t="s">
        <v>130</v>
      </c>
      <c r="D32" s="7">
        <v>57.08</v>
      </c>
      <c r="E32" s="7">
        <v>63.17</v>
      </c>
      <c r="F32" s="7">
        <v>48.28</v>
      </c>
      <c r="G32" s="7">
        <v>50.09</v>
      </c>
      <c r="H32" s="7">
        <v>38.119999999999997</v>
      </c>
    </row>
    <row r="33" spans="1:8">
      <c r="A33" t="s">
        <v>131</v>
      </c>
      <c r="B33" t="s">
        <v>132</v>
      </c>
      <c r="D33" s="7">
        <v>0</v>
      </c>
      <c r="E33" s="7">
        <v>0</v>
      </c>
      <c r="F33" s="7">
        <v>20.96</v>
      </c>
      <c r="G33" s="7">
        <v>0</v>
      </c>
      <c r="H33" s="7">
        <v>3.25</v>
      </c>
    </row>
    <row r="34" spans="1:8">
      <c r="A34" t="s">
        <v>133</v>
      </c>
      <c r="B34" t="s">
        <v>134</v>
      </c>
      <c r="D34" s="7">
        <v>4.45</v>
      </c>
      <c r="E34" s="7">
        <v>0.99</v>
      </c>
      <c r="F34" s="7">
        <v>0.66</v>
      </c>
      <c r="G34" s="7">
        <v>2.12</v>
      </c>
      <c r="H34" s="7">
        <v>0</v>
      </c>
    </row>
    <row r="35" spans="1:8">
      <c r="A35" t="s">
        <v>135</v>
      </c>
      <c r="D35" s="7"/>
      <c r="E35" s="7"/>
      <c r="F35" s="7"/>
      <c r="G35" s="7"/>
      <c r="H35" s="7"/>
    </row>
    <row r="36" spans="1:8">
      <c r="A36" t="s">
        <v>136</v>
      </c>
      <c r="B36" t="s">
        <v>137</v>
      </c>
      <c r="D36" s="7">
        <v>99.23</v>
      </c>
      <c r="E36" s="7">
        <v>85.48</v>
      </c>
      <c r="F36" s="7">
        <v>66.52</v>
      </c>
      <c r="G36" s="7">
        <v>66.58</v>
      </c>
      <c r="H36" s="7">
        <v>65.41</v>
      </c>
    </row>
    <row r="37" spans="1:8">
      <c r="A37" t="s">
        <v>138</v>
      </c>
      <c r="B37" t="s">
        <v>139</v>
      </c>
      <c r="D37" s="7">
        <v>36.39</v>
      </c>
      <c r="E37" s="7">
        <v>51.29</v>
      </c>
      <c r="F37" s="7">
        <v>32.369999999999997</v>
      </c>
      <c r="G37" s="7">
        <v>43.63</v>
      </c>
      <c r="H37" s="7">
        <v>34.33</v>
      </c>
    </row>
    <row r="38" spans="1:8">
      <c r="A38" t="s">
        <v>140</v>
      </c>
      <c r="B38" t="s">
        <v>141</v>
      </c>
      <c r="D38" s="7">
        <v>85.45</v>
      </c>
      <c r="E38" s="7">
        <v>88.09</v>
      </c>
      <c r="F38" s="7">
        <v>10.29</v>
      </c>
      <c r="G38" s="7">
        <v>99.19</v>
      </c>
      <c r="H38" s="7">
        <v>94.87</v>
      </c>
    </row>
    <row r="39" spans="1:8">
      <c r="A39" t="s">
        <v>142</v>
      </c>
      <c r="B39" t="s">
        <v>143</v>
      </c>
      <c r="D39" s="7">
        <v>34.380000000000003</v>
      </c>
      <c r="E39" s="7">
        <v>33.159999999999997</v>
      </c>
      <c r="F39" s="7">
        <v>31.32</v>
      </c>
      <c r="G39" s="7">
        <v>29.78</v>
      </c>
      <c r="H39" s="7">
        <v>23.91</v>
      </c>
    </row>
    <row r="40" spans="1:8">
      <c r="A40" t="s">
        <v>144</v>
      </c>
      <c r="B40" t="s">
        <v>145</v>
      </c>
      <c r="D40" s="7">
        <v>28.5</v>
      </c>
      <c r="E40" s="7">
        <v>80.62</v>
      </c>
      <c r="F40" s="7">
        <v>61.52</v>
      </c>
      <c r="G40" s="7">
        <v>79.56</v>
      </c>
      <c r="H40" s="7">
        <v>73.64</v>
      </c>
    </row>
    <row r="41" spans="1:8">
      <c r="A41" t="s">
        <v>146</v>
      </c>
      <c r="B41" t="s">
        <v>147</v>
      </c>
      <c r="D41" s="7">
        <v>100</v>
      </c>
      <c r="E41" s="7">
        <v>96.1</v>
      </c>
      <c r="F41" s="7">
        <v>100</v>
      </c>
      <c r="G41" s="7">
        <v>90.76</v>
      </c>
      <c r="H41" s="7">
        <v>84.19</v>
      </c>
    </row>
    <row r="42" spans="1:8">
      <c r="A42" t="s">
        <v>148</v>
      </c>
      <c r="D42" s="7"/>
      <c r="E42" s="7"/>
      <c r="F42" s="7"/>
      <c r="G42" s="7"/>
      <c r="H42" s="7"/>
    </row>
    <row r="43" spans="1:8">
      <c r="A43" t="s">
        <v>149</v>
      </c>
      <c r="B43" t="s">
        <v>150</v>
      </c>
      <c r="D43" s="7">
        <v>90.31</v>
      </c>
      <c r="E43" s="7">
        <v>82.79</v>
      </c>
      <c r="F43" s="7">
        <v>86.32</v>
      </c>
      <c r="G43" s="7">
        <v>80.930000000000007</v>
      </c>
      <c r="H43" s="7">
        <v>85.69</v>
      </c>
    </row>
    <row r="44" spans="1:8">
      <c r="A44" t="s">
        <v>151</v>
      </c>
      <c r="B44" t="s">
        <v>152</v>
      </c>
      <c r="D44" s="7">
        <v>22.13</v>
      </c>
      <c r="E44" s="7">
        <v>39.340000000000003</v>
      </c>
      <c r="F44" s="7">
        <v>87.97</v>
      </c>
      <c r="G44" s="7">
        <v>69.319999999999993</v>
      </c>
      <c r="H44" s="7">
        <v>80.53</v>
      </c>
    </row>
    <row r="45" spans="1:8">
      <c r="A45" t="s">
        <v>153</v>
      </c>
      <c r="B45" t="s">
        <v>154</v>
      </c>
      <c r="D45" s="7">
        <v>84.69</v>
      </c>
      <c r="E45" s="7">
        <v>81.3</v>
      </c>
      <c r="F45" s="7">
        <v>89.37</v>
      </c>
      <c r="G45" s="7">
        <v>86.21</v>
      </c>
      <c r="H45" s="7">
        <v>80.8</v>
      </c>
    </row>
    <row r="46" spans="1:8">
      <c r="A46" t="s">
        <v>155</v>
      </c>
      <c r="B46" t="s">
        <v>156</v>
      </c>
      <c r="D46" s="7">
        <v>69.48</v>
      </c>
      <c r="E46" s="7">
        <v>47.58</v>
      </c>
      <c r="F46" s="7">
        <v>45.28</v>
      </c>
      <c r="G46" s="7">
        <v>32.56</v>
      </c>
      <c r="H46" s="7">
        <v>23.71</v>
      </c>
    </row>
    <row r="47" spans="1:8">
      <c r="A47" t="s">
        <v>157</v>
      </c>
      <c r="B47" t="s">
        <v>158</v>
      </c>
      <c r="D47" s="7">
        <v>1.37</v>
      </c>
      <c r="E47" s="7">
        <v>7.04</v>
      </c>
      <c r="F47" s="7">
        <v>-5.95</v>
      </c>
      <c r="G47" s="7">
        <v>1.64</v>
      </c>
      <c r="H47" s="7">
        <v>-10</v>
      </c>
    </row>
    <row r="48" spans="1:8">
      <c r="A48" t="s">
        <v>159</v>
      </c>
      <c r="D48" s="7"/>
      <c r="E48" s="7"/>
      <c r="F48" s="7"/>
      <c r="G48" s="7"/>
      <c r="H48" s="7"/>
    </row>
    <row r="49" spans="1:8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4.2</v>
      </c>
    </row>
    <row r="50" spans="1:8">
      <c r="A50" t="s">
        <v>162</v>
      </c>
      <c r="B50" t="s">
        <v>163</v>
      </c>
      <c r="D50" s="7">
        <v>0</v>
      </c>
      <c r="E50" s="7">
        <v>0</v>
      </c>
      <c r="F50" s="7">
        <v>6.3</v>
      </c>
      <c r="G50" s="7">
        <v>9.42</v>
      </c>
      <c r="H50" s="7">
        <v>8.91</v>
      </c>
    </row>
    <row r="51" spans="1:8">
      <c r="A51" s="8" t="s">
        <v>164</v>
      </c>
      <c r="B51" s="8" t="s">
        <v>165</v>
      </c>
      <c r="C51" s="9">
        <v>16</v>
      </c>
      <c r="D51" s="7">
        <v>0.08</v>
      </c>
      <c r="E51" s="7">
        <v>0.75</v>
      </c>
      <c r="F51" s="7">
        <v>0.28000000000000003</v>
      </c>
      <c r="G51" s="7">
        <v>0.28000000000000003</v>
      </c>
      <c r="H51" s="7">
        <v>0.31</v>
      </c>
    </row>
    <row r="52" spans="1:8">
      <c r="A52" t="s">
        <v>166</v>
      </c>
      <c r="B52" t="s">
        <v>167</v>
      </c>
      <c r="D52" s="7">
        <v>420.3064946025176</v>
      </c>
      <c r="E52" s="7">
        <v>417.60870696758838</v>
      </c>
      <c r="F52" s="7">
        <v>287.41000000000003</v>
      </c>
      <c r="G52" s="7">
        <v>345.61</v>
      </c>
      <c r="H52" s="7">
        <v>296.81</v>
      </c>
    </row>
    <row r="53" spans="1:8">
      <c r="A53" t="s">
        <v>168</v>
      </c>
      <c r="D53" s="7">
        <v>31.841210743078317</v>
      </c>
      <c r="E53" s="7">
        <v>66.570289302119861</v>
      </c>
      <c r="F53" s="7">
        <v>70.233637563303745</v>
      </c>
      <c r="G53" s="7">
        <v>70.233637563303745</v>
      </c>
      <c r="H53" s="7">
        <v>51.176070548523036</v>
      </c>
    </row>
    <row r="54" spans="1:8">
      <c r="A54" t="s">
        <v>169</v>
      </c>
      <c r="B54" t="s">
        <v>170</v>
      </c>
      <c r="D54" s="7">
        <v>31.841210743078317</v>
      </c>
      <c r="E54" s="7">
        <v>66.570289302119861</v>
      </c>
      <c r="F54" s="7">
        <v>70.233637563303745</v>
      </c>
      <c r="G54" s="7">
        <v>70.233637563303745</v>
      </c>
      <c r="H54" s="7">
        <v>51.176070548523036</v>
      </c>
    </row>
    <row r="55" spans="1:8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>
      <c r="A56" t="s">
        <v>173</v>
      </c>
      <c r="B56" t="s">
        <v>174</v>
      </c>
      <c r="D56" s="7">
        <v>65.377834429270649</v>
      </c>
      <c r="E56" s="7">
        <v>31.01102920808335</v>
      </c>
      <c r="F56" s="7">
        <v>27.060658445603035</v>
      </c>
      <c r="G56" s="7">
        <v>27.060658445603035</v>
      </c>
      <c r="H56" s="7">
        <v>41.814752992381813</v>
      </c>
    </row>
    <row r="57" spans="1:8">
      <c r="A57" t="s">
        <v>175</v>
      </c>
      <c r="B57" t="s">
        <v>176</v>
      </c>
      <c r="D57" s="7">
        <v>2.7809548276510423</v>
      </c>
      <c r="E57" s="7">
        <v>2.4186814897967852</v>
      </c>
      <c r="F57" s="7">
        <v>2.7057039910932223</v>
      </c>
      <c r="G57" s="7">
        <v>2.7057039910932223</v>
      </c>
      <c r="H57" s="7">
        <v>7.0091764590951637</v>
      </c>
    </row>
    <row r="58" spans="1:8">
      <c r="A58" t="s">
        <v>177</v>
      </c>
      <c r="D58" s="7"/>
      <c r="E58" s="7"/>
      <c r="F58" s="7"/>
      <c r="G58" s="7"/>
      <c r="H58" s="7"/>
    </row>
    <row r="59" spans="1:8">
      <c r="A59" t="s">
        <v>178</v>
      </c>
      <c r="B59" t="s">
        <v>179</v>
      </c>
      <c r="D59" s="7">
        <v>0</v>
      </c>
      <c r="E59" s="7">
        <v>0</v>
      </c>
      <c r="F59" s="7">
        <v>0</v>
      </c>
      <c r="G59" s="7" t="s">
        <v>367</v>
      </c>
      <c r="H59" s="7" t="s">
        <v>367</v>
      </c>
    </row>
    <row r="60" spans="1:8">
      <c r="A60" t="s">
        <v>180</v>
      </c>
      <c r="B60" t="s">
        <v>181</v>
      </c>
      <c r="D60" s="7"/>
      <c r="E60" s="7"/>
      <c r="F60" s="7" t="s">
        <v>367</v>
      </c>
      <c r="G60" s="7" t="s">
        <v>367</v>
      </c>
      <c r="H60" s="7" t="s">
        <v>367</v>
      </c>
    </row>
    <row r="61" spans="1:8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1:8">
      <c r="A62" s="8" t="s">
        <v>184</v>
      </c>
      <c r="B62" s="8" t="s">
        <v>185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1:8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>
      <c r="A64" t="s">
        <v>186</v>
      </c>
      <c r="D64" s="7"/>
      <c r="E64" s="7"/>
      <c r="F64" s="7"/>
      <c r="G64" s="7"/>
      <c r="H64" s="7"/>
    </row>
    <row r="65" spans="1:8">
      <c r="A65" s="8" t="s">
        <v>187</v>
      </c>
      <c r="B65" s="8" t="s">
        <v>188</v>
      </c>
      <c r="C65" s="9">
        <v>1</v>
      </c>
      <c r="D65" s="7">
        <v>0.05</v>
      </c>
      <c r="E65" s="7">
        <v>0.03</v>
      </c>
      <c r="F65" s="7">
        <v>0.01</v>
      </c>
      <c r="G65" s="7">
        <v>0.11</v>
      </c>
      <c r="H65" s="7">
        <v>0.02</v>
      </c>
    </row>
    <row r="66" spans="1:8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>
      <c r="A68" t="s">
        <v>193</v>
      </c>
      <c r="D68" s="7"/>
      <c r="E68" s="7"/>
      <c r="F68" s="7"/>
      <c r="G68" s="7"/>
      <c r="H68" s="7"/>
    </row>
    <row r="69" spans="1:8">
      <c r="A69" t="s">
        <v>194</v>
      </c>
      <c r="B69" t="s">
        <v>195</v>
      </c>
      <c r="D69" s="7">
        <v>51.65</v>
      </c>
      <c r="E69" s="7">
        <v>87.77</v>
      </c>
      <c r="F69" s="30">
        <v>93.38</v>
      </c>
      <c r="G69" s="30">
        <v>95.05</v>
      </c>
      <c r="H69" s="30">
        <v>93.63</v>
      </c>
    </row>
    <row r="70" spans="1:8">
      <c r="A70" t="s">
        <v>196</v>
      </c>
      <c r="D70" s="7"/>
      <c r="E70" s="7"/>
      <c r="F70" s="7"/>
      <c r="G70" s="7"/>
      <c r="H70" s="7"/>
    </row>
    <row r="71" spans="1:8">
      <c r="A71" t="s">
        <v>197</v>
      </c>
      <c r="B71" t="s">
        <v>198</v>
      </c>
      <c r="D71" s="7">
        <v>7.57</v>
      </c>
      <c r="E71" s="30">
        <v>7.37</v>
      </c>
      <c r="F71" s="7">
        <v>7.42</v>
      </c>
      <c r="G71" s="7">
        <v>7.61</v>
      </c>
      <c r="H71" s="7">
        <v>7.96</v>
      </c>
    </row>
    <row r="72" spans="1:8">
      <c r="A72" t="s">
        <v>199</v>
      </c>
      <c r="B72" t="s">
        <v>200</v>
      </c>
      <c r="D72" s="7">
        <v>10.47</v>
      </c>
      <c r="E72" s="30">
        <v>9.6999999999999993</v>
      </c>
      <c r="F72" s="7">
        <v>9.15</v>
      </c>
      <c r="G72" s="7">
        <v>9.44</v>
      </c>
      <c r="H72" s="7">
        <v>9.85</v>
      </c>
    </row>
    <row r="73" spans="1:8">
      <c r="A73" t="s">
        <v>303</v>
      </c>
      <c r="D73" s="7"/>
      <c r="E73" s="7"/>
      <c r="F73" s="7"/>
      <c r="G73" s="7"/>
      <c r="H73" s="7"/>
    </row>
    <row r="74" spans="1:8">
      <c r="B74" t="s">
        <v>201</v>
      </c>
      <c r="D74" s="7">
        <v>80.77</v>
      </c>
      <c r="E74" s="7">
        <v>80.81</v>
      </c>
      <c r="F74" s="7">
        <v>83.04</v>
      </c>
      <c r="G74" s="7">
        <v>84.56</v>
      </c>
      <c r="H74" s="7">
        <v>84.24</v>
      </c>
    </row>
    <row r="75" spans="1:8">
      <c r="B75" t="s">
        <v>202</v>
      </c>
      <c r="D75" s="7">
        <v>91.23</v>
      </c>
      <c r="E75" s="7">
        <v>91.6</v>
      </c>
      <c r="F75" s="7">
        <v>92.44</v>
      </c>
      <c r="G75" s="7">
        <v>93.08</v>
      </c>
      <c r="H75" s="7">
        <v>95.08</v>
      </c>
    </row>
    <row r="76" spans="1:8">
      <c r="B76" t="s">
        <v>203</v>
      </c>
      <c r="D76" s="7">
        <v>65.540000000000006</v>
      </c>
      <c r="E76" s="7">
        <v>32.340000000000003</v>
      </c>
      <c r="F76" s="7">
        <v>44.94</v>
      </c>
      <c r="G76" s="7">
        <v>43.65</v>
      </c>
      <c r="H76" s="7">
        <v>28.12</v>
      </c>
    </row>
    <row r="77" spans="1:8">
      <c r="A77" s="8" t="s">
        <v>36</v>
      </c>
      <c r="B77" s="8"/>
      <c r="C77" s="9">
        <v>47</v>
      </c>
      <c r="D77" s="7">
        <v>79.617232190631995</v>
      </c>
      <c r="E77" s="7">
        <v>75.817085986845399</v>
      </c>
      <c r="F77" s="30">
        <v>78.554972590106743</v>
      </c>
      <c r="G77" s="30">
        <v>80.081700974038199</v>
      </c>
      <c r="H77" s="30">
        <v>78.836199784440993</v>
      </c>
    </row>
    <row r="78" spans="1:8">
      <c r="A78" s="31" t="s">
        <v>333</v>
      </c>
      <c r="B78" s="31"/>
      <c r="C78" s="63"/>
      <c r="D78" s="30">
        <v>79.425952355118156</v>
      </c>
      <c r="E78" s="30">
        <v>74.886706498169204</v>
      </c>
      <c r="F78" s="30">
        <v>77.768979458623051</v>
      </c>
      <c r="G78" s="30">
        <v>79.33276076176935</v>
      </c>
      <c r="H78" s="30">
        <v>77.886067394206819</v>
      </c>
    </row>
    <row r="79" spans="1:8">
      <c r="A79" t="s">
        <v>266</v>
      </c>
      <c r="D79" s="7"/>
      <c r="E79" s="7"/>
      <c r="F79" s="7"/>
      <c r="G79" s="7"/>
      <c r="H79" s="7"/>
    </row>
    <row r="80" spans="1:8">
      <c r="A80">
        <v>4</v>
      </c>
      <c r="B80" t="s">
        <v>204</v>
      </c>
      <c r="D80" s="7">
        <v>15.576125119693584</v>
      </c>
      <c r="E80" s="7">
        <v>15.211178151794218</v>
      </c>
      <c r="F80" s="30">
        <v>13.319216516675489</v>
      </c>
      <c r="G80" s="30">
        <v>12.997459779847587</v>
      </c>
      <c r="H80" s="30">
        <v>14.179183977841694</v>
      </c>
    </row>
    <row r="81" spans="1:8">
      <c r="A81">
        <v>9</v>
      </c>
      <c r="B81" t="s">
        <v>345</v>
      </c>
      <c r="D81" s="7">
        <v>2.0427705075007978</v>
      </c>
      <c r="E81" s="7">
        <v>1.9265375251402563</v>
      </c>
      <c r="F81" s="30">
        <v>2.6151402858655373</v>
      </c>
      <c r="G81" s="30">
        <v>2.5825571549534292</v>
      </c>
      <c r="H81" s="30">
        <v>2.8230531586236283</v>
      </c>
    </row>
    <row r="82" spans="1:8">
      <c r="A82">
        <v>10</v>
      </c>
      <c r="B82" t="s">
        <v>205</v>
      </c>
      <c r="D82" s="7">
        <v>7.2986487924247268</v>
      </c>
      <c r="E82" s="7">
        <v>7.3039060019053679</v>
      </c>
      <c r="F82" s="30">
        <v>10.005293806246691</v>
      </c>
      <c r="G82" s="30">
        <v>10.658340389500424</v>
      </c>
      <c r="H82" s="30">
        <v>11.483967188665174</v>
      </c>
    </row>
    <row r="83" spans="1:8">
      <c r="A83">
        <v>12</v>
      </c>
      <c r="B83" t="s">
        <v>206</v>
      </c>
      <c r="D83" s="7">
        <v>9.3946164485583576</v>
      </c>
      <c r="E83" s="7">
        <v>8.7858579443209486</v>
      </c>
      <c r="F83" s="30">
        <v>9.740603493912122</v>
      </c>
      <c r="G83" s="30">
        <v>9.6634208298052506</v>
      </c>
      <c r="H83" s="30">
        <v>11.068498987962075</v>
      </c>
    </row>
    <row r="84" spans="1:8">
      <c r="A84">
        <v>13</v>
      </c>
      <c r="B84" t="s">
        <v>354</v>
      </c>
      <c r="D84" s="7">
        <v>22.619427598680712</v>
      </c>
      <c r="E84" s="7">
        <v>21.604742246215729</v>
      </c>
      <c r="F84" s="30">
        <v>22.170460561143461</v>
      </c>
      <c r="G84" s="30">
        <v>21.602455546147333</v>
      </c>
      <c r="H84" s="30">
        <v>22.371364653243848</v>
      </c>
    </row>
    <row r="85" spans="1:8">
      <c r="A85" t="s">
        <v>207</v>
      </c>
      <c r="D85" s="7"/>
      <c r="E85" s="7"/>
      <c r="F85" s="7"/>
      <c r="G85" s="7"/>
      <c r="H85" s="7"/>
    </row>
    <row r="86" spans="1:8">
      <c r="A86">
        <v>4</v>
      </c>
      <c r="B86" t="s">
        <v>204</v>
      </c>
      <c r="D86" s="7">
        <v>91.61</v>
      </c>
      <c r="E86" s="7">
        <v>92.96</v>
      </c>
      <c r="F86" s="7">
        <v>94.36</v>
      </c>
      <c r="G86" s="7">
        <v>91.66</v>
      </c>
      <c r="H86" s="7">
        <v>92.8</v>
      </c>
    </row>
    <row r="87" spans="1:8">
      <c r="A87">
        <v>9</v>
      </c>
      <c r="B87" t="s">
        <v>345</v>
      </c>
      <c r="D87" s="7">
        <v>43.53</v>
      </c>
      <c r="E87" s="7">
        <v>68.900000000000006</v>
      </c>
      <c r="F87" s="7">
        <v>77.52</v>
      </c>
      <c r="G87" s="7">
        <v>80.73</v>
      </c>
      <c r="H87" s="7">
        <v>86.64</v>
      </c>
    </row>
    <row r="88" spans="1:8">
      <c r="A88">
        <v>10</v>
      </c>
      <c r="B88" t="s">
        <v>205</v>
      </c>
      <c r="D88" s="7">
        <v>63.47</v>
      </c>
      <c r="E88" s="7">
        <v>90.96</v>
      </c>
      <c r="F88" s="7">
        <v>92.54</v>
      </c>
      <c r="G88" s="7">
        <v>89.16</v>
      </c>
      <c r="H88" s="7">
        <v>91.47</v>
      </c>
    </row>
    <row r="89" spans="1:8">
      <c r="A89">
        <v>12</v>
      </c>
      <c r="B89" t="s">
        <v>206</v>
      </c>
      <c r="D89" s="7">
        <v>89.95</v>
      </c>
      <c r="E89" s="7">
        <v>97.98</v>
      </c>
      <c r="F89" s="7">
        <v>99.6</v>
      </c>
      <c r="G89" s="7">
        <v>96.68</v>
      </c>
      <c r="H89" s="7">
        <v>95.69</v>
      </c>
    </row>
    <row r="90" spans="1:8">
      <c r="A90">
        <v>13</v>
      </c>
      <c r="B90" t="s">
        <v>354</v>
      </c>
      <c r="D90" s="7">
        <v>75.510000000000005</v>
      </c>
      <c r="E90" s="7">
        <v>84.97</v>
      </c>
      <c r="F90" s="7">
        <v>93.19</v>
      </c>
      <c r="G90" s="7">
        <v>83.2</v>
      </c>
      <c r="H90" s="7">
        <v>73.430000000000007</v>
      </c>
    </row>
    <row r="91" spans="1:8">
      <c r="B91" s="68" t="s">
        <v>357</v>
      </c>
      <c r="D91" s="7"/>
      <c r="E91" s="7"/>
      <c r="F91" s="7"/>
      <c r="G91" s="7"/>
      <c r="H91" s="7"/>
    </row>
    <row r="92" spans="1:8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>
      <c r="D96" s="7"/>
      <c r="E96" s="7"/>
      <c r="F96" s="7"/>
      <c r="G96" s="7"/>
      <c r="H96" s="7"/>
    </row>
    <row r="97" spans="2:8">
      <c r="B97" s="39" t="s">
        <v>301</v>
      </c>
      <c r="D97" s="7"/>
      <c r="E97" s="7"/>
      <c r="F97" s="7"/>
      <c r="G97" s="7"/>
      <c r="H97" s="7"/>
    </row>
    <row r="98" spans="2:8">
      <c r="D98" s="7"/>
      <c r="E98" s="7"/>
      <c r="F98" s="7"/>
      <c r="G98" s="7"/>
      <c r="H98" s="7"/>
    </row>
    <row r="99" spans="2:8">
      <c r="D99" s="7"/>
      <c r="E99" s="7"/>
      <c r="F99" s="7"/>
      <c r="G99" s="7"/>
      <c r="H99" s="7"/>
    </row>
    <row r="100" spans="2:8">
      <c r="D100" s="7"/>
      <c r="E100" s="7"/>
      <c r="F100" s="7"/>
      <c r="G100" s="7"/>
      <c r="H100" s="7"/>
    </row>
    <row r="101" spans="2:8">
      <c r="D101" s="7"/>
      <c r="E101" s="7"/>
      <c r="F101" s="7"/>
      <c r="G101" s="7"/>
      <c r="H101" s="7"/>
    </row>
    <row r="102" spans="2:8">
      <c r="D102" s="7"/>
      <c r="E102" s="7"/>
      <c r="F102" s="7"/>
      <c r="G102" s="7"/>
      <c r="H102" s="7"/>
    </row>
    <row r="103" spans="2:8">
      <c r="D103" s="7"/>
      <c r="E103" s="7"/>
      <c r="F103" s="7"/>
      <c r="G103" s="7"/>
      <c r="H103" s="7"/>
    </row>
    <row r="104" spans="2:8">
      <c r="D104" s="7"/>
      <c r="E104" s="7"/>
      <c r="F104" s="7"/>
      <c r="G104" s="7"/>
      <c r="H104" s="7"/>
    </row>
    <row r="105" spans="2:8">
      <c r="D105" s="7"/>
      <c r="E105" s="7"/>
      <c r="F105" s="7"/>
      <c r="G105" s="7"/>
      <c r="H105" s="7"/>
    </row>
    <row r="106" spans="2:8">
      <c r="D106" s="7"/>
      <c r="E106" s="7"/>
      <c r="F106" s="7"/>
      <c r="G106" s="7"/>
      <c r="H106" s="7"/>
    </row>
    <row r="107" spans="2:8">
      <c r="D107" s="7"/>
      <c r="E107" s="7"/>
      <c r="F107" s="7"/>
      <c r="G107" s="7"/>
      <c r="H107" s="7"/>
    </row>
    <row r="108" spans="2:8">
      <c r="D108" s="7"/>
      <c r="E108" s="7"/>
      <c r="F108" s="7"/>
      <c r="G108" s="7"/>
      <c r="H108" s="7"/>
    </row>
    <row r="109" spans="2:8">
      <c r="D109" s="7"/>
      <c r="E109" s="7"/>
      <c r="F109" s="7"/>
      <c r="G109" s="7"/>
      <c r="H109" s="7"/>
    </row>
    <row r="110" spans="2:8">
      <c r="D110" s="7"/>
      <c r="E110" s="7"/>
      <c r="F110" s="7"/>
      <c r="G110" s="7"/>
      <c r="H110" s="7"/>
    </row>
    <row r="111" spans="2:8">
      <c r="D111" s="7"/>
      <c r="E111" s="7"/>
      <c r="F111" s="7"/>
      <c r="G111" s="7"/>
      <c r="H111" s="7"/>
    </row>
    <row r="112" spans="2:8">
      <c r="D112" s="7"/>
      <c r="E112" s="7"/>
      <c r="F112" s="7"/>
      <c r="G112" s="7"/>
      <c r="H112" s="7"/>
    </row>
    <row r="113" spans="2:8">
      <c r="D113" s="7"/>
      <c r="E113" s="7"/>
      <c r="F113" s="7"/>
      <c r="G113" s="7"/>
      <c r="H113" s="7"/>
    </row>
    <row r="114" spans="2:8">
      <c r="D114" s="7"/>
      <c r="E114" s="7"/>
      <c r="F114" s="7"/>
      <c r="G114" s="7"/>
      <c r="H114" s="7"/>
    </row>
    <row r="115" spans="2:8">
      <c r="D115" s="7"/>
      <c r="E115" s="7"/>
      <c r="F115" s="7"/>
      <c r="G115" s="7"/>
      <c r="H115" s="7"/>
    </row>
    <row r="116" spans="2:8">
      <c r="D116" s="7"/>
      <c r="E116" s="7"/>
      <c r="F116" s="7"/>
      <c r="G116" s="7"/>
      <c r="H116" s="7"/>
    </row>
    <row r="117" spans="2:8">
      <c r="D117" s="7"/>
      <c r="E117" s="7"/>
      <c r="F117" s="7"/>
      <c r="G117" s="7"/>
      <c r="H117" s="7"/>
    </row>
    <row r="118" spans="2:8">
      <c r="B118" s="39" t="s">
        <v>302</v>
      </c>
      <c r="D118" s="7"/>
      <c r="E118" s="7"/>
      <c r="F118" s="7"/>
      <c r="G118" s="7"/>
      <c r="H118" s="7"/>
    </row>
    <row r="119" spans="2:8">
      <c r="D119" s="7"/>
      <c r="E119" s="7"/>
      <c r="F119" s="7"/>
      <c r="G119" s="7"/>
      <c r="H119" s="7"/>
    </row>
    <row r="120" spans="2:8">
      <c r="D120" s="7"/>
      <c r="E120" s="7"/>
      <c r="F120" s="7"/>
      <c r="G120" s="7"/>
      <c r="H120" s="7"/>
    </row>
    <row r="121" spans="2:8">
      <c r="D121" s="7"/>
      <c r="E121" s="7"/>
      <c r="F121" s="7"/>
      <c r="G121" s="7"/>
      <c r="H121" s="7"/>
    </row>
    <row r="122" spans="2:8">
      <c r="D122" s="7"/>
      <c r="E122" s="7"/>
      <c r="F122" s="7"/>
      <c r="G122" s="7"/>
      <c r="H122" s="7"/>
    </row>
    <row r="123" spans="2:8">
      <c r="D123" s="7"/>
      <c r="E123" s="7"/>
      <c r="F123" s="7"/>
      <c r="G123" s="7"/>
      <c r="H123" s="7"/>
    </row>
    <row r="124" spans="2:8">
      <c r="D124" s="7"/>
      <c r="E124" s="7"/>
      <c r="F124" s="7"/>
      <c r="G124" s="7"/>
      <c r="H124" s="7"/>
    </row>
    <row r="125" spans="2:8">
      <c r="D125" s="7"/>
      <c r="E125" s="7"/>
      <c r="F125" s="7"/>
      <c r="G125" s="7"/>
      <c r="H125" s="7"/>
    </row>
    <row r="126" spans="2:8">
      <c r="D126" s="7"/>
      <c r="E126" s="7"/>
      <c r="F126" s="7"/>
      <c r="G126" s="7"/>
      <c r="H126" s="7"/>
    </row>
    <row r="127" spans="2:8">
      <c r="D127" s="7"/>
      <c r="E127" s="7"/>
      <c r="F127" s="7"/>
      <c r="G127" s="7"/>
      <c r="H127" s="7"/>
    </row>
    <row r="128" spans="2:8">
      <c r="D128" s="7"/>
      <c r="E128" s="7"/>
      <c r="F128" s="7"/>
      <c r="G128" s="7"/>
      <c r="H128" s="7"/>
    </row>
    <row r="129" spans="2:8">
      <c r="D129" s="7"/>
      <c r="E129" s="7"/>
      <c r="F129" s="7"/>
      <c r="G129" s="7"/>
      <c r="H129" s="7"/>
    </row>
    <row r="130" spans="2:8">
      <c r="D130" s="7"/>
      <c r="E130" s="7"/>
      <c r="F130" s="7"/>
      <c r="G130" s="7"/>
      <c r="H130" s="7"/>
    </row>
    <row r="131" spans="2:8">
      <c r="D131" s="7"/>
      <c r="E131" s="7"/>
      <c r="F131" s="7"/>
      <c r="G131" s="7"/>
      <c r="H131" s="7"/>
    </row>
    <row r="132" spans="2:8">
      <c r="D132" s="7"/>
      <c r="E132" s="7"/>
      <c r="F132" s="7"/>
      <c r="G132" s="7"/>
      <c r="H132" s="7"/>
    </row>
    <row r="133" spans="2:8">
      <c r="D133" s="7"/>
      <c r="E133" s="7"/>
      <c r="F133" s="7"/>
      <c r="G133" s="7"/>
      <c r="H133" s="7"/>
    </row>
    <row r="134" spans="2:8">
      <c r="D134" s="7"/>
      <c r="E134" s="7"/>
      <c r="F134" s="7"/>
      <c r="G134" s="7"/>
      <c r="H134" s="7"/>
    </row>
    <row r="135" spans="2:8"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B139" s="39" t="s">
        <v>158</v>
      </c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2:8">
      <c r="D145" s="7"/>
      <c r="E145" s="7"/>
      <c r="F145" s="7"/>
      <c r="G145" s="7"/>
      <c r="H145" s="7"/>
    </row>
    <row r="146" spans="2:8">
      <c r="D146" s="7"/>
      <c r="E146" s="7"/>
      <c r="F146" s="7"/>
      <c r="G146" s="7"/>
      <c r="H146" s="7"/>
    </row>
    <row r="147" spans="2:8">
      <c r="D147" s="7"/>
      <c r="E147" s="7"/>
      <c r="F147" s="7"/>
      <c r="G147" s="7"/>
      <c r="H147" s="7"/>
    </row>
    <row r="148" spans="2:8">
      <c r="D148" s="7"/>
      <c r="E148" s="7"/>
      <c r="F148" s="7"/>
      <c r="G148" s="7"/>
      <c r="H148" s="7"/>
    </row>
    <row r="149" spans="2:8">
      <c r="D149" s="7"/>
      <c r="E149" s="7"/>
      <c r="F149" s="7"/>
      <c r="G149" s="7"/>
      <c r="H149" s="7"/>
    </row>
    <row r="150" spans="2:8">
      <c r="D150" s="7"/>
      <c r="E150" s="7"/>
      <c r="F150" s="7"/>
      <c r="G150" s="7"/>
      <c r="H150" s="7"/>
    </row>
    <row r="151" spans="2:8">
      <c r="D151" s="7"/>
      <c r="E151" s="7"/>
      <c r="F151" s="7"/>
      <c r="G151" s="7"/>
      <c r="H151" s="7"/>
    </row>
    <row r="152" spans="2:8">
      <c r="D152" s="7"/>
      <c r="E152" s="7"/>
      <c r="F152" s="7"/>
      <c r="G152" s="7"/>
      <c r="H152" s="7"/>
    </row>
    <row r="153" spans="2:8">
      <c r="D153" s="7"/>
      <c r="E153" s="7"/>
      <c r="F153" s="7"/>
      <c r="G153" s="7"/>
      <c r="H153" s="7"/>
    </row>
    <row r="154" spans="2:8">
      <c r="D154" s="7"/>
      <c r="E154" s="7"/>
      <c r="F154" s="7"/>
      <c r="G154" s="7"/>
      <c r="H154" s="7"/>
    </row>
    <row r="155" spans="2:8">
      <c r="D155" s="7"/>
      <c r="E155" s="7"/>
      <c r="F155" s="7"/>
      <c r="G155" s="7"/>
      <c r="H155" s="7"/>
    </row>
    <row r="156" spans="2:8">
      <c r="D156" s="7"/>
      <c r="E156" s="7"/>
      <c r="F156" s="7"/>
      <c r="G156" s="7"/>
      <c r="H156" s="7"/>
    </row>
    <row r="157" spans="2:8">
      <c r="D157" s="7"/>
      <c r="E157" s="7"/>
      <c r="F157" s="7"/>
      <c r="G157" s="7"/>
      <c r="H157" s="7"/>
    </row>
    <row r="158" spans="2:8">
      <c r="D158" s="7"/>
      <c r="E158" s="7"/>
      <c r="F158" s="7"/>
      <c r="G158" s="7"/>
      <c r="H158" s="7"/>
    </row>
    <row r="159" spans="2:8">
      <c r="D159" s="7"/>
      <c r="E159" s="7"/>
      <c r="F159" s="7"/>
      <c r="G159" s="7"/>
      <c r="H159" s="7"/>
    </row>
    <row r="160" spans="2:8">
      <c r="B160" s="39" t="s">
        <v>167</v>
      </c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2:8">
      <c r="D177" s="7"/>
      <c r="E177" s="7"/>
      <c r="F177" s="7"/>
      <c r="G177" s="7"/>
      <c r="H177" s="7"/>
    </row>
    <row r="178" spans="2:8">
      <c r="D178" s="7"/>
      <c r="E178" s="7"/>
      <c r="F178" s="7"/>
      <c r="G178" s="7"/>
      <c r="H178" s="7"/>
    </row>
    <row r="179" spans="2:8">
      <c r="D179" s="7"/>
      <c r="E179" s="7"/>
      <c r="F179" s="7"/>
      <c r="G179" s="7"/>
      <c r="H179" s="7"/>
    </row>
    <row r="180" spans="2:8">
      <c r="D180" s="7"/>
      <c r="E180" s="7"/>
      <c r="F180" s="7"/>
      <c r="G180" s="7"/>
      <c r="H180" s="7"/>
    </row>
    <row r="181" spans="2:8">
      <c r="B181" s="39" t="s">
        <v>300</v>
      </c>
    </row>
    <row r="182" spans="2:8">
      <c r="E182" s="31"/>
    </row>
    <row r="202" spans="2:2">
      <c r="B202" s="39" t="s">
        <v>266</v>
      </c>
    </row>
    <row r="221" spans="2:2">
      <c r="B221" s="39" t="s">
        <v>207</v>
      </c>
    </row>
  </sheetData>
  <mergeCells count="1">
    <mergeCell ref="A1:B1"/>
  </mergeCells>
  <conditionalFormatting sqref="D3">
    <cfRule type="cellIs" dxfId="22" priority="28" operator="greaterThan">
      <formula>$C3</formula>
    </cfRule>
  </conditionalFormatting>
  <conditionalFormatting sqref="D12">
    <cfRule type="cellIs" dxfId="21" priority="26" operator="lessThan">
      <formula>$C12</formula>
    </cfRule>
  </conditionalFormatting>
  <conditionalFormatting sqref="D15:H15">
    <cfRule type="cellIs" dxfId="20" priority="24" operator="greaterThan">
      <formula>$C$15</formula>
    </cfRule>
  </conditionalFormatting>
  <conditionalFormatting sqref="E3:H3">
    <cfRule type="cellIs" dxfId="19" priority="20" operator="greaterThan">
      <formula>$C3</formula>
    </cfRule>
  </conditionalFormatting>
  <conditionalFormatting sqref="D51:H51">
    <cfRule type="cellIs" dxfId="18" priority="19" operator="greaterThan">
      <formula>$C51</formula>
    </cfRule>
  </conditionalFormatting>
  <conditionalFormatting sqref="D62:H63">
    <cfRule type="cellIs" dxfId="17" priority="18" operator="greaterThan">
      <formula>$C62</formula>
    </cfRule>
  </conditionalFormatting>
  <conditionalFormatting sqref="D65:H65">
    <cfRule type="cellIs" dxfId="16" priority="17" operator="greaterThan">
      <formula>$C65</formula>
    </cfRule>
  </conditionalFormatting>
  <conditionalFormatting sqref="E12:H12">
    <cfRule type="cellIs" dxfId="15" priority="16" operator="lessThan">
      <formula>$C12</formula>
    </cfRule>
  </conditionalFormatting>
  <conditionalFormatting sqref="D77:G78">
    <cfRule type="cellIs" dxfId="14" priority="15" operator="lessThan">
      <formula>$C77</formula>
    </cfRule>
  </conditionalFormatting>
  <conditionalFormatting sqref="E77:H78">
    <cfRule type="cellIs" dxfId="13" priority="14" operator="lessThan">
      <formula>$C77</formula>
    </cfRule>
  </conditionalFormatting>
  <conditionalFormatting sqref="D66">
    <cfRule type="expression" dxfId="12" priority="5">
      <formula>D$66+D$67&gt;=$C$67</formula>
    </cfRule>
  </conditionalFormatting>
  <conditionalFormatting sqref="E66:H66">
    <cfRule type="expression" dxfId="11" priority="4">
      <formula>E$66+E$67&gt;=$C$67</formula>
    </cfRule>
  </conditionalFormatting>
  <conditionalFormatting sqref="D67">
    <cfRule type="expression" dxfId="10" priority="3">
      <formula>D$66+D$67&gt;=$C$67</formula>
    </cfRule>
  </conditionalFormatting>
  <conditionalFormatting sqref="E67:H67">
    <cfRule type="expression" dxfId="9" priority="2">
      <formula>E$66+E$67&gt;=$C$67</formula>
    </cfRule>
  </conditionalFormatting>
  <conditionalFormatting sqref="C63">
    <cfRule type="cellIs" dxfId="8" priority="1" operator="greaterThan">
      <formula>$C63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2022-01-23T09:24:56Z</dcterms:modified>
</cp:coreProperties>
</file>