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7" i="8" s="1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5" i="7" s="1"/>
  <c r="E10" i="7"/>
  <c r="E9" i="7"/>
  <c r="E8" i="7"/>
  <c r="E7" i="7"/>
  <c r="E6" i="7"/>
  <c r="E4" i="7"/>
  <c r="E3" i="7"/>
  <c r="E2" i="7"/>
  <c r="N55" i="2"/>
  <c r="Q55" i="2" s="1"/>
  <c r="O54" i="2"/>
  <c r="N54" i="2"/>
  <c r="N53" i="2"/>
  <c r="O52" i="2"/>
  <c r="N52" i="2"/>
  <c r="O51" i="2"/>
  <c r="N51" i="2"/>
  <c r="O50" i="2"/>
  <c r="N50" i="2"/>
  <c r="O16" i="2"/>
  <c r="N16" i="2"/>
  <c r="N20" i="2" s="1"/>
  <c r="O15" i="2"/>
  <c r="R15" i="2" s="1"/>
  <c r="N15" i="2"/>
  <c r="O14" i="2"/>
  <c r="O20" i="2" s="1"/>
  <c r="N14" i="2"/>
  <c r="R60" i="2"/>
  <c r="Q60" i="2"/>
  <c r="R58" i="2"/>
  <c r="R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Q15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10" i="8" l="1"/>
  <c r="E15" i="8"/>
  <c r="E20" i="8"/>
  <c r="E30" i="8"/>
  <c r="E31" i="8" s="1"/>
  <c r="E21" i="8"/>
  <c r="E5" i="7"/>
  <c r="E11" i="7"/>
  <c r="E20" i="7"/>
  <c r="E21" i="7" s="1"/>
  <c r="E16" i="7"/>
  <c r="R20" i="2"/>
  <c r="O21" i="2"/>
  <c r="R21" i="2" s="1"/>
  <c r="N21" i="2"/>
  <c r="Q21" i="2" s="1"/>
  <c r="Q20" i="2"/>
  <c r="R14" i="2"/>
  <c r="K55" i="2" l="1"/>
  <c r="M55" i="2" s="1"/>
  <c r="M54" i="2"/>
  <c r="L54" i="2"/>
  <c r="K54" i="2"/>
  <c r="K53" i="2"/>
  <c r="M53" i="2" s="1"/>
  <c r="L52" i="2"/>
  <c r="K52" i="2"/>
  <c r="M52" i="2" s="1"/>
  <c r="L51" i="2"/>
  <c r="M51" i="2" s="1"/>
  <c r="K51" i="2"/>
  <c r="L50" i="2"/>
  <c r="L56" i="2" s="1"/>
  <c r="L57" i="2" s="1"/>
  <c r="K50" i="2"/>
  <c r="M50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6" i="2"/>
  <c r="L15" i="2"/>
  <c r="L60" i="2" s="1"/>
  <c r="K15" i="2"/>
  <c r="K60" i="2" s="1"/>
  <c r="L14" i="2"/>
  <c r="L20" i="2" s="1"/>
  <c r="L21" i="2" s="1"/>
  <c r="L58" i="2" s="1"/>
  <c r="K14" i="2"/>
  <c r="M13" i="2"/>
  <c r="L12" i="2"/>
  <c r="K12" i="2"/>
  <c r="K16" i="2" s="1"/>
  <c r="M16" i="2" s="1"/>
  <c r="M11" i="2"/>
  <c r="M10" i="2"/>
  <c r="M9" i="2"/>
  <c r="M8" i="2"/>
  <c r="M7" i="2"/>
  <c r="M6" i="2"/>
  <c r="M5" i="2"/>
  <c r="M4" i="2"/>
  <c r="M3" i="2"/>
  <c r="D29" i="5"/>
  <c r="F28" i="5"/>
  <c r="F29" i="5" s="1"/>
  <c r="F27" i="5"/>
  <c r="F15" i="5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28" i="6" s="1"/>
  <c r="G24" i="1"/>
  <c r="G6" i="1"/>
  <c r="G7" i="1" s="1"/>
  <c r="K20" i="2" l="1"/>
  <c r="M14" i="2"/>
  <c r="K56" i="2"/>
  <c r="K59" i="2"/>
  <c r="L59" i="2"/>
  <c r="M15" i="2"/>
  <c r="M12" i="2"/>
  <c r="F52" i="1"/>
  <c r="F24" i="1"/>
  <c r="F20" i="1"/>
  <c r="F14" i="1"/>
  <c r="F7" i="1"/>
  <c r="F22" i="1" s="1"/>
  <c r="F6" i="1"/>
  <c r="F3" i="13"/>
  <c r="C2" i="13"/>
  <c r="K57" i="2" l="1"/>
  <c r="M57" i="2" s="1"/>
  <c r="M56" i="2"/>
  <c r="M20" i="2"/>
  <c r="K21" i="2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K58" i="2" l="1"/>
  <c r="M21" i="2"/>
  <c r="D5" i="7"/>
  <c r="D10" i="8"/>
  <c r="D15" i="8"/>
  <c r="D20" i="8"/>
  <c r="D27" i="8"/>
  <c r="D11" i="7"/>
  <c r="D15" i="7"/>
  <c r="D20" i="7" l="1"/>
  <c r="D21" i="7" s="1"/>
  <c r="D16" i="7"/>
  <c r="D21" i="8"/>
  <c r="H55" i="2"/>
  <c r="J55" i="2" s="1"/>
  <c r="I54" i="2"/>
  <c r="H54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J16" i="2" s="1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G28" i="5"/>
  <c r="G27" i="5"/>
  <c r="G15" i="5"/>
  <c r="F14" i="10"/>
  <c r="F12" i="10"/>
  <c r="F11" i="10"/>
  <c r="F10" i="10"/>
  <c r="F8" i="10"/>
  <c r="F7" i="10"/>
  <c r="F6" i="10"/>
  <c r="F4" i="10"/>
  <c r="F3" i="10"/>
  <c r="G21" i="6"/>
  <c r="H21" i="6" s="1"/>
  <c r="G10" i="6"/>
  <c r="G52" i="1"/>
  <c r="G20" i="1"/>
  <c r="G14" i="1"/>
  <c r="F4" i="13"/>
  <c r="C3" i="13"/>
  <c r="E52" i="1"/>
  <c r="D52" i="1"/>
  <c r="C52" i="1"/>
  <c r="B52" i="1"/>
  <c r="E24" i="1"/>
  <c r="D24" i="1"/>
  <c r="C24" i="1"/>
  <c r="B24" i="1"/>
  <c r="F8" i="13"/>
  <c r="F7" i="13"/>
  <c r="C7" i="13"/>
  <c r="F6" i="13"/>
  <c r="C6" i="13"/>
  <c r="F5" i="13"/>
  <c r="C5" i="13"/>
  <c r="C4" i="13"/>
  <c r="B5" i="5"/>
  <c r="B55" i="2"/>
  <c r="C54" i="2"/>
  <c r="B54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E55" i="2"/>
  <c r="F54" i="2"/>
  <c r="E54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D6" i="1"/>
  <c r="E6" i="1"/>
  <c r="B27" i="5"/>
  <c r="C27" i="5"/>
  <c r="D27" i="5"/>
  <c r="E27" i="5"/>
  <c r="F2" i="10" l="1"/>
  <c r="H10" i="6"/>
  <c r="C20" i="2"/>
  <c r="C21" i="2" s="1"/>
  <c r="I60" i="2"/>
  <c r="J54" i="2"/>
  <c r="D28" i="8"/>
  <c r="F5" i="10"/>
  <c r="D4" i="9"/>
  <c r="I59" i="2"/>
  <c r="H56" i="2"/>
  <c r="D29" i="8"/>
  <c r="J51" i="2"/>
  <c r="F4" i="9"/>
  <c r="I20" i="2"/>
  <c r="H59" i="2"/>
  <c r="D5" i="9"/>
  <c r="J52" i="2"/>
  <c r="E20" i="2"/>
  <c r="E21" i="2" s="1"/>
  <c r="B20" i="2"/>
  <c r="B21" i="2" s="1"/>
  <c r="F20" i="2"/>
  <c r="F21" i="2" s="1"/>
  <c r="H60" i="2"/>
  <c r="J53" i="2"/>
  <c r="H57" i="2"/>
  <c r="H20" i="2"/>
  <c r="J14" i="2"/>
  <c r="J15" i="2"/>
  <c r="J50" i="2"/>
  <c r="I56" i="2"/>
  <c r="G29" i="5"/>
  <c r="G28" i="6"/>
  <c r="H28" i="6" s="1"/>
  <c r="G22" i="1"/>
  <c r="B15" i="5"/>
  <c r="C15" i="5"/>
  <c r="D15" i="5"/>
  <c r="E15" i="5"/>
  <c r="I57" i="2" l="1"/>
  <c r="I21" i="2"/>
  <c r="D30" i="8"/>
  <c r="D3" i="9"/>
  <c r="F9" i="10"/>
  <c r="J56" i="2"/>
  <c r="D2" i="9"/>
  <c r="F5" i="9"/>
  <c r="H21" i="2"/>
  <c r="J20" i="2"/>
  <c r="D7" i="1"/>
  <c r="C28" i="5"/>
  <c r="B7" i="1"/>
  <c r="C7" i="1"/>
  <c r="E7" i="1"/>
  <c r="C10" i="6"/>
  <c r="C21" i="6"/>
  <c r="F56" i="2"/>
  <c r="F57" i="2" s="1"/>
  <c r="E56" i="2"/>
  <c r="E57" i="2" s="1"/>
  <c r="F13" i="10" l="1"/>
  <c r="I58" i="2"/>
  <c r="D31" i="8"/>
  <c r="J57" i="2"/>
  <c r="H58" i="2"/>
  <c r="J21" i="2"/>
  <c r="C28" i="6"/>
  <c r="F15" i="10" l="1"/>
  <c r="D6" i="9"/>
  <c r="B14" i="1"/>
  <c r="B20" i="1"/>
  <c r="B22" i="1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C5" i="9"/>
  <c r="B5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17" i="8" l="1"/>
  <c r="J19" i="8"/>
  <c r="J9" i="8"/>
  <c r="J5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G17" i="7" s="1"/>
  <c r="J21" i="8"/>
  <c r="J16" i="7"/>
  <c r="J20" i="7"/>
  <c r="J21" i="7"/>
  <c r="I28" i="8"/>
  <c r="I30" i="8" s="1"/>
  <c r="I31" i="8" s="1"/>
  <c r="G2" i="7" l="1"/>
  <c r="G5" i="7"/>
  <c r="G3" i="7"/>
  <c r="G12" i="7"/>
  <c r="G21" i="7"/>
  <c r="G7" i="7"/>
  <c r="G9" i="7"/>
  <c r="G14" i="7"/>
  <c r="G8" i="7"/>
  <c r="G6" i="7"/>
  <c r="G10" i="7"/>
  <c r="G15" i="7"/>
  <c r="G16" i="7"/>
  <c r="G13" i="7"/>
  <c r="G18" i="7"/>
  <c r="G4" i="7"/>
  <c r="G11" i="7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F58" i="2"/>
  <c r="E58" i="2"/>
  <c r="C6" i="9" s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5" i="9"/>
  <c r="H4" i="9" l="1"/>
  <c r="P55" i="2"/>
  <c r="F29" i="8"/>
  <c r="J28" i="8"/>
  <c r="P51" i="2"/>
  <c r="P54" i="2"/>
  <c r="P53" i="2"/>
  <c r="P52" i="2"/>
  <c r="P50" i="2"/>
  <c r="P16" i="2"/>
  <c r="P14" i="2"/>
  <c r="P15" i="2"/>
  <c r="O56" i="2"/>
  <c r="R56" i="2" s="1"/>
  <c r="O60" i="2"/>
  <c r="H3" i="9" s="1"/>
  <c r="N60" i="2"/>
  <c r="F3" i="9" s="1"/>
  <c r="N56" i="2"/>
  <c r="Q56" i="2" s="1"/>
  <c r="O59" i="2"/>
  <c r="N59" i="2"/>
  <c r="Q59" i="2" s="1"/>
  <c r="H2" i="9" l="1"/>
  <c r="R59" i="2"/>
  <c r="O57" i="2"/>
  <c r="R57" i="2" s="1"/>
  <c r="F30" i="8"/>
  <c r="F2" i="9"/>
  <c r="J29" i="8"/>
  <c r="P21" i="2"/>
  <c r="P20" i="2"/>
  <c r="N57" i="2"/>
  <c r="Q57" i="2" s="1"/>
  <c r="P56" i="2"/>
  <c r="O58" i="2"/>
  <c r="H6" i="9" s="1"/>
  <c r="G12" i="2"/>
  <c r="D55" i="2"/>
  <c r="D54" i="2"/>
  <c r="J30" i="8" l="1"/>
  <c r="F31" i="8"/>
  <c r="G14" i="8" s="1"/>
  <c r="P57" i="2"/>
  <c r="G13" i="8"/>
  <c r="G23" i="8"/>
  <c r="G18" i="8"/>
  <c r="G16" i="8"/>
  <c r="G26" i="8"/>
  <c r="G5" i="8"/>
  <c r="G22" i="8"/>
  <c r="G7" i="8"/>
  <c r="G2" i="8"/>
  <c r="G4" i="8"/>
  <c r="G19" i="8"/>
  <c r="G10" i="8"/>
  <c r="J31" i="8"/>
  <c r="G28" i="8"/>
  <c r="N58" i="2"/>
  <c r="Q58" i="2" s="1"/>
  <c r="G14" i="2"/>
  <c r="G15" i="2"/>
  <c r="G50" i="2"/>
  <c r="G51" i="2"/>
  <c r="G52" i="2"/>
  <c r="G53" i="2"/>
  <c r="G54" i="2"/>
  <c r="G55" i="2"/>
  <c r="B59" i="2"/>
  <c r="B2" i="9" s="1"/>
  <c r="D14" i="2"/>
  <c r="D16" i="2"/>
  <c r="D12" i="2"/>
  <c r="B60" i="2"/>
  <c r="B3" i="9" s="1"/>
  <c r="D51" i="2"/>
  <c r="F59" i="2"/>
  <c r="C60" i="2"/>
  <c r="D53" i="2"/>
  <c r="D15" i="2"/>
  <c r="D50" i="2"/>
  <c r="D52" i="2"/>
  <c r="E60" i="2"/>
  <c r="C56" i="2"/>
  <c r="C57" i="2" s="1"/>
  <c r="E59" i="2"/>
  <c r="F60" i="2"/>
  <c r="C59" i="2"/>
  <c r="B56" i="2"/>
  <c r="G3" i="8" l="1"/>
  <c r="G17" i="8"/>
  <c r="G24" i="8"/>
  <c r="G9" i="8"/>
  <c r="G8" i="8"/>
  <c r="G27" i="8"/>
  <c r="G25" i="8"/>
  <c r="G12" i="8"/>
  <c r="G20" i="8"/>
  <c r="G6" i="8"/>
  <c r="G31" i="8"/>
  <c r="G15" i="8"/>
  <c r="G11" i="8"/>
  <c r="F6" i="9"/>
  <c r="G21" i="8"/>
  <c r="C2" i="9"/>
  <c r="C3" i="9"/>
  <c r="C58" i="2"/>
  <c r="G20" i="2"/>
  <c r="G56" i="2"/>
  <c r="G16" i="2"/>
  <c r="D21" i="2"/>
  <c r="D20" i="2"/>
  <c r="B57" i="2"/>
  <c r="D57" i="2" s="1"/>
  <c r="D56" i="2"/>
  <c r="G21" i="2" l="1"/>
  <c r="G57" i="2"/>
  <c r="B58" i="2"/>
  <c r="B6" i="9" s="1"/>
</calcChain>
</file>

<file path=xl/sharedStrings.xml><?xml version="1.0" encoding="utf-8"?>
<sst xmlns="http://schemas.openxmlformats.org/spreadsheetml/2006/main" count="472" uniqueCount="369">
  <si>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</si>
  <si>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</si>
  <si>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</si>
  <si>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</si>
  <si>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</si>
  <si>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</si>
  <si>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</si>
  <si>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</si>
  <si>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</si>
  <si>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</si>
  <si>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</si>
  <si>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</si>
  <si>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</si>
  <si>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</si>
  <si>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</si>
  <si>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</si>
  <si>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</si>
  <si>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</si>
  <si>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</si>
  <si>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</si>
  <si>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</si>
  <si>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</si>
  <si>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</si>
  <si>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</si>
  <si>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</si>
  <si>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</si>
  <si>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</si>
  <si>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</si>
  <si>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</si>
  <si>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</si>
  <si>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</si>
  <si>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</si>
  <si>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</si>
  <si>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</si>
  <si>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</si>
  <si>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</si>
  <si>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</si>
  <si>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</si>
  <si>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</si>
  <si>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</si>
  <si>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</si>
  <si>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</si>
  <si>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</si>
  <si>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</si>
  <si>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</si>
  <si>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</si>
  <si>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</si>
  <si>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</si>
  <si>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</si>
  <si>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</si>
  <si>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</si>
  <si>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</si>
  <si>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</si>
  <si>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</si>
  <si>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</si>
  <si>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</si>
  <si>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</si>
  <si>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</si>
  <si>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</si>
  <si>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</si>
  <si>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</si>
  <si>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</si>
  <si>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</si>
  <si>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</si>
  <si>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</si>
  <si>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</si>
  <si>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</si>
  <si>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</si>
  <si>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</si>
  <si>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</si>
  <si>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entrate/uscite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</si>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</sst>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0" fillId="0" borderId="0" xfId="0" applyNumberFormat="1" applyFill="1"/>
    <xf numFmtId="164" fontId="0" fillId="0" borderId="0" xfId="1" applyNumberFormat="1" applyFont="1" applyFill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 applyAlignment="1">
      <alignment horizontal="center"/>
    </xf>
    <xf numFmtId="0" fontId="0" fillId="0" borderId="1" xfId="0" applyBorder="1" applyAlignment="1">
      <alignment wrapText="1"/>
    </xf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7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49"/>
          <c:y val="5.4234059497589075E-2"/>
          <c:w val="0.80361249792401179"/>
          <c:h val="0.69993782761097612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2494982201.3299999</c:v>
                </c:pt>
                <c:pt idx="1">
                  <c:v>2136780492.9100001</c:v>
                </c:pt>
                <c:pt idx="2">
                  <c:v>2251462601.9899998</c:v>
                </c:pt>
                <c:pt idx="3">
                  <c:v>2096288932.3</c:v>
                </c:pt>
                <c:pt idx="4">
                  <c:v>1910915173.3199999</c:v>
                </c:pt>
                <c:pt idx="5">
                  <c:v>1717047353.45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2086849805.1199999</c:v>
                </c:pt>
                <c:pt idx="1">
                  <c:v>1974832681.3800001</c:v>
                </c:pt>
                <c:pt idx="2">
                  <c:v>1886814238.1400001</c:v>
                </c:pt>
                <c:pt idx="3">
                  <c:v>1749592483.49</c:v>
                </c:pt>
                <c:pt idx="4">
                  <c:v>1558603324.99</c:v>
                </c:pt>
                <c:pt idx="5">
                  <c:v>1523259803.6500001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27808"/>
        <c:axId val="-1342326720"/>
      </c:lineChart>
      <c:catAx>
        <c:axId val="-134232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326720"/>
        <c:crosses val="autoZero"/>
        <c:auto val="1"/>
        <c:lblAlgn val="ctr"/>
        <c:lblOffset val="100"/>
        <c:noMultiLvlLbl val="0"/>
      </c:catAx>
      <c:valAx>
        <c:axId val="-1342326720"/>
        <c:scaling>
          <c:orientation val="minMax"/>
          <c:max val="2500000000"/>
          <c:min val="15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34232780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133.79</c:v>
                </c:pt>
                <c:pt idx="1">
                  <c:v>200.73</c:v>
                </c:pt>
                <c:pt idx="2">
                  <c:v>126.82</c:v>
                </c:pt>
                <c:pt idx="3">
                  <c:v>134.69</c:v>
                </c:pt>
                <c:pt idx="4">
                  <c:v>212.1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2688"/>
        <c:axId val="-1450396496"/>
      </c:barChart>
      <c:catAx>
        <c:axId val="-145039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6496"/>
        <c:crosses val="autoZero"/>
        <c:auto val="1"/>
        <c:lblAlgn val="ctr"/>
        <c:lblOffset val="100"/>
        <c:noMultiLvlLbl val="0"/>
      </c:catAx>
      <c:valAx>
        <c:axId val="-145039649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9268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58E-2"/>
          <c:y val="3.6934441366574589E-3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-2.06</c:v>
                </c:pt>
                <c:pt idx="1">
                  <c:v>-0.85</c:v>
                </c:pt>
                <c:pt idx="2">
                  <c:v>-0.85</c:v>
                </c:pt>
                <c:pt idx="3">
                  <c:v>-19.5</c:v>
                </c:pt>
                <c:pt idx="4">
                  <c:v>-15.53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7584"/>
        <c:axId val="-1450392144"/>
      </c:barChart>
      <c:catAx>
        <c:axId val="-145039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2144"/>
        <c:crosses val="autoZero"/>
        <c:auto val="1"/>
        <c:lblAlgn val="ctr"/>
        <c:lblOffset val="100"/>
        <c:noMultiLvlLbl val="0"/>
      </c:catAx>
      <c:valAx>
        <c:axId val="-1450392144"/>
        <c:scaling>
          <c:orientation val="minMax"/>
          <c:max val="7"/>
          <c:min val="-20"/>
        </c:scaling>
        <c:delete val="1"/>
        <c:axPos val="l"/>
        <c:numFmt formatCode="0" sourceLinked="0"/>
        <c:majorTickMark val="none"/>
        <c:minorTickMark val="none"/>
        <c:tickLblPos val="none"/>
        <c:crossAx val="-145039758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58E-2"/>
          <c:y val="3.6934441366574589E-3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357.32</c:v>
                </c:pt>
                <c:pt idx="1">
                  <c:v>338.25</c:v>
                </c:pt>
                <c:pt idx="2">
                  <c:v>328.31</c:v>
                </c:pt>
                <c:pt idx="3">
                  <c:v>860.23180965874258</c:v>
                </c:pt>
                <c:pt idx="4">
                  <c:v>846.63403246705172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1056"/>
        <c:axId val="-1450397040"/>
      </c:barChart>
      <c:catAx>
        <c:axId val="-14503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7040"/>
        <c:crosses val="autoZero"/>
        <c:auto val="1"/>
        <c:lblAlgn val="ctr"/>
        <c:lblOffset val="100"/>
        <c:noMultiLvlLbl val="0"/>
      </c:catAx>
      <c:valAx>
        <c:axId val="-1450397040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45039105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7799668150285073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1498236</c:v>
                </c:pt>
                <c:pt idx="1">
                  <c:v>1512672</c:v>
                </c:pt>
                <c:pt idx="2">
                  <c:v>1520321</c:v>
                </c:pt>
                <c:pt idx="3">
                  <c:v>1526331</c:v>
                </c:pt>
                <c:pt idx="4">
                  <c:v>1532460</c:v>
                </c:pt>
                <c:pt idx="5">
                  <c:v>1538442</c:v>
                </c:pt>
                <c:pt idx="6">
                  <c:v>1545869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4864"/>
        <c:axId val="-1450395952"/>
      </c:barChart>
      <c:catAx>
        <c:axId val="-145039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450395952"/>
        <c:crosses val="autoZero"/>
        <c:auto val="1"/>
        <c:lblAlgn val="ctr"/>
        <c:lblOffset val="100"/>
        <c:noMultiLvlLbl val="0"/>
      </c:catAx>
      <c:valAx>
        <c:axId val="-1450395952"/>
        <c:scaling>
          <c:orientation val="minMax"/>
          <c:max val="158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45039486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15845387.42</c:v>
                </c:pt>
                <c:pt idx="1">
                  <c:v>29848570.77</c:v>
                </c:pt>
                <c:pt idx="2">
                  <c:v>76466950.569999993</c:v>
                </c:pt>
                <c:pt idx="3">
                  <c:v>72316647.489999995</c:v>
                </c:pt>
                <c:pt idx="4">
                  <c:v>81073751.560000002</c:v>
                </c:pt>
                <c:pt idx="5">
                  <c:v>85368530.980000004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218675872.96000001</c:v>
                </c:pt>
                <c:pt idx="1">
                  <c:v>163753577.94999999</c:v>
                </c:pt>
                <c:pt idx="2">
                  <c:v>106722821.04000001</c:v>
                </c:pt>
                <c:pt idx="3">
                  <c:v>95270087.269999996</c:v>
                </c:pt>
                <c:pt idx="4">
                  <c:v>127234148.05</c:v>
                </c:pt>
                <c:pt idx="5">
                  <c:v>100295784.5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15550440.670000009</c:v>
                </c:pt>
                <c:pt idx="1">
                  <c:v>88004075.700000018</c:v>
                </c:pt>
                <c:pt idx="2">
                  <c:v>123748467.07999998</c:v>
                </c:pt>
                <c:pt idx="3">
                  <c:v>99957066.450000018</c:v>
                </c:pt>
                <c:pt idx="4">
                  <c:v>123084794.24000002</c:v>
                </c:pt>
                <c:pt idx="5">
                  <c:v>137221612.52999997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2912"/>
        <c:axId val="-1342316384"/>
      </c:barChart>
      <c:barChart>
        <c:barDir val="col"/>
        <c:grouping val="stacked"/>
        <c:varyColors val="0"/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2368"/>
        <c:axId val="-1342316928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0440251572327119E-2"/>
                  <c:y val="1.746724890829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339622641509448E-3"/>
                  <c:y val="4.366812227074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867924528301886E-2"/>
                  <c:y val="4.0756914119359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0.63509019870175032</c:v>
                </c:pt>
                <c:pt idx="1">
                  <c:v>1.3968945742924848</c:v>
                </c:pt>
                <c:pt idx="2">
                  <c:v>3.3963233723008841</c:v>
                </c:pt>
                <c:pt idx="3">
                  <c:v>3.4497461860210197</c:v>
                </c:pt>
                <c:pt idx="4">
                  <c:v>4.2426661681242237</c:v>
                </c:pt>
                <c:pt idx="5">
                  <c:v>4.9718215871258389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22368"/>
        <c:axId val="-1342316928"/>
      </c:lineChart>
      <c:catAx>
        <c:axId val="-13423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316384"/>
        <c:crosses val="autoZero"/>
        <c:auto val="1"/>
        <c:lblAlgn val="ctr"/>
        <c:lblOffset val="100"/>
        <c:noMultiLvlLbl val="0"/>
      </c:catAx>
      <c:valAx>
        <c:axId val="-13423163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322912"/>
        <c:crosses val="autoZero"/>
        <c:crossBetween val="between"/>
      </c:valAx>
      <c:valAx>
        <c:axId val="-1342316928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322368"/>
        <c:crosses val="max"/>
        <c:crossBetween val="between"/>
        <c:majorUnit val="1"/>
      </c:valAx>
      <c:catAx>
        <c:axId val="-134232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3423169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1826107141176E-2"/>
          <c:y val="1.9227159382952171E-2"/>
          <c:w val="0.87713351067208289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769042348539383E-3"/>
                  <c:y val="-3.1160756026231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2472020911425E-3"/>
                  <c:y val="3.86472527113128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-119252265.75000054</c:v>
                </c:pt>
                <c:pt idx="1">
                  <c:v>183349703.2400004</c:v>
                </c:pt>
                <c:pt idx="2">
                  <c:v>121762149.41000031</c:v>
                </c:pt>
                <c:pt idx="3">
                  <c:v>54903590.790000044</c:v>
                </c:pt>
                <c:pt idx="4">
                  <c:v>-97605712.000000864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18560"/>
        <c:axId val="-1342321280"/>
      </c:barChart>
      <c:catAx>
        <c:axId val="-134231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342321280"/>
        <c:crosses val="autoZero"/>
        <c:auto val="1"/>
        <c:lblAlgn val="ctr"/>
        <c:lblOffset val="100"/>
        <c:noMultiLvlLbl val="0"/>
      </c:catAx>
      <c:valAx>
        <c:axId val="-13423212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342318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1992490144.5599999</c:v>
                </c:pt>
                <c:pt idx="1">
                  <c:v>2464552478.8800001</c:v>
                </c:pt>
                <c:pt idx="2">
                  <c:v>1754313067.48</c:v>
                </c:pt>
                <c:pt idx="3">
                  <c:v>1574731382.1199999</c:v>
                </c:pt>
                <c:pt idx="4">
                  <c:v>1312086632.55</c:v>
                </c:pt>
                <c:pt idx="5">
                  <c:v>1280679595.1600001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26917835.449999999</c:v>
                </c:pt>
                <c:pt idx="1">
                  <c:v>69599524.670000002</c:v>
                </c:pt>
                <c:pt idx="2">
                  <c:v>161233210.53</c:v>
                </c:pt>
                <c:pt idx="3">
                  <c:v>189343077.86000001</c:v>
                </c:pt>
                <c:pt idx="4">
                  <c:v>179399801.94</c:v>
                </c:pt>
                <c:pt idx="5">
                  <c:v>126989249.78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715392323.02999997</c:v>
                </c:pt>
                <c:pt idx="1">
                  <c:v>730441265.25</c:v>
                </c:pt>
                <c:pt idx="2">
                  <c:v>575379807.79999995</c:v>
                </c:pt>
                <c:pt idx="3">
                  <c:v>509690457.56</c:v>
                </c:pt>
                <c:pt idx="4">
                  <c:v>503591707.74000001</c:v>
                </c:pt>
                <c:pt idx="5">
                  <c:v>570397150.27999997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394565873.94</c:v>
                </c:pt>
                <c:pt idx="1">
                  <c:v>503892478.00999999</c:v>
                </c:pt>
                <c:pt idx="2">
                  <c:v>297730045.43000001</c:v>
                </c:pt>
                <c:pt idx="3">
                  <c:v>327482712.81</c:v>
                </c:pt>
                <c:pt idx="4">
                  <c:v>337542326.56999999</c:v>
                </c:pt>
                <c:pt idx="5">
                  <c:v>176402246.21000001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0736"/>
        <c:axId val="-1342315840"/>
      </c:barChart>
      <c:catAx>
        <c:axId val="-134232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315840"/>
        <c:crosses val="autoZero"/>
        <c:auto val="1"/>
        <c:lblAlgn val="ctr"/>
        <c:lblOffset val="100"/>
        <c:noMultiLvlLbl val="0"/>
      </c:catAx>
      <c:valAx>
        <c:axId val="-134231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3423207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24632661.329999998</c:v>
                </c:pt>
                <c:pt idx="1">
                  <c:v>-784258912.09000003</c:v>
                </c:pt>
                <c:pt idx="2">
                  <c:v>-490943839.97000003</c:v>
                </c:pt>
                <c:pt idx="3">
                  <c:v>-490943839.97000003</c:v>
                </c:pt>
                <c:pt idx="4">
                  <c:v>-460903305.97000003</c:v>
                </c:pt>
                <c:pt idx="5">
                  <c:v>-460903305.97000003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0</c:v>
                </c:pt>
                <c:pt idx="1">
                  <c:v>808891573.41999996</c:v>
                </c:pt>
                <c:pt idx="2">
                  <c:v>822202683.92999995</c:v>
                </c:pt>
                <c:pt idx="3">
                  <c:v>938586899.41999996</c:v>
                </c:pt>
                <c:pt idx="4">
                  <c:v>1060411001.1</c:v>
                </c:pt>
                <c:pt idx="5">
                  <c:v>1120542857.53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-119252265.75</c:v>
                </c:pt>
                <c:pt idx="2">
                  <c:v>183349703.24000001</c:v>
                </c:pt>
                <c:pt idx="3">
                  <c:v>121762147.41</c:v>
                </c:pt>
                <c:pt idx="4">
                  <c:v>54903590.789999999</c:v>
                </c:pt>
                <c:pt idx="5">
                  <c:v>-97605712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0192"/>
        <c:axId val="-1342319648"/>
      </c:barChart>
      <c:catAx>
        <c:axId val="-1342320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342319648"/>
        <c:crosses val="autoZero"/>
        <c:auto val="1"/>
        <c:lblAlgn val="ctr"/>
        <c:lblOffset val="100"/>
        <c:noMultiLvlLbl val="0"/>
      </c:catAx>
      <c:valAx>
        <c:axId val="-134231964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-1342320192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07E-2"/>
          <c:w val="0.912266379073744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73.849999999999994</c:v>
                </c:pt>
                <c:pt idx="1">
                  <c:v>71.63</c:v>
                </c:pt>
                <c:pt idx="2">
                  <c:v>74.290000000000006</c:v>
                </c:pt>
                <c:pt idx="3">
                  <c:v>80.98</c:v>
                </c:pt>
                <c:pt idx="4">
                  <c:v>83.76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70.612465854862862</c:v>
                </c:pt>
                <c:pt idx="1">
                  <c:v>67.63870595586414</c:v>
                </c:pt>
                <c:pt idx="2">
                  <c:v>69.733517587299431</c:v>
                </c:pt>
                <c:pt idx="3">
                  <c:v>70.946753235603026</c:v>
                </c:pt>
                <c:pt idx="4">
                  <c:v>75.877778324205906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66.716757184156549</c:v>
                </c:pt>
                <c:pt idx="1">
                  <c:v>65.012508852312578</c:v>
                </c:pt>
                <c:pt idx="2">
                  <c:v>65.924269129482951</c:v>
                </c:pt>
                <c:pt idx="3">
                  <c:v>68.466904968649828</c:v>
                </c:pt>
                <c:pt idx="4">
                  <c:v>72.663853080900608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25632"/>
        <c:axId val="-1342327264"/>
      </c:lineChart>
      <c:catAx>
        <c:axId val="-134232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327264"/>
        <c:crosses val="autoZero"/>
        <c:auto val="1"/>
        <c:lblAlgn val="ctr"/>
        <c:lblOffset val="100"/>
        <c:noMultiLvlLbl val="0"/>
      </c:catAx>
      <c:valAx>
        <c:axId val="-1342327264"/>
        <c:scaling>
          <c:orientation val="minMax"/>
          <c:max val="8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34232563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32"/>
          <c:w val="0.96177967444791612"/>
          <c:h val="0.1795680460155261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8268034271450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1.3728231854582433</c:v>
                </c:pt>
                <c:pt idx="1">
                  <c:v>1.5308582449373191</c:v>
                </c:pt>
                <c:pt idx="2">
                  <c:v>1.3227513227513228</c:v>
                </c:pt>
                <c:pt idx="3">
                  <c:v>0.99300383660573233</c:v>
                </c:pt>
                <c:pt idx="4">
                  <c:v>0.94573826693462593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0.58472098639888148</c:v>
                </c:pt>
                <c:pt idx="1">
                  <c:v>1.2777242044358725</c:v>
                </c:pt>
                <c:pt idx="2">
                  <c:v>1.0121923165401427</c:v>
                </c:pt>
                <c:pt idx="3">
                  <c:v>1.0832769126607988</c:v>
                </c:pt>
                <c:pt idx="4">
                  <c:v>1.3831422153918902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4.5125206559044102</c:v>
                </c:pt>
                <c:pt idx="1">
                  <c:v>4.9541947926711671</c:v>
                </c:pt>
                <c:pt idx="2">
                  <c:v>4.4973544973544977</c:v>
                </c:pt>
                <c:pt idx="3">
                  <c:v>6.5109456104716763</c:v>
                </c:pt>
                <c:pt idx="4">
                  <c:v>6.5728809551956493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0.61014363798144144</c:v>
                </c:pt>
                <c:pt idx="1">
                  <c:v>1.1210221793635486</c:v>
                </c:pt>
                <c:pt idx="2">
                  <c:v>1.2882447665056362</c:v>
                </c:pt>
                <c:pt idx="3">
                  <c:v>1.1735499887158656</c:v>
                </c:pt>
                <c:pt idx="4">
                  <c:v>1.7377940654923749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79.661878733951951</c:v>
                </c:pt>
                <c:pt idx="1">
                  <c:v>80.038572806171643</c:v>
                </c:pt>
                <c:pt idx="2">
                  <c:v>73.867034736599962</c:v>
                </c:pt>
                <c:pt idx="3">
                  <c:v>76.991649740464908</c:v>
                </c:pt>
                <c:pt idx="4">
                  <c:v>70.965835205106984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13664"/>
        <c:axId val="-1342326176"/>
      </c:barChart>
      <c:catAx>
        <c:axId val="-134231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342326176"/>
        <c:crosses val="autoZero"/>
        <c:auto val="1"/>
        <c:lblAlgn val="ctr"/>
        <c:lblOffset val="100"/>
        <c:noMultiLvlLbl val="0"/>
      </c:catAx>
      <c:valAx>
        <c:axId val="-1342326176"/>
        <c:scaling>
          <c:orientation val="minMax"/>
          <c:max val="1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34231366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5294182940788874"/>
          <c:h val="0.163290275053725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17E-2"/>
          <c:w val="0.9122665336936"/>
          <c:h val="0.71915787122354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89.11</c:v>
                </c:pt>
                <c:pt idx="1">
                  <c:v>73.17</c:v>
                </c:pt>
                <c:pt idx="2">
                  <c:v>75.27</c:v>
                </c:pt>
                <c:pt idx="3">
                  <c:v>73.58</c:v>
                </c:pt>
                <c:pt idx="4">
                  <c:v>75.150000000000006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73.81</c:v>
                </c:pt>
                <c:pt idx="1">
                  <c:v>64.05</c:v>
                </c:pt>
                <c:pt idx="2">
                  <c:v>82.9</c:v>
                </c:pt>
                <c:pt idx="3">
                  <c:v>91.79</c:v>
                </c:pt>
                <c:pt idx="4">
                  <c:v>81.95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77.78</c:v>
                </c:pt>
                <c:pt idx="1">
                  <c:v>81.040000000000006</c:v>
                </c:pt>
                <c:pt idx="2">
                  <c:v>80.37</c:v>
                </c:pt>
                <c:pt idx="3">
                  <c:v>88.22</c:v>
                </c:pt>
                <c:pt idx="4">
                  <c:v>86.5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73.760000000000005</c:v>
                </c:pt>
                <c:pt idx="1">
                  <c:v>77.25</c:v>
                </c:pt>
                <c:pt idx="2">
                  <c:v>74.12</c:v>
                </c:pt>
                <c:pt idx="3">
                  <c:v>98.93</c:v>
                </c:pt>
                <c:pt idx="4">
                  <c:v>93.75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81.67</c:v>
                </c:pt>
                <c:pt idx="1">
                  <c:v>84.56</c:v>
                </c:pt>
                <c:pt idx="2">
                  <c:v>85.37</c:v>
                </c:pt>
                <c:pt idx="3">
                  <c:v>84.92</c:v>
                </c:pt>
                <c:pt idx="4">
                  <c:v>86.75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15296"/>
        <c:axId val="-1342325088"/>
      </c:lineChart>
      <c:catAx>
        <c:axId val="-13423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342325088"/>
        <c:crosses val="autoZero"/>
        <c:auto val="1"/>
        <c:lblAlgn val="ctr"/>
        <c:lblOffset val="100"/>
        <c:noMultiLvlLbl val="0"/>
      </c:catAx>
      <c:valAx>
        <c:axId val="-1342325088"/>
        <c:scaling>
          <c:orientation val="minMax"/>
          <c:max val="100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34231529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81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6882670594009E-3"/>
          <c:y val="2.954755309325947E-2"/>
          <c:w val="0.97054491899852791"/>
          <c:h val="0.77293955984033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52.58</c:v>
                </c:pt>
                <c:pt idx="1">
                  <c:v>56.27</c:v>
                </c:pt>
                <c:pt idx="2">
                  <c:v>64.61</c:v>
                </c:pt>
                <c:pt idx="3">
                  <c:v>67.7</c:v>
                </c:pt>
                <c:pt idx="4">
                  <c:v>67.28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3232"/>
        <c:axId val="-1450399216"/>
      </c:barChart>
      <c:catAx>
        <c:axId val="-145039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9216"/>
        <c:crosses val="autoZero"/>
        <c:auto val="1"/>
        <c:lblAlgn val="ctr"/>
        <c:lblOffset val="100"/>
        <c:noMultiLvlLbl val="0"/>
      </c:catAx>
      <c:valAx>
        <c:axId val="-145039921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93232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142875</xdr:rowOff>
    </xdr:from>
    <xdr:to>
      <xdr:col>10</xdr:col>
      <xdr:colOff>247650</xdr:colOff>
      <xdr:row>49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1609725</xdr:colOff>
      <xdr:row>52</xdr:row>
      <xdr:rowOff>180975</xdr:rowOff>
    </xdr:from>
    <xdr:to>
      <xdr:col>10</xdr:col>
      <xdr:colOff>238125</xdr:colOff>
      <xdr:row>75</xdr:row>
      <xdr:rowOff>161925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11</xdr:col>
      <xdr:colOff>476249</xdr:colOff>
      <xdr:row>48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pane xSplit="1" ySplit="2" topLeftCell="G37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4">
        <v>2016</v>
      </c>
      <c r="C1" s="114"/>
      <c r="D1" s="115"/>
      <c r="E1" s="116">
        <v>2017</v>
      </c>
      <c r="F1" s="114"/>
      <c r="G1" s="115"/>
      <c r="H1" s="116">
        <v>2018</v>
      </c>
      <c r="I1" s="114"/>
      <c r="J1" s="115"/>
      <c r="K1" s="116">
        <v>2019</v>
      </c>
      <c r="L1" s="114"/>
      <c r="M1" s="115"/>
      <c r="N1" s="116">
        <v>2020</v>
      </c>
      <c r="O1" s="114"/>
      <c r="P1" s="115"/>
      <c r="Q1" s="113" t="s">
        <v>233</v>
      </c>
      <c r="R1" s="113"/>
    </row>
    <row r="2" spans="1:18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12" t="s">
        <v>73</v>
      </c>
      <c r="R2" s="12" t="s">
        <v>74</v>
      </c>
    </row>
    <row r="3" spans="1:18" x14ac:dyDescent="0.3">
      <c r="A3" t="s">
        <v>19</v>
      </c>
      <c r="B3" s="28">
        <v>3256934204.9899998</v>
      </c>
      <c r="C3" s="28">
        <v>2712356495.1100001</v>
      </c>
      <c r="D3" s="20">
        <f>IF(B3&gt;0,C3/B3*100,"-")</f>
        <v>83.279437790126565</v>
      </c>
      <c r="E3" s="28">
        <v>3164323097.4000001</v>
      </c>
      <c r="F3" s="101">
        <v>2694026711.4299998</v>
      </c>
      <c r="G3" s="20">
        <f>IF(E3&gt;0,F3/E3*100,"-")</f>
        <v>85.13753584909125</v>
      </c>
      <c r="H3" s="28">
        <v>3185026079.5599999</v>
      </c>
      <c r="I3" s="101">
        <v>2698309242.5999999</v>
      </c>
      <c r="J3" s="20">
        <f>IF(H3&gt;0,I3/H3*100,"-")</f>
        <v>84.718591785369682</v>
      </c>
      <c r="K3" s="28">
        <v>3193676008.5100002</v>
      </c>
      <c r="L3" s="101">
        <v>2832084928.5700002</v>
      </c>
      <c r="M3" s="20">
        <f>IF(K3&gt;0,L3/K3*100,"-")</f>
        <v>88.677903488754353</v>
      </c>
      <c r="N3" s="28">
        <v>3264778302.8099999</v>
      </c>
      <c r="O3" s="101">
        <v>2885184359.0799999</v>
      </c>
      <c r="P3" s="20">
        <f>IF(N3&gt;0,O3/N3*100,"-")</f>
        <v>88.373056038650986</v>
      </c>
      <c r="Q3" s="13">
        <f t="shared" ref="Q3:R18" si="0">IF(K3&gt;0,N3/K3*100-100,"-")</f>
        <v>2.2263465082412068</v>
      </c>
      <c r="R3" s="13">
        <f t="shared" si="0"/>
        <v>1.8749236639881133</v>
      </c>
    </row>
    <row r="4" spans="1:18" x14ac:dyDescent="0.3">
      <c r="A4" t="s">
        <v>20</v>
      </c>
      <c r="B4" s="28">
        <v>171238442.31999999</v>
      </c>
      <c r="C4" s="28">
        <v>146995865.41</v>
      </c>
      <c r="D4" s="20">
        <f t="shared" ref="D4:D21" si="1">IF(B4&gt;0,C4/B4*100,"-")</f>
        <v>85.842795238292965</v>
      </c>
      <c r="E4" s="28">
        <v>329008195.75</v>
      </c>
      <c r="F4" s="101">
        <v>216471352.06999999</v>
      </c>
      <c r="G4" s="20">
        <f t="shared" ref="G4:G21" si="2">IF(E4&gt;0,F4/E4*100,"-")</f>
        <v>65.795124518566041</v>
      </c>
      <c r="H4" s="28">
        <v>342291095.06</v>
      </c>
      <c r="I4" s="101">
        <v>286776772.31</v>
      </c>
      <c r="J4" s="20">
        <f t="shared" ref="J4:J13" si="3">IF(H4&gt;0,I4/H4*100,"-")</f>
        <v>83.781546306289698</v>
      </c>
      <c r="K4" s="28">
        <v>359023290.86000001</v>
      </c>
      <c r="L4" s="101">
        <v>289214765.86000001</v>
      </c>
      <c r="M4" s="20">
        <f t="shared" ref="M4:M21" si="4">IF(K4&gt;0,L4/K4*100,"-")</f>
        <v>80.555989882221425</v>
      </c>
      <c r="N4" s="28">
        <v>494472683.08999997</v>
      </c>
      <c r="O4" s="101">
        <v>440577127.75999999</v>
      </c>
      <c r="P4" s="20">
        <f t="shared" ref="P4:P21" si="5">IF(N4&gt;0,O4/N4*100,"-")</f>
        <v>89.100397823151269</v>
      </c>
      <c r="Q4" s="13">
        <f t="shared" si="0"/>
        <v>37.7271880900947</v>
      </c>
      <c r="R4" s="13">
        <f t="shared" si="0"/>
        <v>52.335627280271666</v>
      </c>
    </row>
    <row r="5" spans="1:18" x14ac:dyDescent="0.3">
      <c r="A5" t="s">
        <v>21</v>
      </c>
      <c r="B5" s="28">
        <v>146250828.66999999</v>
      </c>
      <c r="C5" s="28">
        <v>139029528.08000001</v>
      </c>
      <c r="D5" s="20">
        <f t="shared" si="1"/>
        <v>95.062386548048821</v>
      </c>
      <c r="E5" s="28">
        <v>168310716.22</v>
      </c>
      <c r="F5" s="101">
        <v>165149334.06</v>
      </c>
      <c r="G5" s="20">
        <f t="shared" si="2"/>
        <v>98.121698825244295</v>
      </c>
      <c r="H5" s="28">
        <v>169635870.25999999</v>
      </c>
      <c r="I5" s="101">
        <v>164695268.47</v>
      </c>
      <c r="J5" s="20">
        <f t="shared" si="3"/>
        <v>97.08752530792718</v>
      </c>
      <c r="K5" s="28">
        <v>167711509.09999999</v>
      </c>
      <c r="L5" s="101">
        <v>162860338.53</v>
      </c>
      <c r="M5" s="20">
        <f t="shared" si="4"/>
        <v>97.107431328933174</v>
      </c>
      <c r="N5" s="28">
        <v>184513625.56999999</v>
      </c>
      <c r="O5" s="101">
        <v>176941876.81999999</v>
      </c>
      <c r="P5" s="20">
        <f t="shared" si="5"/>
        <v>95.896374196426237</v>
      </c>
      <c r="Q5" s="13">
        <f t="shared" si="0"/>
        <v>10.018463586766458</v>
      </c>
      <c r="R5" s="13">
        <f t="shared" si="0"/>
        <v>8.6463889349008554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101">
        <v>0</v>
      </c>
      <c r="G6" s="20" t="str">
        <f t="shared" si="2"/>
        <v>-</v>
      </c>
      <c r="H6" s="28">
        <v>0</v>
      </c>
      <c r="I6" s="101">
        <v>0</v>
      </c>
      <c r="J6" s="20" t="str">
        <f t="shared" si="3"/>
        <v>-</v>
      </c>
      <c r="K6" s="28">
        <v>0</v>
      </c>
      <c r="L6" s="101">
        <v>0</v>
      </c>
      <c r="M6" s="20" t="str">
        <f t="shared" si="4"/>
        <v>-</v>
      </c>
      <c r="N6" s="28">
        <v>0</v>
      </c>
      <c r="O6" s="101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65205967.619999997</v>
      </c>
      <c r="C7" s="28">
        <v>33428788.260000002</v>
      </c>
      <c r="D7" s="20">
        <f t="shared" si="1"/>
        <v>51.266455326316965</v>
      </c>
      <c r="E7" s="28">
        <v>89565463.849999994</v>
      </c>
      <c r="F7" s="101">
        <v>38093216.590000004</v>
      </c>
      <c r="G7" s="20">
        <f t="shared" si="2"/>
        <v>42.53114420732161</v>
      </c>
      <c r="H7" s="28">
        <v>138529923.81999999</v>
      </c>
      <c r="I7" s="101">
        <v>46229395.030000001</v>
      </c>
      <c r="J7" s="20">
        <f t="shared" si="3"/>
        <v>33.371414460653675</v>
      </c>
      <c r="K7" s="28">
        <v>92448417.450000003</v>
      </c>
      <c r="L7" s="101">
        <v>23285518.760000002</v>
      </c>
      <c r="M7" s="20">
        <f t="shared" si="4"/>
        <v>25.187579627951763</v>
      </c>
      <c r="N7" s="28">
        <v>103989460.22</v>
      </c>
      <c r="O7" s="101">
        <v>31337846.09</v>
      </c>
      <c r="P7" s="20">
        <f t="shared" si="5"/>
        <v>30.135598380549034</v>
      </c>
      <c r="Q7" s="13">
        <f t="shared" si="0"/>
        <v>12.483764555777157</v>
      </c>
      <c r="R7" s="13">
        <f t="shared" si="0"/>
        <v>34.580837184664034</v>
      </c>
    </row>
    <row r="8" spans="1:18" x14ac:dyDescent="0.3">
      <c r="A8" t="s">
        <v>24</v>
      </c>
      <c r="B8" s="28">
        <v>11027756.960000001</v>
      </c>
      <c r="C8" s="28">
        <v>5212972.5599999996</v>
      </c>
      <c r="D8" s="20">
        <f t="shared" si="1"/>
        <v>47.271376934661781</v>
      </c>
      <c r="E8" s="28">
        <v>20380462.949999999</v>
      </c>
      <c r="F8" s="101">
        <v>5668716.0300000003</v>
      </c>
      <c r="G8" s="20">
        <f t="shared" si="2"/>
        <v>27.814461545388991</v>
      </c>
      <c r="H8" s="28">
        <v>2387898.64</v>
      </c>
      <c r="I8" s="101">
        <v>666230.16</v>
      </c>
      <c r="J8" s="20">
        <f t="shared" si="3"/>
        <v>27.900269669737742</v>
      </c>
      <c r="K8" s="28">
        <v>6898676.5300000003</v>
      </c>
      <c r="L8" s="101">
        <v>2157791.65</v>
      </c>
      <c r="M8" s="20">
        <f t="shared" si="4"/>
        <v>31.278342166305332</v>
      </c>
      <c r="N8" s="28">
        <v>11708250.25</v>
      </c>
      <c r="O8" s="101">
        <v>10390253.050000001</v>
      </c>
      <c r="P8" s="20">
        <f t="shared" si="5"/>
        <v>88.743004532210108</v>
      </c>
      <c r="Q8" s="13">
        <f t="shared" si="0"/>
        <v>69.717339247387486</v>
      </c>
      <c r="R8" s="13">
        <f t="shared" si="0"/>
        <v>381.52253485641216</v>
      </c>
    </row>
    <row r="9" spans="1:18" x14ac:dyDescent="0.3">
      <c r="A9" t="s">
        <v>25</v>
      </c>
      <c r="B9" s="28">
        <v>318012</v>
      </c>
      <c r="C9" s="28">
        <v>318012</v>
      </c>
      <c r="D9" s="20">
        <f t="shared" si="1"/>
        <v>100</v>
      </c>
      <c r="E9" s="28">
        <v>1562618.2</v>
      </c>
      <c r="F9" s="101">
        <v>1562618.2</v>
      </c>
      <c r="G9" s="20">
        <f t="shared" si="2"/>
        <v>100</v>
      </c>
      <c r="H9" s="28">
        <v>240247.47</v>
      </c>
      <c r="I9" s="28">
        <v>240247.47</v>
      </c>
      <c r="J9" s="20">
        <f t="shared" si="3"/>
        <v>100</v>
      </c>
      <c r="K9" s="28">
        <v>2151.63</v>
      </c>
      <c r="L9" s="28">
        <v>2151.63</v>
      </c>
      <c r="M9" s="20">
        <f t="shared" si="4"/>
        <v>100</v>
      </c>
      <c r="N9" s="28">
        <v>749899.7</v>
      </c>
      <c r="O9" s="28">
        <v>613146</v>
      </c>
      <c r="P9" s="20">
        <f t="shared" si="5"/>
        <v>81.763734536765384</v>
      </c>
      <c r="Q9" s="13">
        <f t="shared" si="0"/>
        <v>34752.632655242764</v>
      </c>
      <c r="R9" s="13">
        <f t="shared" si="0"/>
        <v>28396.814043306698</v>
      </c>
    </row>
    <row r="10" spans="1:18" x14ac:dyDescent="0.3">
      <c r="A10" t="s">
        <v>26</v>
      </c>
      <c r="B10" s="28">
        <v>6999826.6799999997</v>
      </c>
      <c r="C10" s="28">
        <v>2070544.34</v>
      </c>
      <c r="D10" s="20">
        <f t="shared" si="1"/>
        <v>29.579937256389329</v>
      </c>
      <c r="E10" s="28">
        <v>179942031.05000001</v>
      </c>
      <c r="F10" s="101">
        <v>178198938.00999999</v>
      </c>
      <c r="G10" s="20">
        <f t="shared" si="2"/>
        <v>99.031303009180959</v>
      </c>
      <c r="H10" s="28">
        <v>6252227.6299999999</v>
      </c>
      <c r="I10" s="101">
        <v>5879893.0499999998</v>
      </c>
      <c r="J10" s="20">
        <f t="shared" si="3"/>
        <v>94.044769288094514</v>
      </c>
      <c r="K10" s="28">
        <v>24787171.5</v>
      </c>
      <c r="L10" s="101">
        <v>22723803.210000001</v>
      </c>
      <c r="M10" s="20">
        <f t="shared" si="4"/>
        <v>91.675660573050862</v>
      </c>
      <c r="N10" s="28">
        <v>1812953.19</v>
      </c>
      <c r="O10" s="101">
        <v>1383872.46</v>
      </c>
      <c r="P10" s="20">
        <f t="shared" si="5"/>
        <v>76.332498138024192</v>
      </c>
      <c r="Q10" s="13">
        <f t="shared" si="0"/>
        <v>-92.685921465464503</v>
      </c>
      <c r="R10" s="13">
        <f t="shared" si="0"/>
        <v>-93.910031488958666</v>
      </c>
    </row>
    <row r="11" spans="1:18" x14ac:dyDescent="0.3">
      <c r="A11" t="s">
        <v>27</v>
      </c>
      <c r="B11" s="28">
        <v>28750</v>
      </c>
      <c r="C11" s="28">
        <v>28750</v>
      </c>
      <c r="D11" s="20">
        <f t="shared" si="1"/>
        <v>100</v>
      </c>
      <c r="E11" s="28">
        <v>0</v>
      </c>
      <c r="F11" s="101">
        <v>0</v>
      </c>
      <c r="G11" s="20" t="str">
        <f t="shared" si="2"/>
        <v>-</v>
      </c>
      <c r="H11" s="28">
        <v>0</v>
      </c>
      <c r="I11" s="101">
        <v>0</v>
      </c>
      <c r="J11" s="20" t="str">
        <f t="shared" si="3"/>
        <v>-</v>
      </c>
      <c r="K11" s="28">
        <v>0</v>
      </c>
      <c r="L11" s="101">
        <v>0</v>
      </c>
      <c r="M11" s="20" t="str">
        <f t="shared" si="4"/>
        <v>-</v>
      </c>
      <c r="N11" s="28">
        <v>0</v>
      </c>
      <c r="O11" s="101">
        <v>0</v>
      </c>
      <c r="P11" s="20" t="str">
        <f t="shared" si="5"/>
        <v>-</v>
      </c>
      <c r="Q11" s="13" t="str">
        <f t="shared" si="0"/>
        <v>-</v>
      </c>
      <c r="R11" s="13" t="str">
        <f t="shared" si="0"/>
        <v>-</v>
      </c>
    </row>
    <row r="12" spans="1:18" x14ac:dyDescent="0.3">
      <c r="A12" t="s">
        <v>28</v>
      </c>
      <c r="B12" s="28">
        <v>209201.69</v>
      </c>
      <c r="C12" s="28">
        <v>0</v>
      </c>
      <c r="D12" s="20">
        <f t="shared" si="1"/>
        <v>0</v>
      </c>
      <c r="E12" s="28">
        <v>30250000</v>
      </c>
      <c r="F12" s="101">
        <v>30140000</v>
      </c>
      <c r="G12" s="20">
        <f t="shared" si="2"/>
        <v>99.63636363636364</v>
      </c>
      <c r="H12" s="28">
        <v>9015000</v>
      </c>
      <c r="I12" s="101">
        <v>9000000</v>
      </c>
      <c r="J12" s="20">
        <f t="shared" si="3"/>
        <v>99.833610648918466</v>
      </c>
      <c r="K12" s="28">
        <f>7280000+415993.86</f>
        <v>7695993.8600000003</v>
      </c>
      <c r="L12" s="28">
        <f>7280000+415993.86</f>
        <v>7695993.8600000003</v>
      </c>
      <c r="M12" s="20">
        <f t="shared" si="4"/>
        <v>100</v>
      </c>
      <c r="N12" s="28">
        <v>333655.07</v>
      </c>
      <c r="O12" s="28">
        <v>333655.07</v>
      </c>
      <c r="P12" s="20">
        <f t="shared" si="5"/>
        <v>100</v>
      </c>
      <c r="Q12" s="13">
        <f t="shared" si="0"/>
        <v>-95.664561639865966</v>
      </c>
      <c r="R12" s="13">
        <f t="shared" si="0"/>
        <v>-95.664561639865966</v>
      </c>
    </row>
    <row r="13" spans="1:18" x14ac:dyDescent="0.3">
      <c r="A13" t="s">
        <v>29</v>
      </c>
      <c r="B13" s="28">
        <v>3496385.98</v>
      </c>
      <c r="C13" s="28">
        <v>541190.40000000002</v>
      </c>
      <c r="D13" s="20">
        <f t="shared" si="1"/>
        <v>15.478565670258179</v>
      </c>
      <c r="E13" s="28">
        <v>41217461.520000003</v>
      </c>
      <c r="F13" s="101">
        <v>38129530.210000001</v>
      </c>
      <c r="G13" s="20">
        <f t="shared" si="2"/>
        <v>92.508196293210247</v>
      </c>
      <c r="H13" s="28">
        <v>262471226.50999999</v>
      </c>
      <c r="I13" s="101">
        <v>82089116.090000004</v>
      </c>
      <c r="J13" s="20">
        <f t="shared" si="3"/>
        <v>31.275472432355343</v>
      </c>
      <c r="K13" s="28">
        <v>120340991.16</v>
      </c>
      <c r="L13" s="101">
        <v>41476152.600000001</v>
      </c>
      <c r="M13" s="20">
        <f t="shared" si="4"/>
        <v>34.465523509653636</v>
      </c>
      <c r="N13" s="28">
        <v>304264687.82999998</v>
      </c>
      <c r="O13" s="101">
        <v>176132694.66999999</v>
      </c>
      <c r="P13" s="20">
        <f t="shared" si="5"/>
        <v>57.887984283082361</v>
      </c>
      <c r="Q13" s="13">
        <f t="shared" si="0"/>
        <v>152.83545107706757</v>
      </c>
      <c r="R13" s="13">
        <f t="shared" si="0"/>
        <v>324.66015681020519</v>
      </c>
    </row>
    <row r="14" spans="1:18" x14ac:dyDescent="0.3">
      <c r="A14" t="s">
        <v>30</v>
      </c>
      <c r="B14" s="28">
        <f t="shared" ref="B14:C14" si="6">SUM(B3:B5)</f>
        <v>3574423475.98</v>
      </c>
      <c r="C14" s="28">
        <f t="shared" si="6"/>
        <v>2998381888.5999999</v>
      </c>
      <c r="D14" s="20">
        <f>IF(B14&gt;0,C14/B14*100,"-")</f>
        <v>83.88434970699528</v>
      </c>
      <c r="E14" s="28">
        <f t="shared" ref="E14:F14" si="7">SUM(E3:E5)</f>
        <v>3661642009.3699999</v>
      </c>
      <c r="F14" s="101">
        <f t="shared" si="7"/>
        <v>3075647397.5599999</v>
      </c>
      <c r="G14" s="20">
        <f>IF(E14&gt;0,F14/E14*100,"-")</f>
        <v>83.996398055559169</v>
      </c>
      <c r="H14" s="28">
        <f t="shared" ref="H14:I14" si="8">SUM(H3:H5)</f>
        <v>3696953044.8800001</v>
      </c>
      <c r="I14" s="101">
        <f t="shared" si="8"/>
        <v>3149781283.3799996</v>
      </c>
      <c r="J14" s="20">
        <f>IF(H14&gt;0,I14/H14*100,"-")</f>
        <v>85.199385687146005</v>
      </c>
      <c r="K14" s="28">
        <f t="shared" ref="K14:L14" si="9">SUM(K3:K5)</f>
        <v>3720410808.4700003</v>
      </c>
      <c r="L14" s="101">
        <f t="shared" si="9"/>
        <v>3284160032.9600005</v>
      </c>
      <c r="M14" s="20">
        <f>IF(K14&gt;0,L14/K14*100,"-")</f>
        <v>88.274123531820251</v>
      </c>
      <c r="N14" s="28">
        <f t="shared" ref="N14:O14" si="10">SUM(N3:N5)</f>
        <v>3943764611.4700003</v>
      </c>
      <c r="O14" s="101">
        <f t="shared" si="10"/>
        <v>3502703363.6600003</v>
      </c>
      <c r="P14" s="20">
        <f>IF(N14&gt;0,O14/N14*100,"-")</f>
        <v>88.816238004488852</v>
      </c>
      <c r="Q14" s="13">
        <f t="shared" si="0"/>
        <v>6.0034715115735651</v>
      </c>
      <c r="R14" s="13">
        <f t="shared" si="0"/>
        <v>6.6544665456825385</v>
      </c>
    </row>
    <row r="15" spans="1:18" x14ac:dyDescent="0.3">
      <c r="A15" t="s">
        <v>31</v>
      </c>
      <c r="B15" s="27">
        <f t="shared" ref="B15:C15" si="11">SUM(B6:B10)</f>
        <v>83551563.25999999</v>
      </c>
      <c r="C15" s="27">
        <f t="shared" si="11"/>
        <v>41030317.160000004</v>
      </c>
      <c r="D15" s="20">
        <f>IF(B15&gt;0,C15/B15*100,"-")</f>
        <v>49.107779147494561</v>
      </c>
      <c r="E15" s="27">
        <f t="shared" ref="E15:F15" si="12">SUM(E6:E10)</f>
        <v>291450576.05000001</v>
      </c>
      <c r="F15" s="102">
        <f t="shared" si="12"/>
        <v>223523488.82999998</v>
      </c>
      <c r="G15" s="20">
        <f>IF(E15&gt;0,F15/E15*100,"-")</f>
        <v>76.693445543800621</v>
      </c>
      <c r="H15" s="27">
        <f t="shared" ref="H15:I15" si="13">SUM(H6:H10)</f>
        <v>147410297.55999997</v>
      </c>
      <c r="I15" s="102">
        <f t="shared" si="13"/>
        <v>53015765.709999993</v>
      </c>
      <c r="J15" s="20">
        <f>IF(H15&gt;0,I15/H15*100,"-")</f>
        <v>35.964764054845723</v>
      </c>
      <c r="K15" s="27">
        <f t="shared" ref="K15:L15" si="14">SUM(K6:K10)</f>
        <v>124136417.11</v>
      </c>
      <c r="L15" s="102">
        <f t="shared" si="14"/>
        <v>48169265.25</v>
      </c>
      <c r="M15" s="20">
        <f>IF(K15&gt;0,L15/K15*100,"-")</f>
        <v>38.803492457266721</v>
      </c>
      <c r="N15" s="27">
        <f t="shared" ref="N15:O15" si="15">SUM(N6:N10)</f>
        <v>118260563.36</v>
      </c>
      <c r="O15" s="102">
        <f t="shared" si="15"/>
        <v>43725117.600000001</v>
      </c>
      <c r="P15" s="20">
        <f>IF(N15&gt;0,O15/N15*100,"-")</f>
        <v>36.973540762608458</v>
      </c>
      <c r="Q15" s="13">
        <f t="shared" si="0"/>
        <v>-4.7333843579465338</v>
      </c>
      <c r="R15" s="13">
        <f t="shared" si="0"/>
        <v>-9.2261063708045583</v>
      </c>
    </row>
    <row r="16" spans="1:18" x14ac:dyDescent="0.3">
      <c r="A16" t="s">
        <v>32</v>
      </c>
      <c r="B16" s="28">
        <f t="shared" ref="B16:C16" si="16">SUM(B11:B13)</f>
        <v>3734337.67</v>
      </c>
      <c r="C16" s="28">
        <f t="shared" si="16"/>
        <v>569940.4</v>
      </c>
      <c r="D16" s="20">
        <f t="shared" si="1"/>
        <v>15.262154908449938</v>
      </c>
      <c r="E16" s="28">
        <f t="shared" ref="E16:F16" si="17">SUM(E11:E13)</f>
        <v>71467461.520000011</v>
      </c>
      <c r="F16" s="101">
        <f t="shared" si="17"/>
        <v>68269530.210000008</v>
      </c>
      <c r="G16" s="20">
        <f t="shared" si="2"/>
        <v>95.525332449222262</v>
      </c>
      <c r="H16" s="28">
        <f t="shared" ref="H16:I16" si="18">SUM(H11:H13)</f>
        <v>271486226.50999999</v>
      </c>
      <c r="I16" s="101">
        <f t="shared" si="18"/>
        <v>91089116.090000004</v>
      </c>
      <c r="J16" s="20">
        <f t="shared" ref="J16:J21" si="19">IF(H16&gt;0,I16/H16*100,"-")</f>
        <v>33.552021132329827</v>
      </c>
      <c r="K16" s="28">
        <f t="shared" ref="K16:L16" si="20">SUM(K11:K13)</f>
        <v>128036985.02</v>
      </c>
      <c r="L16" s="101">
        <f t="shared" si="20"/>
        <v>49172146.460000001</v>
      </c>
      <c r="M16" s="20">
        <f t="shared" ref="M16:M33" si="21">IF(K16&gt;0,L16/K16*100,"-")</f>
        <v>38.404642574424159</v>
      </c>
      <c r="N16" s="28">
        <f t="shared" ref="N16:O16" si="22">SUM(N11:N13)</f>
        <v>304598342.89999998</v>
      </c>
      <c r="O16" s="101">
        <f t="shared" si="22"/>
        <v>176466349.73999998</v>
      </c>
      <c r="P16" s="20">
        <f t="shared" si="5"/>
        <v>57.934113514837506</v>
      </c>
      <c r="Q16" s="13">
        <f t="shared" si="0"/>
        <v>137.8987156347209</v>
      </c>
      <c r="R16" s="13">
        <f t="shared" si="0"/>
        <v>258.87461183649935</v>
      </c>
    </row>
    <row r="17" spans="1:18" x14ac:dyDescent="0.3">
      <c r="A17" t="s">
        <v>33</v>
      </c>
      <c r="B17" s="28">
        <v>70107014.200000003</v>
      </c>
      <c r="C17" s="28">
        <v>70107014.200000003</v>
      </c>
      <c r="D17" s="20">
        <f t="shared" si="1"/>
        <v>100</v>
      </c>
      <c r="E17" s="28">
        <v>0</v>
      </c>
      <c r="F17" s="101">
        <v>0</v>
      </c>
      <c r="G17" s="20" t="str">
        <f t="shared" si="2"/>
        <v>-</v>
      </c>
      <c r="H17" s="28">
        <v>0</v>
      </c>
      <c r="I17" s="101">
        <v>0</v>
      </c>
      <c r="J17" s="20" t="str">
        <f t="shared" si="19"/>
        <v>-</v>
      </c>
      <c r="K17" s="28">
        <v>0</v>
      </c>
      <c r="L17" s="101">
        <v>0</v>
      </c>
      <c r="M17" s="20" t="str">
        <f t="shared" si="21"/>
        <v>-</v>
      </c>
      <c r="N17" s="28">
        <v>0</v>
      </c>
      <c r="O17" s="101">
        <v>0</v>
      </c>
      <c r="P17" s="20" t="str">
        <f t="shared" si="5"/>
        <v>-</v>
      </c>
      <c r="Q17" s="13" t="str">
        <f t="shared" si="0"/>
        <v>-</v>
      </c>
      <c r="R17" s="13" t="str">
        <f t="shared" si="0"/>
        <v>-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101">
        <v>0</v>
      </c>
      <c r="G18" s="20" t="str">
        <f t="shared" si="2"/>
        <v>-</v>
      </c>
      <c r="H18" s="28">
        <v>0</v>
      </c>
      <c r="I18" s="101">
        <v>0</v>
      </c>
      <c r="J18" s="20" t="str">
        <f t="shared" si="19"/>
        <v>-</v>
      </c>
      <c r="K18" s="28">
        <v>0</v>
      </c>
      <c r="L18" s="101">
        <v>0</v>
      </c>
      <c r="M18" s="20" t="str">
        <f t="shared" si="21"/>
        <v>-</v>
      </c>
      <c r="N18" s="28">
        <v>0</v>
      </c>
      <c r="O18" s="101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1079814448.3</v>
      </c>
      <c r="C19" s="28">
        <v>941071016.41999996</v>
      </c>
      <c r="D19" s="20">
        <f t="shared" si="1"/>
        <v>87.151178417881894</v>
      </c>
      <c r="E19" s="28">
        <v>820659903.10000002</v>
      </c>
      <c r="F19" s="101">
        <v>667517197.57000005</v>
      </c>
      <c r="G19" s="20">
        <f t="shared" si="2"/>
        <v>81.339077862643052</v>
      </c>
      <c r="H19" s="28">
        <v>624482785.97000003</v>
      </c>
      <c r="I19" s="101">
        <v>623389146.47000003</v>
      </c>
      <c r="J19" s="20">
        <f t="shared" si="19"/>
        <v>99.82487275477078</v>
      </c>
      <c r="K19" s="28">
        <v>518365129.60000002</v>
      </c>
      <c r="L19" s="101">
        <v>517684072.5</v>
      </c>
      <c r="M19" s="20">
        <f t="shared" si="21"/>
        <v>99.86861440689006</v>
      </c>
      <c r="N19" s="28">
        <v>852579155.49000001</v>
      </c>
      <c r="O19" s="101">
        <v>848133806.24000001</v>
      </c>
      <c r="P19" s="20">
        <f t="shared" si="5"/>
        <v>99.478599820160369</v>
      </c>
      <c r="Q19" s="13">
        <f t="shared" ref="Q19:R60" si="23">IF(K19&gt;0,N19/K19*100-100,"-")</f>
        <v>64.474635118280133</v>
      </c>
      <c r="R19" s="13">
        <f t="shared" si="23"/>
        <v>63.832316135242905</v>
      </c>
    </row>
    <row r="20" spans="1:18" x14ac:dyDescent="0.3">
      <c r="A20" t="s">
        <v>36</v>
      </c>
      <c r="B20" s="28">
        <f t="shared" ref="B20:C20" si="24">B14+B15+B16+B17+B18+B19</f>
        <v>4811630839.4099998</v>
      </c>
      <c r="C20" s="28">
        <f t="shared" si="24"/>
        <v>4051160176.7799997</v>
      </c>
      <c r="D20" s="20">
        <f t="shared" si="1"/>
        <v>84.19515777475462</v>
      </c>
      <c r="E20" s="28">
        <f t="shared" ref="E20:F20" si="25">E14+E15+E16+E17+E18+E19</f>
        <v>4845219950.04</v>
      </c>
      <c r="F20" s="101">
        <f t="shared" si="25"/>
        <v>4034957614.1700001</v>
      </c>
      <c r="G20" s="20">
        <f t="shared" si="2"/>
        <v>83.277078353000036</v>
      </c>
      <c r="H20" s="28">
        <f t="shared" ref="H20:I20" si="26">H14+H15+H16+H17+H18+H19</f>
        <v>4740332354.9200001</v>
      </c>
      <c r="I20" s="101">
        <f t="shared" si="26"/>
        <v>3917275311.6499996</v>
      </c>
      <c r="J20" s="20">
        <f t="shared" si="19"/>
        <v>82.637144789737206</v>
      </c>
      <c r="K20" s="28">
        <f t="shared" ref="K20:L20" si="27">K14+K15+K16+K17+K18+K19</f>
        <v>4490949340.2000008</v>
      </c>
      <c r="L20" s="101">
        <f t="shared" si="27"/>
        <v>3899185517.1700006</v>
      </c>
      <c r="M20" s="20">
        <f t="shared" si="21"/>
        <v>86.823190862276647</v>
      </c>
      <c r="N20" s="28">
        <f t="shared" ref="N20:O20" si="28">N14+N15+N16+N17+N18+N19</f>
        <v>5219202673.2200003</v>
      </c>
      <c r="O20" s="101">
        <f t="shared" si="28"/>
        <v>4571028637.2399998</v>
      </c>
      <c r="P20" s="20">
        <f t="shared" si="5"/>
        <v>87.580975935159316</v>
      </c>
      <c r="Q20" s="13">
        <f t="shared" si="23"/>
        <v>16.216022000096018</v>
      </c>
      <c r="R20" s="13">
        <f t="shared" si="23"/>
        <v>17.230345083904041</v>
      </c>
    </row>
    <row r="21" spans="1:18" x14ac:dyDescent="0.3">
      <c r="A21" t="s">
        <v>37</v>
      </c>
      <c r="B21" s="28">
        <f t="shared" ref="B21:C21" si="29">B20-B19</f>
        <v>3731816391.1099997</v>
      </c>
      <c r="C21" s="28">
        <f t="shared" si="29"/>
        <v>3110089160.3599997</v>
      </c>
      <c r="D21" s="20">
        <f t="shared" si="1"/>
        <v>83.339822606731403</v>
      </c>
      <c r="E21" s="28">
        <f t="shared" ref="E21:F21" si="30">E20-E19</f>
        <v>4024560046.9400001</v>
      </c>
      <c r="F21" s="101">
        <f t="shared" si="30"/>
        <v>3367440416.5999999</v>
      </c>
      <c r="G21" s="20">
        <f t="shared" si="2"/>
        <v>83.672261745985651</v>
      </c>
      <c r="H21" s="28">
        <f t="shared" ref="H21:I21" si="31">H20-H19</f>
        <v>4115849568.9499998</v>
      </c>
      <c r="I21" s="101">
        <f t="shared" si="31"/>
        <v>3293886165.1799994</v>
      </c>
      <c r="J21" s="20">
        <f t="shared" si="19"/>
        <v>80.029313754057029</v>
      </c>
      <c r="K21" s="28">
        <f t="shared" ref="K21:L21" si="32">K20-K19</f>
        <v>3972584210.6000009</v>
      </c>
      <c r="L21" s="101">
        <f t="shared" si="32"/>
        <v>3381501444.6700006</v>
      </c>
      <c r="M21" s="20">
        <f t="shared" si="21"/>
        <v>85.120950630755146</v>
      </c>
      <c r="N21" s="28">
        <f t="shared" ref="N21:O21" si="33">N20-N19</f>
        <v>4366623517.7300005</v>
      </c>
      <c r="O21" s="101">
        <f t="shared" si="33"/>
        <v>3722894831</v>
      </c>
      <c r="P21" s="20">
        <f t="shared" si="5"/>
        <v>85.257976005574108</v>
      </c>
      <c r="Q21" s="13">
        <f t="shared" si="23"/>
        <v>9.9189667541493378</v>
      </c>
      <c r="R21" s="13">
        <f t="shared" si="23"/>
        <v>10.095911296093377</v>
      </c>
    </row>
    <row r="22" spans="1:18" x14ac:dyDescent="0.3">
      <c r="B22" s="12" t="s">
        <v>75</v>
      </c>
      <c r="C22" s="12" t="s">
        <v>76</v>
      </c>
      <c r="D22" s="18"/>
      <c r="E22" s="12" t="s">
        <v>75</v>
      </c>
      <c r="F22" s="99" t="s">
        <v>76</v>
      </c>
      <c r="G22" s="18"/>
      <c r="H22" s="12" t="s">
        <v>75</v>
      </c>
      <c r="I22" s="107" t="s">
        <v>76</v>
      </c>
      <c r="J22" s="18"/>
      <c r="K22" s="12" t="s">
        <v>75</v>
      </c>
      <c r="L22" s="112" t="s">
        <v>76</v>
      </c>
      <c r="M22" s="18"/>
      <c r="N22" s="12" t="s">
        <v>75</v>
      </c>
      <c r="O22" s="112" t="s">
        <v>76</v>
      </c>
      <c r="P22" s="18"/>
    </row>
    <row r="23" spans="1:18" x14ac:dyDescent="0.3">
      <c r="A23" s="5" t="s">
        <v>38</v>
      </c>
      <c r="B23" s="27">
        <v>71301492.780000001</v>
      </c>
      <c r="C23" s="27">
        <v>69739463.939999998</v>
      </c>
      <c r="D23" s="20">
        <f>IF(B23&gt;0,C23/B23*100,"-")</f>
        <v>97.809262079800178</v>
      </c>
      <c r="E23" s="27">
        <v>75992102.030000001</v>
      </c>
      <c r="F23" s="102">
        <v>74904747.420000002</v>
      </c>
      <c r="G23" s="20">
        <f>IF(E23&gt;0,F23/E23*100,"-")</f>
        <v>98.56912155217033</v>
      </c>
      <c r="H23" s="27">
        <v>83856429.180000007</v>
      </c>
      <c r="I23" s="102">
        <v>83353370.650000006</v>
      </c>
      <c r="J23" s="20">
        <f>IF(H23&gt;0,I23/H23*100,"-")</f>
        <v>99.400095454911181</v>
      </c>
      <c r="K23" s="27">
        <v>86100922.290000007</v>
      </c>
      <c r="L23" s="102">
        <v>83771499.870000005</v>
      </c>
      <c r="M23" s="20">
        <f>IF(K23&gt;0,L23/K23*100,"-")</f>
        <v>97.294544172065685</v>
      </c>
      <c r="N23" s="27">
        <v>85993866.849999994</v>
      </c>
      <c r="O23" s="102">
        <v>84371185.5</v>
      </c>
      <c r="P23" s="20">
        <f>IF(N23&gt;0,O23/N23*100,"-")</f>
        <v>98.113026650109305</v>
      </c>
      <c r="Q23" s="13">
        <f t="shared" si="23"/>
        <v>-0.12433715824720082</v>
      </c>
      <c r="R23" s="13">
        <f t="shared" si="23"/>
        <v>0.715858771695153</v>
      </c>
    </row>
    <row r="24" spans="1:18" x14ac:dyDescent="0.3">
      <c r="A24" s="5" t="s">
        <v>39</v>
      </c>
      <c r="B24" s="27">
        <v>5247325.8</v>
      </c>
      <c r="C24" s="27">
        <v>4974287.9000000004</v>
      </c>
      <c r="D24" s="20">
        <f t="shared" ref="D24:D57" si="34">IF(B24&gt;0,C24/B24*100,"-")</f>
        <v>94.796627646028782</v>
      </c>
      <c r="E24" s="27">
        <v>5879221.04</v>
      </c>
      <c r="F24" s="102">
        <v>5717284.3899999997</v>
      </c>
      <c r="G24" s="20">
        <f t="shared" ref="G24:G57" si="35">IF(E24&gt;0,F24/E24*100,"-")</f>
        <v>97.245610449101264</v>
      </c>
      <c r="H24" s="27">
        <v>6160083.79</v>
      </c>
      <c r="I24" s="102">
        <v>6090735.5</v>
      </c>
      <c r="J24" s="20">
        <f t="shared" ref="J24:J26" si="36">IF(H24&gt;0,I24/H24*100,"-")</f>
        <v>98.874231384440307</v>
      </c>
      <c r="K24" s="27">
        <v>6365165.0199999996</v>
      </c>
      <c r="L24" s="102">
        <v>6147328.2199999997</v>
      </c>
      <c r="M24" s="20">
        <f t="shared" ref="M24:M57" si="37">IF(K24&gt;0,L24/K24*100,"-")</f>
        <v>96.577672388452868</v>
      </c>
      <c r="N24" s="27">
        <v>6637406.0099999998</v>
      </c>
      <c r="O24" s="102">
        <v>6450910.4299999997</v>
      </c>
      <c r="P24" s="20">
        <f t="shared" ref="P24:P57" si="38">IF(N24&gt;0,O24/N24*100,"-")</f>
        <v>97.190233960088875</v>
      </c>
      <c r="Q24" s="13">
        <f t="shared" si="23"/>
        <v>4.2770452791811522</v>
      </c>
      <c r="R24" s="13">
        <f t="shared" si="23"/>
        <v>4.938441533222715</v>
      </c>
    </row>
    <row r="25" spans="1:18" x14ac:dyDescent="0.3">
      <c r="A25" s="5" t="s">
        <v>40</v>
      </c>
      <c r="B25" s="27">
        <v>266628751.84</v>
      </c>
      <c r="C25" s="27">
        <v>237905011.41</v>
      </c>
      <c r="D25" s="20">
        <f t="shared" si="34"/>
        <v>89.227065636478429</v>
      </c>
      <c r="E25" s="27">
        <v>288304552.17000002</v>
      </c>
      <c r="F25" s="102">
        <v>256436537.62</v>
      </c>
      <c r="G25" s="20">
        <f t="shared" si="35"/>
        <v>88.946406045226482</v>
      </c>
      <c r="H25" s="27">
        <v>329812291.19999999</v>
      </c>
      <c r="I25" s="102">
        <v>293898415.30000001</v>
      </c>
      <c r="J25" s="20">
        <f t="shared" si="36"/>
        <v>89.110813375290007</v>
      </c>
      <c r="K25" s="27">
        <v>323171968.83999997</v>
      </c>
      <c r="L25" s="102">
        <v>289333567.11000001</v>
      </c>
      <c r="M25" s="20">
        <f t="shared" si="37"/>
        <v>89.529289359018293</v>
      </c>
      <c r="N25" s="27">
        <v>337146136.00999999</v>
      </c>
      <c r="O25" s="102">
        <v>294871894.72000003</v>
      </c>
      <c r="P25" s="20">
        <f t="shared" si="38"/>
        <v>87.46115207182855</v>
      </c>
      <c r="Q25" s="13">
        <f t="shared" si="23"/>
        <v>4.3240653637625712</v>
      </c>
      <c r="R25" s="13">
        <f t="shared" si="23"/>
        <v>1.9141669821858045</v>
      </c>
    </row>
    <row r="26" spans="1:18" x14ac:dyDescent="0.3">
      <c r="A26" s="5" t="s">
        <v>41</v>
      </c>
      <c r="B26" s="27">
        <v>3087441329.4299998</v>
      </c>
      <c r="C26" s="27">
        <v>2766506977.6500001</v>
      </c>
      <c r="D26" s="20">
        <f t="shared" si="34"/>
        <v>89.605167595549091</v>
      </c>
      <c r="E26" s="27">
        <v>3000500857.7199998</v>
      </c>
      <c r="F26" s="102">
        <v>2810387203.54</v>
      </c>
      <c r="G26" s="20">
        <f t="shared" si="35"/>
        <v>93.663936016186909</v>
      </c>
      <c r="H26" s="27">
        <v>3032468983.6700001</v>
      </c>
      <c r="I26" s="102">
        <v>2779445498.7800002</v>
      </c>
      <c r="J26" s="20">
        <f t="shared" si="36"/>
        <v>91.656188859554902</v>
      </c>
      <c r="K26" s="27">
        <v>3059470800.8699999</v>
      </c>
      <c r="L26" s="102">
        <v>2819272481.2800002</v>
      </c>
      <c r="M26" s="20">
        <f t="shared" si="37"/>
        <v>92.149023957944095</v>
      </c>
      <c r="N26" s="27">
        <v>3343405924.9200001</v>
      </c>
      <c r="O26" s="102">
        <v>3081094292.8099999</v>
      </c>
      <c r="P26" s="20">
        <f t="shared" si="38"/>
        <v>92.154358818507006</v>
      </c>
      <c r="Q26" s="13">
        <f t="shared" si="23"/>
        <v>9.2805306057916823</v>
      </c>
      <c r="R26" s="13">
        <f t="shared" si="23"/>
        <v>9.2868572750061986</v>
      </c>
    </row>
    <row r="27" spans="1:18" x14ac:dyDescent="0.3">
      <c r="A27" s="5" t="s">
        <v>351</v>
      </c>
      <c r="B27" s="27">
        <v>0</v>
      </c>
      <c r="C27" s="27">
        <v>0</v>
      </c>
      <c r="D27" s="20"/>
      <c r="E27" s="27">
        <v>0</v>
      </c>
      <c r="F27" s="102">
        <v>0</v>
      </c>
      <c r="G27" s="20"/>
      <c r="H27" s="27">
        <v>0</v>
      </c>
      <c r="I27" s="102">
        <v>0</v>
      </c>
      <c r="J27" s="20"/>
      <c r="K27" s="27">
        <v>5433.34</v>
      </c>
      <c r="L27" s="27">
        <v>5433.34</v>
      </c>
      <c r="M27" s="20"/>
      <c r="N27" s="27">
        <v>0</v>
      </c>
      <c r="O27" s="27">
        <v>0</v>
      </c>
      <c r="P27" s="20"/>
      <c r="Q27" s="13">
        <f t="shared" si="23"/>
        <v>-100</v>
      </c>
      <c r="R27" s="13">
        <f t="shared" si="23"/>
        <v>-100</v>
      </c>
    </row>
    <row r="28" spans="1:18" x14ac:dyDescent="0.3">
      <c r="A28" s="5" t="s">
        <v>352</v>
      </c>
      <c r="B28" s="27">
        <v>0</v>
      </c>
      <c r="C28" s="27">
        <v>0</v>
      </c>
      <c r="D28" s="20"/>
      <c r="E28" s="27">
        <v>0</v>
      </c>
      <c r="F28" s="102">
        <v>0</v>
      </c>
      <c r="G28" s="20"/>
      <c r="H28" s="27">
        <v>0</v>
      </c>
      <c r="I28" s="102">
        <v>0</v>
      </c>
      <c r="J28" s="20"/>
      <c r="K28" s="27">
        <v>0</v>
      </c>
      <c r="L28" s="102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41705071.909999996</v>
      </c>
      <c r="C29" s="27">
        <v>41705012.939999998</v>
      </c>
      <c r="D29" s="20">
        <f t="shared" si="34"/>
        <v>99.999858602329894</v>
      </c>
      <c r="E29" s="27">
        <v>38276769.270000003</v>
      </c>
      <c r="F29" s="102">
        <v>38276769.270000003</v>
      </c>
      <c r="G29" s="20">
        <f t="shared" si="35"/>
        <v>100</v>
      </c>
      <c r="H29" s="27">
        <v>35172433.490000002</v>
      </c>
      <c r="I29" s="102">
        <v>35172433.490000002</v>
      </c>
      <c r="J29" s="20">
        <f t="shared" ref="J29:J57" si="39">IF(H29&gt;0,I29/H29*100,"-")</f>
        <v>100</v>
      </c>
      <c r="K29" s="27">
        <v>33679515.969999999</v>
      </c>
      <c r="L29" s="27">
        <v>33679515.969999999</v>
      </c>
      <c r="M29" s="20">
        <f t="shared" ref="M29:M62" si="40">IF(K29&gt;0,L29/K29*100,"-")</f>
        <v>100</v>
      </c>
      <c r="N29" s="27">
        <v>27693727.920000002</v>
      </c>
      <c r="O29" s="27">
        <v>27693727.920000002</v>
      </c>
      <c r="P29" s="20">
        <f t="shared" si="38"/>
        <v>100</v>
      </c>
      <c r="Q29" s="13">
        <f t="shared" si="23"/>
        <v>-17.77278526013211</v>
      </c>
      <c r="R29" s="13">
        <f t="shared" si="23"/>
        <v>-17.77278526013211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102">
        <v>0</v>
      </c>
      <c r="G30" s="20" t="str">
        <f t="shared" si="35"/>
        <v>-</v>
      </c>
      <c r="H30" s="27">
        <v>0</v>
      </c>
      <c r="I30" s="102">
        <v>0</v>
      </c>
      <c r="J30" s="20" t="str">
        <f t="shared" si="39"/>
        <v>-</v>
      </c>
      <c r="K30" s="27">
        <v>0</v>
      </c>
      <c r="L30" s="102">
        <v>0</v>
      </c>
      <c r="M30" s="20" t="str">
        <f t="shared" si="40"/>
        <v>-</v>
      </c>
      <c r="N30" s="27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582703.24</v>
      </c>
      <c r="C31" s="27">
        <v>578814.67000000004</v>
      </c>
      <c r="D31" s="20">
        <f t="shared" si="34"/>
        <v>99.332667173774439</v>
      </c>
      <c r="E31" s="27">
        <v>2054635.19</v>
      </c>
      <c r="F31" s="102">
        <v>1794392.57</v>
      </c>
      <c r="G31" s="20">
        <f t="shared" si="35"/>
        <v>87.33387701784666</v>
      </c>
      <c r="H31" s="27">
        <v>11684273.34</v>
      </c>
      <c r="I31" s="102">
        <v>493793.78</v>
      </c>
      <c r="J31" s="20">
        <f t="shared" si="39"/>
        <v>4.2261402624803708</v>
      </c>
      <c r="K31" s="27">
        <v>852417.5</v>
      </c>
      <c r="L31" s="102">
        <v>423784.79</v>
      </c>
      <c r="M31" s="20">
        <f t="shared" si="40"/>
        <v>49.715636997128755</v>
      </c>
      <c r="N31" s="27">
        <v>40755961.369999997</v>
      </c>
      <c r="O31" s="102">
        <v>40098191.450000003</v>
      </c>
      <c r="P31" s="20">
        <f t="shared" si="38"/>
        <v>98.386076790022258</v>
      </c>
      <c r="Q31" s="13">
        <f t="shared" si="23"/>
        <v>4681.2206307355254</v>
      </c>
      <c r="R31" s="13">
        <f t="shared" si="23"/>
        <v>9361.9232205101107</v>
      </c>
    </row>
    <row r="32" spans="1:18" x14ac:dyDescent="0.3">
      <c r="A32" s="5" t="s">
        <v>45</v>
      </c>
      <c r="B32" s="27">
        <v>21293974.100000001</v>
      </c>
      <c r="C32" s="27">
        <v>10051337.33</v>
      </c>
      <c r="D32" s="20">
        <f t="shared" si="34"/>
        <v>47.202731076863664</v>
      </c>
      <c r="E32" s="27">
        <v>7633307.2800000003</v>
      </c>
      <c r="F32" s="102">
        <v>4625994.59</v>
      </c>
      <c r="G32" s="20">
        <f t="shared" si="35"/>
        <v>60.602756057266959</v>
      </c>
      <c r="H32" s="27">
        <v>1841641.41</v>
      </c>
      <c r="I32" s="102">
        <v>1321568.95</v>
      </c>
      <c r="J32" s="20">
        <f t="shared" si="39"/>
        <v>71.760384123856127</v>
      </c>
      <c r="K32" s="27">
        <v>2974641.32</v>
      </c>
      <c r="L32" s="102">
        <v>2881475.47</v>
      </c>
      <c r="M32" s="20">
        <f t="shared" si="40"/>
        <v>96.867997180917271</v>
      </c>
      <c r="N32" s="27">
        <v>2821906.54</v>
      </c>
      <c r="O32" s="102">
        <v>2528554.44</v>
      </c>
      <c r="P32" s="20">
        <f t="shared" si="38"/>
        <v>89.60447145070934</v>
      </c>
      <c r="Q32" s="13">
        <f t="shared" si="23"/>
        <v>-5.1345612317386866</v>
      </c>
      <c r="R32" s="13">
        <f t="shared" si="23"/>
        <v>-12.247927621608383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28">
        <v>0</v>
      </c>
      <c r="F33" s="101">
        <v>0</v>
      </c>
      <c r="G33" s="20" t="str">
        <f t="shared" si="35"/>
        <v>-</v>
      </c>
      <c r="H33" s="28">
        <v>0</v>
      </c>
      <c r="I33" s="101">
        <v>0</v>
      </c>
      <c r="J33" s="20" t="str">
        <f t="shared" si="39"/>
        <v>-</v>
      </c>
      <c r="K33" s="28">
        <v>0</v>
      </c>
      <c r="L33" s="101">
        <v>0</v>
      </c>
      <c r="M33" s="20" t="str">
        <f t="shared" si="40"/>
        <v>-</v>
      </c>
      <c r="N33" s="28">
        <v>0</v>
      </c>
      <c r="O33" s="101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48672231.920000002</v>
      </c>
      <c r="C34" s="27">
        <v>7758422.6500000004</v>
      </c>
      <c r="D34" s="20">
        <f t="shared" si="34"/>
        <v>15.940141522073844</v>
      </c>
      <c r="E34" s="27">
        <v>105503418.66</v>
      </c>
      <c r="F34" s="102">
        <v>6486058.1100000003</v>
      </c>
      <c r="G34" s="20">
        <f t="shared" si="35"/>
        <v>6.1477231661110991</v>
      </c>
      <c r="H34" s="27">
        <v>42452849.259999998</v>
      </c>
      <c r="I34" s="102">
        <v>6454526.3200000003</v>
      </c>
      <c r="J34" s="20">
        <f t="shared" si="39"/>
        <v>15.203988501383336</v>
      </c>
      <c r="K34" s="27">
        <v>12392614.199999999</v>
      </c>
      <c r="L34" s="102">
        <v>9506201.0899999999</v>
      </c>
      <c r="M34" s="20">
        <f t="shared" si="40"/>
        <v>76.708601886436526</v>
      </c>
      <c r="N34" s="1">
        <v>30577766.739999998</v>
      </c>
      <c r="O34" s="1">
        <v>23295421.09</v>
      </c>
      <c r="P34" s="20">
        <f t="shared" si="38"/>
        <v>76.184180774478634</v>
      </c>
      <c r="Q34" s="13">
        <f t="shared" si="23"/>
        <v>146.74185967961466</v>
      </c>
      <c r="R34" s="13">
        <f t="shared" si="23"/>
        <v>145.05500009362837</v>
      </c>
    </row>
    <row r="35" spans="1:18" x14ac:dyDescent="0.3">
      <c r="A35" s="5" t="s">
        <v>48</v>
      </c>
      <c r="B35" s="27">
        <v>157861861.38</v>
      </c>
      <c r="C35" s="27">
        <v>93032987.040000007</v>
      </c>
      <c r="D35" s="20">
        <f t="shared" si="34"/>
        <v>58.933162339986602</v>
      </c>
      <c r="E35" s="27">
        <v>201972895.41</v>
      </c>
      <c r="F35" s="102">
        <v>115876979.81</v>
      </c>
      <c r="G35" s="20">
        <f t="shared" si="35"/>
        <v>57.372539802814927</v>
      </c>
      <c r="H35" s="27">
        <v>150979244.91</v>
      </c>
      <c r="I35" s="102">
        <v>107162678.88</v>
      </c>
      <c r="J35" s="20">
        <f t="shared" si="39"/>
        <v>70.978417559235098</v>
      </c>
      <c r="K35" s="27">
        <v>191350645.91999999</v>
      </c>
      <c r="L35" s="102">
        <v>132340857.05</v>
      </c>
      <c r="M35" s="20">
        <f t="shared" si="40"/>
        <v>69.161437325552143</v>
      </c>
      <c r="N35" s="1">
        <v>287190675.04000002</v>
      </c>
      <c r="O35" s="1">
        <v>167895898.46000001</v>
      </c>
      <c r="P35" s="20">
        <f t="shared" si="38"/>
        <v>58.461472830416724</v>
      </c>
      <c r="Q35" s="13">
        <f t="shared" si="23"/>
        <v>50.086075570431518</v>
      </c>
      <c r="R35" s="13">
        <f t="shared" si="23"/>
        <v>26.866262016549342</v>
      </c>
    </row>
    <row r="36" spans="1:18" x14ac:dyDescent="0.3">
      <c r="A36" s="5" t="s">
        <v>49</v>
      </c>
      <c r="B36" s="27">
        <v>6668453</v>
      </c>
      <c r="C36" s="27">
        <v>6073453</v>
      </c>
      <c r="D36" s="20">
        <f t="shared" si="34"/>
        <v>91.077390813131615</v>
      </c>
      <c r="E36" s="27">
        <v>18789516.66</v>
      </c>
      <c r="F36" s="102">
        <v>2336.66</v>
      </c>
      <c r="G36" s="20">
        <f t="shared" si="35"/>
        <v>1.2435977158339526E-2</v>
      </c>
      <c r="H36" s="27">
        <v>4357602.09</v>
      </c>
      <c r="I36" s="102">
        <v>1408827.07</v>
      </c>
      <c r="J36" s="20">
        <f t="shared" si="39"/>
        <v>32.330328490364757</v>
      </c>
      <c r="K36" s="27">
        <v>3061165.26</v>
      </c>
      <c r="L36" s="102">
        <v>2842165.26</v>
      </c>
      <c r="M36" s="20">
        <f t="shared" si="40"/>
        <v>92.845861578868167</v>
      </c>
      <c r="N36" s="1">
        <v>1948434.12</v>
      </c>
      <c r="O36" s="1">
        <v>1869639.74</v>
      </c>
      <c r="P36" s="20">
        <f t="shared" si="38"/>
        <v>95.956015182078616</v>
      </c>
      <c r="Q36" s="13">
        <f t="shared" si="23"/>
        <v>-36.349920552802814</v>
      </c>
      <c r="R36" s="13">
        <f t="shared" si="23"/>
        <v>-34.217768181432206</v>
      </c>
    </row>
    <row r="37" spans="1:18" x14ac:dyDescent="0.3">
      <c r="A37" s="5" t="s">
        <v>50</v>
      </c>
      <c r="B37" s="27">
        <v>20210.64</v>
      </c>
      <c r="C37" s="27">
        <v>20210.64</v>
      </c>
      <c r="D37" s="20">
        <f t="shared" si="34"/>
        <v>100</v>
      </c>
      <c r="E37" s="27">
        <v>0</v>
      </c>
      <c r="F37" s="102">
        <v>0</v>
      </c>
      <c r="G37" s="20" t="str">
        <f t="shared" si="35"/>
        <v>-</v>
      </c>
      <c r="H37" s="27">
        <v>0</v>
      </c>
      <c r="I37" s="102">
        <v>0</v>
      </c>
      <c r="J37" s="20" t="str">
        <f t="shared" si="39"/>
        <v>-</v>
      </c>
      <c r="K37" s="27">
        <v>0</v>
      </c>
      <c r="L37" s="102">
        <v>0</v>
      </c>
      <c r="M37" s="20" t="str">
        <f t="shared" si="40"/>
        <v>-</v>
      </c>
      <c r="N37" s="1">
        <v>225712.5</v>
      </c>
      <c r="O37" s="1">
        <v>225712.5</v>
      </c>
      <c r="P37" s="20">
        <f t="shared" si="38"/>
        <v>100</v>
      </c>
      <c r="Q37" s="13" t="str">
        <f t="shared" si="23"/>
        <v>-</v>
      </c>
      <c r="R37" s="13" t="str">
        <f t="shared" si="23"/>
        <v>-</v>
      </c>
    </row>
    <row r="38" spans="1:18" x14ac:dyDescent="0.3">
      <c r="A38" s="5" t="s">
        <v>51</v>
      </c>
      <c r="B38" s="27">
        <v>6000000</v>
      </c>
      <c r="C38" s="27">
        <v>6000000</v>
      </c>
      <c r="D38" s="20">
        <f t="shared" si="34"/>
        <v>100</v>
      </c>
      <c r="E38" s="27">
        <v>0</v>
      </c>
      <c r="F38" s="102">
        <v>0</v>
      </c>
      <c r="G38" s="20" t="str">
        <f t="shared" si="35"/>
        <v>-</v>
      </c>
      <c r="H38" s="27">
        <v>0</v>
      </c>
      <c r="I38" s="102">
        <v>0</v>
      </c>
      <c r="J38" s="20" t="str">
        <f t="shared" si="39"/>
        <v>-</v>
      </c>
      <c r="K38" s="27">
        <v>25050000</v>
      </c>
      <c r="L38" s="27">
        <v>25050000</v>
      </c>
      <c r="M38" s="20">
        <f t="shared" si="40"/>
        <v>100</v>
      </c>
      <c r="N38" s="28">
        <v>0</v>
      </c>
      <c r="O38" s="28">
        <v>0</v>
      </c>
      <c r="P38" s="20" t="str">
        <f t="shared" si="38"/>
        <v>-</v>
      </c>
      <c r="Q38" s="13">
        <f t="shared" si="23"/>
        <v>-100</v>
      </c>
      <c r="R38" s="13">
        <f t="shared" si="23"/>
        <v>-100</v>
      </c>
    </row>
    <row r="39" spans="1:18" x14ac:dyDescent="0.3">
      <c r="A39" s="5" t="s">
        <v>262</v>
      </c>
      <c r="B39" s="27">
        <v>1922515.19</v>
      </c>
      <c r="C39" s="27">
        <v>1922515.19</v>
      </c>
      <c r="D39" s="20">
        <f t="shared" si="34"/>
        <v>100</v>
      </c>
      <c r="E39" s="27">
        <v>39069930.630000003</v>
      </c>
      <c r="F39" s="102">
        <v>38982305</v>
      </c>
      <c r="G39" s="20">
        <f t="shared" si="35"/>
        <v>99.775721050467595</v>
      </c>
      <c r="H39" s="27">
        <v>10820069.369999999</v>
      </c>
      <c r="I39" s="102">
        <v>10805000</v>
      </c>
      <c r="J39" s="20">
        <f t="shared" si="39"/>
        <v>99.860727602710369</v>
      </c>
      <c r="K39" s="27">
        <v>1155366.8500000001</v>
      </c>
      <c r="L39" s="27">
        <v>1155366.8500000001</v>
      </c>
      <c r="M39" s="20">
        <f t="shared" si="40"/>
        <v>100</v>
      </c>
      <c r="N39" s="28">
        <v>0</v>
      </c>
      <c r="O39" s="28">
        <v>0</v>
      </c>
      <c r="P39" s="20" t="str">
        <f t="shared" si="38"/>
        <v>-</v>
      </c>
      <c r="Q39" s="13">
        <f t="shared" si="23"/>
        <v>-100</v>
      </c>
      <c r="R39" s="13">
        <f t="shared" si="23"/>
        <v>-100</v>
      </c>
    </row>
    <row r="40" spans="1:18" x14ac:dyDescent="0.3">
      <c r="A40" s="5" t="s">
        <v>52</v>
      </c>
      <c r="B40" s="27">
        <v>50000</v>
      </c>
      <c r="C40" s="27">
        <v>50000</v>
      </c>
      <c r="D40" s="20">
        <f t="shared" si="34"/>
        <v>100</v>
      </c>
      <c r="E40" s="27">
        <v>1142303.92</v>
      </c>
      <c r="F40" s="102">
        <v>441742.97</v>
      </c>
      <c r="G40" s="20">
        <f t="shared" si="35"/>
        <v>38.671229457043275</v>
      </c>
      <c r="H40" s="27">
        <v>30000</v>
      </c>
      <c r="I40" s="102">
        <v>0</v>
      </c>
      <c r="J40" s="20">
        <f t="shared" si="39"/>
        <v>0</v>
      </c>
      <c r="K40" s="27">
        <v>262254.15999999997</v>
      </c>
      <c r="L40" s="102">
        <v>244254.16</v>
      </c>
      <c r="M40" s="20">
        <f t="shared" si="40"/>
        <v>93.13642917999853</v>
      </c>
      <c r="N40" s="1">
        <v>236075.96</v>
      </c>
      <c r="O40" s="1">
        <v>146000</v>
      </c>
      <c r="P40" s="20">
        <f t="shared" si="38"/>
        <v>61.844501235958127</v>
      </c>
      <c r="Q40" s="13">
        <f t="shared" si="23"/>
        <v>-9.981996091120152</v>
      </c>
      <c r="R40" s="13">
        <f t="shared" si="23"/>
        <v>-40.226197171012359</v>
      </c>
    </row>
    <row r="41" spans="1:18" x14ac:dyDescent="0.3">
      <c r="A41" s="5" t="s">
        <v>53</v>
      </c>
      <c r="B41" s="27">
        <v>9410757.0500000007</v>
      </c>
      <c r="C41" s="27">
        <v>9410757.0500000007</v>
      </c>
      <c r="D41" s="20">
        <f t="shared" si="34"/>
        <v>100</v>
      </c>
      <c r="E41" s="27">
        <v>46891082.75</v>
      </c>
      <c r="F41" s="102">
        <v>46891082.75</v>
      </c>
      <c r="G41" s="20">
        <f t="shared" si="35"/>
        <v>100</v>
      </c>
      <c r="H41" s="27">
        <v>268232839.90000001</v>
      </c>
      <c r="I41" s="102">
        <v>268211489.90000001</v>
      </c>
      <c r="J41" s="20">
        <f t="shared" si="39"/>
        <v>99.992040497350004</v>
      </c>
      <c r="K41" s="27">
        <v>126813528.72</v>
      </c>
      <c r="L41" s="27">
        <v>126813528.72</v>
      </c>
      <c r="M41" s="20">
        <f t="shared" si="40"/>
        <v>100</v>
      </c>
      <c r="N41" s="1">
        <v>171191072.55000001</v>
      </c>
      <c r="O41" s="1">
        <v>171191072.55000001</v>
      </c>
      <c r="P41" s="20">
        <f t="shared" si="38"/>
        <v>100</v>
      </c>
      <c r="Q41" s="13">
        <f t="shared" si="23"/>
        <v>34.994329294301195</v>
      </c>
      <c r="R41" s="13">
        <f t="shared" si="23"/>
        <v>34.994329294301195</v>
      </c>
    </row>
    <row r="42" spans="1:18" x14ac:dyDescent="0.3">
      <c r="A42" s="5" t="s">
        <v>54</v>
      </c>
      <c r="B42" s="27">
        <v>128025436.66</v>
      </c>
      <c r="C42" s="27">
        <v>0</v>
      </c>
      <c r="D42" s="20">
        <f t="shared" si="34"/>
        <v>0</v>
      </c>
      <c r="E42" s="27">
        <v>507314.49</v>
      </c>
      <c r="F42" s="102">
        <v>0</v>
      </c>
      <c r="G42" s="20">
        <f t="shared" si="35"/>
        <v>0</v>
      </c>
      <c r="H42" s="27">
        <v>20090374.09</v>
      </c>
      <c r="I42" s="102">
        <v>0</v>
      </c>
      <c r="J42" s="20">
        <f t="shared" si="39"/>
        <v>0</v>
      </c>
      <c r="K42" s="27">
        <v>21558596.210000001</v>
      </c>
      <c r="L42" s="102">
        <v>0</v>
      </c>
      <c r="M42" s="20">
        <f t="shared" si="40"/>
        <v>0</v>
      </c>
      <c r="N42" s="1">
        <v>157844078.44999999</v>
      </c>
      <c r="O42" s="28">
        <v>0</v>
      </c>
      <c r="P42" s="20">
        <f t="shared" si="38"/>
        <v>0</v>
      </c>
      <c r="Q42" s="13">
        <f t="shared" si="23"/>
        <v>632.16306345950147</v>
      </c>
      <c r="R42" s="13" t="str">
        <f t="shared" si="23"/>
        <v>-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102">
        <v>0</v>
      </c>
      <c r="G43" s="20" t="str">
        <f t="shared" si="35"/>
        <v>-</v>
      </c>
      <c r="H43" s="27">
        <v>0</v>
      </c>
      <c r="I43" s="102">
        <v>0</v>
      </c>
      <c r="J43" s="20" t="str">
        <f t="shared" si="39"/>
        <v>-</v>
      </c>
      <c r="K43" s="27">
        <v>0</v>
      </c>
      <c r="L43" s="102">
        <v>0</v>
      </c>
      <c r="M43" s="20" t="str">
        <f t="shared" si="40"/>
        <v>-</v>
      </c>
      <c r="N43" s="28">
        <v>0</v>
      </c>
      <c r="O43" s="28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51196536.759999998</v>
      </c>
      <c r="C44" s="27">
        <v>0</v>
      </c>
      <c r="D44" s="20">
        <f t="shared" si="34"/>
        <v>0</v>
      </c>
      <c r="E44" s="27">
        <v>47376062.75</v>
      </c>
      <c r="F44" s="102">
        <v>0</v>
      </c>
      <c r="G44" s="20">
        <f t="shared" si="35"/>
        <v>0</v>
      </c>
      <c r="H44" s="27">
        <v>35058179.909999996</v>
      </c>
      <c r="I44" s="102">
        <v>0</v>
      </c>
      <c r="J44" s="20">
        <f t="shared" si="39"/>
        <v>0</v>
      </c>
      <c r="K44" s="27">
        <v>21926013.329999998</v>
      </c>
      <c r="L44" s="102">
        <v>0</v>
      </c>
      <c r="M44" s="20">
        <f t="shared" si="40"/>
        <v>0</v>
      </c>
      <c r="N44" s="1">
        <v>15548076.23</v>
      </c>
      <c r="O44" s="28">
        <v>0</v>
      </c>
      <c r="P44" s="20">
        <f t="shared" si="38"/>
        <v>0</v>
      </c>
      <c r="Q44" s="13">
        <f t="shared" si="23"/>
        <v>-29.088448520066635</v>
      </c>
      <c r="R44" s="13" t="str">
        <f t="shared" si="23"/>
        <v>-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102">
        <v>0</v>
      </c>
      <c r="G45" s="20" t="str">
        <f t="shared" si="35"/>
        <v>-</v>
      </c>
      <c r="H45" s="27">
        <v>0</v>
      </c>
      <c r="I45" s="102">
        <v>0</v>
      </c>
      <c r="J45" s="20" t="str">
        <f t="shared" si="39"/>
        <v>-</v>
      </c>
      <c r="K45" s="27">
        <v>0</v>
      </c>
      <c r="L45" s="102">
        <v>0</v>
      </c>
      <c r="M45" s="20" t="str">
        <f t="shared" si="40"/>
        <v>-</v>
      </c>
      <c r="N45" s="27">
        <v>0</v>
      </c>
      <c r="O45" s="102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102">
        <v>0</v>
      </c>
      <c r="G46" s="20" t="str">
        <f t="shared" si="35"/>
        <v>-</v>
      </c>
      <c r="H46" s="27">
        <v>0</v>
      </c>
      <c r="I46" s="102">
        <v>0</v>
      </c>
      <c r="J46" s="20" t="str">
        <f t="shared" si="39"/>
        <v>-</v>
      </c>
      <c r="K46" s="27">
        <v>0</v>
      </c>
      <c r="L46" s="102">
        <v>0</v>
      </c>
      <c r="M46" s="20" t="str">
        <f t="shared" si="40"/>
        <v>-</v>
      </c>
      <c r="N46" s="27">
        <v>0</v>
      </c>
      <c r="O46" s="102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102">
        <v>0</v>
      </c>
      <c r="G47" s="20" t="str">
        <f t="shared" si="35"/>
        <v>-</v>
      </c>
      <c r="H47" s="27">
        <v>0</v>
      </c>
      <c r="I47" s="102">
        <v>0</v>
      </c>
      <c r="J47" s="20" t="str">
        <f t="shared" si="39"/>
        <v>-</v>
      </c>
      <c r="K47" s="27">
        <v>0</v>
      </c>
      <c r="L47" s="102">
        <v>0</v>
      </c>
      <c r="M47" s="20" t="str">
        <f t="shared" si="40"/>
        <v>-</v>
      </c>
      <c r="N47" s="27">
        <v>0</v>
      </c>
      <c r="O47" s="102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1059710428.02</v>
      </c>
      <c r="C48" s="27">
        <v>0</v>
      </c>
      <c r="D48" s="20">
        <f t="shared" si="34"/>
        <v>0</v>
      </c>
      <c r="E48" s="27">
        <v>800804536.98000002</v>
      </c>
      <c r="F48" s="102">
        <v>0</v>
      </c>
      <c r="G48" s="20">
        <f t="shared" si="35"/>
        <v>0</v>
      </c>
      <c r="H48" s="27">
        <v>604666146.96000004</v>
      </c>
      <c r="I48" s="102">
        <v>0</v>
      </c>
      <c r="J48" s="20">
        <f t="shared" si="39"/>
        <v>0</v>
      </c>
      <c r="K48" s="27">
        <v>492495814.31</v>
      </c>
      <c r="L48" s="102">
        <v>0</v>
      </c>
      <c r="M48" s="20">
        <f t="shared" si="40"/>
        <v>0</v>
      </c>
      <c r="N48" s="27">
        <v>826687449.11000001</v>
      </c>
      <c r="O48" s="102">
        <v>0</v>
      </c>
      <c r="P48" s="20">
        <f t="shared" si="38"/>
        <v>0</v>
      </c>
      <c r="Q48" s="13">
        <f t="shared" si="23"/>
        <v>67.856746207723916</v>
      </c>
      <c r="R48" s="13" t="str">
        <f t="shared" si="23"/>
        <v>-</v>
      </c>
    </row>
    <row r="49" spans="1:18" x14ac:dyDescent="0.3">
      <c r="A49" s="5" t="s">
        <v>61</v>
      </c>
      <c r="B49" s="27">
        <v>20104020.280000001</v>
      </c>
      <c r="C49" s="27">
        <v>0</v>
      </c>
      <c r="D49" s="20">
        <f t="shared" si="34"/>
        <v>0</v>
      </c>
      <c r="E49" s="27">
        <v>19855366.120000001</v>
      </c>
      <c r="F49" s="102">
        <v>0</v>
      </c>
      <c r="G49" s="20">
        <f t="shared" si="35"/>
        <v>0</v>
      </c>
      <c r="H49" s="27">
        <v>19816639.010000002</v>
      </c>
      <c r="I49" s="102">
        <v>0</v>
      </c>
      <c r="J49" s="20">
        <f t="shared" si="39"/>
        <v>0</v>
      </c>
      <c r="K49" s="27">
        <v>25869315.289999999</v>
      </c>
      <c r="L49" s="102">
        <v>0</v>
      </c>
      <c r="M49" s="20">
        <f t="shared" si="40"/>
        <v>0</v>
      </c>
      <c r="N49" s="27">
        <v>25891706.379999999</v>
      </c>
      <c r="O49" s="102">
        <v>0</v>
      </c>
      <c r="P49" s="20">
        <f t="shared" si="38"/>
        <v>0</v>
      </c>
      <c r="Q49" s="13">
        <f t="shared" si="23"/>
        <v>8.6554629486684576E-2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3494200649.0999994</v>
      </c>
      <c r="C50" s="27">
        <f t="shared" si="41"/>
        <v>3131460905.8400002</v>
      </c>
      <c r="D50" s="20">
        <f t="shared" si="34"/>
        <v>89.618806139440494</v>
      </c>
      <c r="E50" s="27">
        <f t="shared" ref="E50:F50" si="42">SUM(E23:E32)</f>
        <v>3418641444.7000003</v>
      </c>
      <c r="F50" s="102">
        <f t="shared" si="42"/>
        <v>3192142929.4000001</v>
      </c>
      <c r="G50" s="20">
        <f t="shared" si="35"/>
        <v>93.37460453329652</v>
      </c>
      <c r="H50" s="27">
        <f t="shared" ref="H50:I50" si="43">SUM(H23:H32)</f>
        <v>3500996136.0799999</v>
      </c>
      <c r="I50" s="102">
        <f t="shared" si="43"/>
        <v>3199775816.4500003</v>
      </c>
      <c r="J50" s="20">
        <f t="shared" si="39"/>
        <v>91.396153896722936</v>
      </c>
      <c r="K50" s="27">
        <f t="shared" ref="K50:L50" si="44">SUM(K23:K32)</f>
        <v>3512620865.1500001</v>
      </c>
      <c r="L50" s="102">
        <f t="shared" si="44"/>
        <v>3235515086.0500002</v>
      </c>
      <c r="M50" s="20">
        <f t="shared" si="40"/>
        <v>92.111138954697097</v>
      </c>
      <c r="N50" s="27">
        <f t="shared" ref="N50:O50" si="45">SUM(N23:N32)</f>
        <v>3844454929.6199999</v>
      </c>
      <c r="O50" s="102">
        <f t="shared" si="45"/>
        <v>3537108757.27</v>
      </c>
      <c r="P50" s="20">
        <f t="shared" si="38"/>
        <v>92.005468187908264</v>
      </c>
      <c r="Q50" s="13">
        <f t="shared" si="23"/>
        <v>9.4469080839963908</v>
      </c>
      <c r="R50" s="13">
        <f t="shared" si="23"/>
        <v>9.3213495594666824</v>
      </c>
    </row>
    <row r="51" spans="1:18" x14ac:dyDescent="0.3">
      <c r="A51" s="5" t="s">
        <v>63</v>
      </c>
      <c r="B51" s="27">
        <f t="shared" ref="B51:C51" si="46">SUM(B33:B37)</f>
        <v>213222756.94</v>
      </c>
      <c r="C51" s="27">
        <f t="shared" si="46"/>
        <v>106885073.33000001</v>
      </c>
      <c r="D51" s="20">
        <f t="shared" si="34"/>
        <v>50.128360998576262</v>
      </c>
      <c r="E51" s="27">
        <f t="shared" ref="E51:F51" si="47">SUM(E33:E37)</f>
        <v>326265830.73000002</v>
      </c>
      <c r="F51" s="102">
        <f t="shared" si="47"/>
        <v>122365374.58</v>
      </c>
      <c r="G51" s="20">
        <f t="shared" si="35"/>
        <v>37.504808366299002</v>
      </c>
      <c r="H51" s="27">
        <f t="shared" ref="H51:I51" si="48">SUM(H33:H37)</f>
        <v>197789696.25999999</v>
      </c>
      <c r="I51" s="102">
        <f t="shared" si="48"/>
        <v>115026032.26999998</v>
      </c>
      <c r="J51" s="20">
        <f t="shared" si="39"/>
        <v>58.155725219778432</v>
      </c>
      <c r="K51" s="27">
        <f t="shared" ref="K51:L51" si="49">SUM(K33:K37)</f>
        <v>206804425.37999997</v>
      </c>
      <c r="L51" s="102">
        <f t="shared" si="49"/>
        <v>144689223.39999998</v>
      </c>
      <c r="M51" s="20">
        <f t="shared" si="40"/>
        <v>69.964278150303485</v>
      </c>
      <c r="N51" s="27">
        <f t="shared" ref="N51:O51" si="50">SUM(N33:N37)</f>
        <v>319942588.40000004</v>
      </c>
      <c r="O51" s="102">
        <f t="shared" si="50"/>
        <v>193286671.79000002</v>
      </c>
      <c r="P51" s="20">
        <f t="shared" si="38"/>
        <v>60.412923692530832</v>
      </c>
      <c r="Q51" s="13">
        <f t="shared" si="23"/>
        <v>54.707805605276803</v>
      </c>
      <c r="R51" s="13">
        <f t="shared" si="23"/>
        <v>33.587469230966974</v>
      </c>
    </row>
    <row r="52" spans="1:18" x14ac:dyDescent="0.3">
      <c r="A52" s="5" t="s">
        <v>64</v>
      </c>
      <c r="B52" s="27">
        <f t="shared" ref="B52:C52" si="51">SUM(B38:B41)</f>
        <v>17383272.240000002</v>
      </c>
      <c r="C52" s="27">
        <f t="shared" si="51"/>
        <v>17383272.240000002</v>
      </c>
      <c r="D52" s="20">
        <f t="shared" si="34"/>
        <v>100</v>
      </c>
      <c r="E52" s="27">
        <f t="shared" ref="E52:F52" si="52">SUM(E38:E41)</f>
        <v>87103317.300000012</v>
      </c>
      <c r="F52" s="102">
        <f t="shared" si="52"/>
        <v>86315130.719999999</v>
      </c>
      <c r="G52" s="20">
        <f t="shared" si="35"/>
        <v>99.095113017010178</v>
      </c>
      <c r="H52" s="27">
        <f t="shared" ref="H52:I52" si="53">SUM(H38:H41)</f>
        <v>279082909.26999998</v>
      </c>
      <c r="I52" s="102">
        <f t="shared" si="53"/>
        <v>279016489.89999998</v>
      </c>
      <c r="J52" s="20">
        <f t="shared" si="39"/>
        <v>99.97620084648905</v>
      </c>
      <c r="K52" s="27">
        <f t="shared" ref="K52:L52" si="54">SUM(K38:K41)</f>
        <v>153281149.72999999</v>
      </c>
      <c r="L52" s="102">
        <f t="shared" si="54"/>
        <v>153263149.72999999</v>
      </c>
      <c r="M52" s="20">
        <f t="shared" si="40"/>
        <v>99.988256873052094</v>
      </c>
      <c r="N52" s="27">
        <f t="shared" ref="N52:O52" si="55">SUM(N38:N41)</f>
        <v>171427148.51000002</v>
      </c>
      <c r="O52" s="102">
        <f t="shared" si="55"/>
        <v>171337072.55000001</v>
      </c>
      <c r="P52" s="20">
        <f t="shared" si="38"/>
        <v>99.947455253859772</v>
      </c>
      <c r="Q52" s="13">
        <f t="shared" si="23"/>
        <v>11.838375959446836</v>
      </c>
      <c r="R52" s="13">
        <f t="shared" si="23"/>
        <v>11.792738731939423</v>
      </c>
    </row>
    <row r="53" spans="1:18" x14ac:dyDescent="0.3">
      <c r="A53" s="5" t="s">
        <v>65</v>
      </c>
      <c r="B53" s="27">
        <f t="shared" ref="B53" si="56">SUM(B42:B46)</f>
        <v>179221973.41999999</v>
      </c>
      <c r="C53" s="29">
        <v>178437942.22</v>
      </c>
      <c r="D53" s="20">
        <f t="shared" si="34"/>
        <v>99.562536230888028</v>
      </c>
      <c r="E53" s="27">
        <f t="shared" ref="E53" si="57">SUM(E42:E46)</f>
        <v>47883377.240000002</v>
      </c>
      <c r="F53" s="29">
        <v>47376062.75</v>
      </c>
      <c r="G53" s="20">
        <f t="shared" si="35"/>
        <v>98.940520658229161</v>
      </c>
      <c r="H53" s="27">
        <f t="shared" ref="H53" si="58">SUM(H42:H46)</f>
        <v>55148554</v>
      </c>
      <c r="I53" s="29">
        <v>35058179.909999996</v>
      </c>
      <c r="J53" s="20">
        <f t="shared" si="39"/>
        <v>63.570442681053784</v>
      </c>
      <c r="K53" s="27">
        <f t="shared" ref="K53" si="59">SUM(K42:K46)</f>
        <v>43484609.539999999</v>
      </c>
      <c r="L53" s="29">
        <v>21926013.329999998</v>
      </c>
      <c r="M53" s="20">
        <f t="shared" si="40"/>
        <v>50.422467999467749</v>
      </c>
      <c r="N53" s="27">
        <f t="shared" ref="N53:O53" si="60">SUM(N42:N46)</f>
        <v>173392154.67999998</v>
      </c>
      <c r="O53" s="29">
        <v>152371938.31</v>
      </c>
      <c r="P53" s="20">
        <f t="shared" si="38"/>
        <v>87.877066059422717</v>
      </c>
      <c r="Q53" s="13">
        <f t="shared" si="23"/>
        <v>298.74373143560706</v>
      </c>
      <c r="R53" s="13">
        <f t="shared" si="23"/>
        <v>594.9368132578802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102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102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102">
        <f t="shared" si="64"/>
        <v>0</v>
      </c>
      <c r="M54" s="20" t="str">
        <f t="shared" si="40"/>
        <v>-</v>
      </c>
      <c r="N54" s="27">
        <f t="shared" ref="N54:O54" si="65">N47</f>
        <v>0</v>
      </c>
      <c r="O54" s="102">
        <f t="shared" si="65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1079814448.3</v>
      </c>
      <c r="C55" s="29">
        <v>649318471.54999995</v>
      </c>
      <c r="D55" s="20">
        <f t="shared" si="34"/>
        <v>60.132411876156219</v>
      </c>
      <c r="E55" s="27">
        <f>SUM(E48:E49)</f>
        <v>820659903.10000002</v>
      </c>
      <c r="F55" s="29">
        <v>462188980.06</v>
      </c>
      <c r="G55" s="20">
        <f t="shared" si="35"/>
        <v>56.319186341882329</v>
      </c>
      <c r="H55" s="27">
        <f>SUM(H48:H49)</f>
        <v>624482785.97000003</v>
      </c>
      <c r="I55" s="29">
        <v>243862087.81999999</v>
      </c>
      <c r="J55" s="20">
        <f t="shared" si="39"/>
        <v>39.050249790506648</v>
      </c>
      <c r="K55" s="27">
        <f>SUM(K48:K49)</f>
        <v>518365129.60000002</v>
      </c>
      <c r="L55" s="29">
        <v>285137627.72000003</v>
      </c>
      <c r="M55" s="20">
        <f t="shared" si="40"/>
        <v>55.007100485333268</v>
      </c>
      <c r="N55" s="27">
        <f>SUM(N48:N49)</f>
        <v>852579155.49000001</v>
      </c>
      <c r="O55" s="29">
        <v>559681337.71000004</v>
      </c>
      <c r="P55" s="20">
        <f t="shared" si="38"/>
        <v>65.645674551864488</v>
      </c>
      <c r="Q55" s="13">
        <f t="shared" si="23"/>
        <v>64.474635118280133</v>
      </c>
      <c r="R55" s="13">
        <f t="shared" si="23"/>
        <v>96.284630052262656</v>
      </c>
    </row>
    <row r="56" spans="1:18" x14ac:dyDescent="0.3">
      <c r="A56" s="5" t="s">
        <v>68</v>
      </c>
      <c r="B56" s="19">
        <f t="shared" ref="B56:C56" si="66">SUM(B50:B55)</f>
        <v>4983843099.999999</v>
      </c>
      <c r="C56" s="19">
        <f t="shared" si="66"/>
        <v>4083485665.1799994</v>
      </c>
      <c r="D56" s="20">
        <f t="shared" si="34"/>
        <v>81.93447472654185</v>
      </c>
      <c r="E56" s="19">
        <f t="shared" ref="E56:F56" si="67">SUM(E50:E55)</f>
        <v>4700553873.0700006</v>
      </c>
      <c r="F56" s="19">
        <f t="shared" si="67"/>
        <v>3910388477.5099998</v>
      </c>
      <c r="G56" s="20">
        <f t="shared" si="35"/>
        <v>83.189951293039172</v>
      </c>
      <c r="H56" s="24">
        <f t="shared" ref="H56:I56" si="68">SUM(H50:H55)</f>
        <v>4657500081.5799999</v>
      </c>
      <c r="I56" s="19">
        <f t="shared" si="68"/>
        <v>3872738606.3500004</v>
      </c>
      <c r="J56" s="20">
        <f t="shared" si="39"/>
        <v>83.150585904793388</v>
      </c>
      <c r="K56" s="24">
        <f t="shared" ref="K56:L56" si="69">SUM(K50:K55)</f>
        <v>4434556179.4000006</v>
      </c>
      <c r="L56" s="19">
        <f t="shared" si="69"/>
        <v>3840531100.2300005</v>
      </c>
      <c r="M56" s="20">
        <f t="shared" si="40"/>
        <v>86.604632907134075</v>
      </c>
      <c r="N56" s="24">
        <f t="shared" ref="N56:O56" si="70">SUM(N50:N55)</f>
        <v>5361795976.6999998</v>
      </c>
      <c r="O56" s="19">
        <f t="shared" si="70"/>
        <v>4613785777.6300001</v>
      </c>
      <c r="P56" s="20">
        <f t="shared" si="38"/>
        <v>86.049260316496145</v>
      </c>
      <c r="Q56" s="13">
        <f t="shared" si="23"/>
        <v>20.909415954799243</v>
      </c>
      <c r="R56" s="13">
        <f t="shared" si="23"/>
        <v>20.13405586934816</v>
      </c>
    </row>
    <row r="57" spans="1:18" x14ac:dyDescent="0.3">
      <c r="A57" s="14" t="s">
        <v>69</v>
      </c>
      <c r="B57" s="15">
        <f t="shared" ref="B57:C57" si="71">B56-B55</f>
        <v>3904028651.6999989</v>
      </c>
      <c r="C57" s="15">
        <f t="shared" si="71"/>
        <v>3434167193.6299992</v>
      </c>
      <c r="D57" s="21">
        <f t="shared" si="34"/>
        <v>87.964702619039443</v>
      </c>
      <c r="E57" s="15">
        <f t="shared" ref="E57:F57" si="72">E56-E55</f>
        <v>3879893969.9700007</v>
      </c>
      <c r="F57" s="15">
        <f t="shared" si="72"/>
        <v>3448199497.4499998</v>
      </c>
      <c r="G57" s="21">
        <f t="shared" si="35"/>
        <v>88.87354974488288</v>
      </c>
      <c r="H57" s="25">
        <f t="shared" ref="H57:I57" si="73">H56-H55</f>
        <v>4033017295.6099997</v>
      </c>
      <c r="I57" s="15">
        <f t="shared" si="73"/>
        <v>3628876518.5300002</v>
      </c>
      <c r="J57" s="21">
        <f t="shared" si="39"/>
        <v>89.979195538786485</v>
      </c>
      <c r="K57" s="25">
        <f t="shared" ref="K57:L57" si="74">K56-K55</f>
        <v>3916191049.8000007</v>
      </c>
      <c r="L57" s="15">
        <f t="shared" si="74"/>
        <v>3555393472.5100002</v>
      </c>
      <c r="M57" s="21">
        <f t="shared" si="40"/>
        <v>90.787028193927711</v>
      </c>
      <c r="N57" s="25">
        <f t="shared" ref="N57:O57" si="75">N56-N55</f>
        <v>4509216821.21</v>
      </c>
      <c r="O57" s="15">
        <f t="shared" si="75"/>
        <v>4054104439.9200001</v>
      </c>
      <c r="P57" s="21">
        <f t="shared" si="38"/>
        <v>89.907063702297734</v>
      </c>
      <c r="Q57" s="16">
        <f t="shared" si="23"/>
        <v>15.14292239241712</v>
      </c>
      <c r="R57" s="16">
        <f t="shared" si="23"/>
        <v>14.026885385991463</v>
      </c>
    </row>
    <row r="58" spans="1:18" x14ac:dyDescent="0.3">
      <c r="A58" s="5" t="s">
        <v>70</v>
      </c>
      <c r="B58" s="19">
        <f t="shared" ref="B58:F58" si="76">B21-B57</f>
        <v>-172212260.5899992</v>
      </c>
      <c r="C58" s="19">
        <f t="shared" si="76"/>
        <v>-324078033.2699995</v>
      </c>
      <c r="D58" s="22"/>
      <c r="E58" s="24">
        <f t="shared" si="76"/>
        <v>144666076.96999931</v>
      </c>
      <c r="F58" s="19">
        <f t="shared" si="76"/>
        <v>-80759080.849999905</v>
      </c>
      <c r="G58" s="22"/>
      <c r="H58" s="24">
        <f t="shared" ref="H58:I58" si="77">H21-H57</f>
        <v>82832273.340000153</v>
      </c>
      <c r="I58" s="19">
        <f t="shared" si="77"/>
        <v>-334990353.35000086</v>
      </c>
      <c r="J58" s="22"/>
      <c r="K58" s="24">
        <f t="shared" ref="K58:L58" si="78">K21-K57</f>
        <v>56393160.800000191</v>
      </c>
      <c r="L58" s="19">
        <f t="shared" si="78"/>
        <v>-173892027.83999968</v>
      </c>
      <c r="M58" s="22"/>
      <c r="N58" s="24">
        <f t="shared" ref="N58:O58" si="79">N21-N57</f>
        <v>-142593303.47999954</v>
      </c>
      <c r="O58" s="19">
        <f t="shared" si="79"/>
        <v>-331209608.92000008</v>
      </c>
      <c r="P58" s="22"/>
      <c r="Q58" s="13">
        <f t="shared" si="23"/>
        <v>-352.85566805824271</v>
      </c>
      <c r="R58" s="13" t="str">
        <f t="shared" si="23"/>
        <v>-</v>
      </c>
    </row>
    <row r="59" spans="1:18" x14ac:dyDescent="0.3">
      <c r="A59" s="5" t="s">
        <v>71</v>
      </c>
      <c r="B59" s="19">
        <f>B14-B50</f>
        <v>80222826.880000591</v>
      </c>
      <c r="C59" s="19">
        <f>C14-C50</f>
        <v>-133079017.24000025</v>
      </c>
      <c r="D59" s="22"/>
      <c r="E59" s="24">
        <f>E14-E50</f>
        <v>243000564.6699996</v>
      </c>
      <c r="F59" s="19">
        <f>F14-F50</f>
        <v>-116495531.84000015</v>
      </c>
      <c r="G59" s="22"/>
      <c r="H59" s="24">
        <f>H14-H50</f>
        <v>195956908.80000019</v>
      </c>
      <c r="I59" s="19">
        <f>I14-I50</f>
        <v>-49994533.070000648</v>
      </c>
      <c r="J59" s="22"/>
      <c r="K59" s="24">
        <f>K14-K50</f>
        <v>207789943.32000017</v>
      </c>
      <c r="L59" s="19">
        <f>L14-L50</f>
        <v>48644946.910000324</v>
      </c>
      <c r="M59" s="22"/>
      <c r="N59" s="24">
        <f>N14-N50</f>
        <v>99309681.850000381</v>
      </c>
      <c r="O59" s="19">
        <f>O14-O50</f>
        <v>-34405393.609999657</v>
      </c>
      <c r="P59" s="22"/>
      <c r="Q59" s="13">
        <f t="shared" si="23"/>
        <v>-52.206694769119927</v>
      </c>
      <c r="R59" s="13">
        <f t="shared" si="23"/>
        <v>-170.72757972920445</v>
      </c>
    </row>
    <row r="60" spans="1:18" x14ac:dyDescent="0.3">
      <c r="A60" s="5" t="s">
        <v>72</v>
      </c>
      <c r="B60" s="19">
        <f>B15-B51</f>
        <v>-129671193.68000001</v>
      </c>
      <c r="C60" s="19">
        <f>C15-C51</f>
        <v>-65854756.170000009</v>
      </c>
      <c r="D60" s="22"/>
      <c r="E60" s="24">
        <f>E15-E51</f>
        <v>-34815254.680000007</v>
      </c>
      <c r="F60" s="19">
        <f>F15-F51</f>
        <v>101158114.24999999</v>
      </c>
      <c r="G60" s="22"/>
      <c r="H60" s="24">
        <f>H15-H51</f>
        <v>-50379398.700000018</v>
      </c>
      <c r="I60" s="19">
        <f>I15-I51</f>
        <v>-62010266.559999987</v>
      </c>
      <c r="J60" s="22"/>
      <c r="K60" s="24">
        <f>K15-K51</f>
        <v>-82668008.269999966</v>
      </c>
      <c r="L60" s="19">
        <f>L15-L51</f>
        <v>-96519958.149999976</v>
      </c>
      <c r="M60" s="22"/>
      <c r="N60" s="24">
        <f>N15-N51</f>
        <v>-201682025.04000002</v>
      </c>
      <c r="O60" s="19">
        <f>O15-O51</f>
        <v>-149561554.19000003</v>
      </c>
      <c r="P60" s="22"/>
      <c r="Q60" s="13" t="str">
        <f t="shared" si="23"/>
        <v>-</v>
      </c>
      <c r="R60" s="13" t="str">
        <f t="shared" si="23"/>
        <v>-</v>
      </c>
    </row>
    <row r="61" spans="1:18" x14ac:dyDescent="0.3">
      <c r="F61" s="6"/>
      <c r="I61" s="6"/>
      <c r="L61" s="6"/>
      <c r="O61" s="6"/>
    </row>
    <row r="62" spans="1:18" x14ac:dyDescent="0.3">
      <c r="F62" s="6"/>
      <c r="I62" s="6"/>
      <c r="L62" s="6"/>
      <c r="O62" s="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I2" sqref="I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309</v>
      </c>
      <c r="B1" s="74" t="s">
        <v>310</v>
      </c>
      <c r="C1" s="74" t="s">
        <v>320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311</v>
      </c>
      <c r="B2" s="75" t="s">
        <v>78</v>
      </c>
      <c r="C2" s="77" t="s">
        <v>319</v>
      </c>
      <c r="D2" s="89" t="s">
        <v>326</v>
      </c>
      <c r="E2" s="82">
        <f>Piano_indicatori!D3</f>
        <v>8.4499999999999993</v>
      </c>
      <c r="F2" s="82">
        <f>Piano_indicatori!E3</f>
        <v>4.71</v>
      </c>
      <c r="G2" s="82">
        <f>Piano_indicatori!F3</f>
        <v>5.1100000000000003</v>
      </c>
      <c r="H2" s="82">
        <f>Piano_indicatori!G3</f>
        <v>4.83</v>
      </c>
      <c r="I2" s="82">
        <f>Piano_indicatori!H3</f>
        <v>7.65</v>
      </c>
    </row>
    <row r="3" spans="1:9" ht="29.25" customHeight="1" x14ac:dyDescent="0.3">
      <c r="A3" s="76" t="s">
        <v>312</v>
      </c>
      <c r="B3" s="76" t="s">
        <v>95</v>
      </c>
      <c r="C3" s="78" t="s">
        <v>96</v>
      </c>
      <c r="D3" s="90" t="s">
        <v>327</v>
      </c>
      <c r="E3" s="83">
        <f>Piano_indicatori!D12</f>
        <v>102.47</v>
      </c>
      <c r="F3" s="83">
        <f>Piano_indicatori!E12</f>
        <v>62.32</v>
      </c>
      <c r="G3" s="83">
        <f>Piano_indicatori!F12</f>
        <v>65.28</v>
      </c>
      <c r="H3" s="83">
        <f>Piano_indicatori!G12</f>
        <v>70.040000000000006</v>
      </c>
      <c r="I3" s="83">
        <f>Piano_indicatori!H12</f>
        <v>69.09</v>
      </c>
    </row>
    <row r="4" spans="1:9" ht="29.25" customHeight="1" x14ac:dyDescent="0.3">
      <c r="A4" s="75" t="s">
        <v>313</v>
      </c>
      <c r="B4" s="75" t="s">
        <v>100</v>
      </c>
      <c r="C4" s="79" t="s">
        <v>322</v>
      </c>
      <c r="D4" s="89" t="s">
        <v>328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314</v>
      </c>
      <c r="B5" s="76" t="s">
        <v>165</v>
      </c>
      <c r="C5" s="80" t="s">
        <v>323</v>
      </c>
      <c r="D5" s="91" t="s">
        <v>329</v>
      </c>
      <c r="E5" s="85">
        <f>Piano_indicatori!D51</f>
        <v>2.21</v>
      </c>
      <c r="F5" s="85">
        <f>Piano_indicatori!E51</f>
        <v>2.13</v>
      </c>
      <c r="G5" s="85">
        <f>Piano_indicatori!F51</f>
        <v>2.77</v>
      </c>
      <c r="H5" s="85">
        <f>Piano_indicatori!G51</f>
        <v>2.72</v>
      </c>
      <c r="I5" s="85">
        <f>Piano_indicatori!H51</f>
        <v>7.73</v>
      </c>
    </row>
    <row r="6" spans="1:9" ht="29.25" customHeight="1" x14ac:dyDescent="0.3">
      <c r="A6" s="75" t="s">
        <v>315</v>
      </c>
      <c r="B6" s="75" t="s">
        <v>185</v>
      </c>
      <c r="C6" s="93" t="s">
        <v>186</v>
      </c>
      <c r="D6" s="92" t="s">
        <v>330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4.1907458462663261</v>
      </c>
      <c r="I6" s="86">
        <f>Piano_indicatori!H62</f>
        <v>3.8428945140189144</v>
      </c>
    </row>
    <row r="7" spans="1:9" ht="29.25" customHeight="1" x14ac:dyDescent="0.3">
      <c r="A7" s="76" t="s">
        <v>316</v>
      </c>
      <c r="B7" s="76" t="s">
        <v>188</v>
      </c>
      <c r="C7" s="80" t="s">
        <v>189</v>
      </c>
      <c r="D7" s="90" t="s">
        <v>331</v>
      </c>
      <c r="E7" s="87">
        <f>Piano_indicatori!D65</f>
        <v>0</v>
      </c>
      <c r="F7" s="87">
        <f>Piano_indicatori!E65</f>
        <v>0</v>
      </c>
      <c r="G7" s="87">
        <f>Piano_indicatori!F65</f>
        <v>0.06</v>
      </c>
      <c r="H7" s="87">
        <f>Piano_indicatori!G65</f>
        <v>7.0000000000000007E-2</v>
      </c>
      <c r="I7" s="87">
        <f>Piano_indicatori!H65</f>
        <v>0.04</v>
      </c>
    </row>
    <row r="8" spans="1:9" ht="29.25" customHeight="1" x14ac:dyDescent="0.3">
      <c r="A8" s="75" t="s">
        <v>317</v>
      </c>
      <c r="B8" s="75" t="s">
        <v>321</v>
      </c>
      <c r="C8" s="79" t="s">
        <v>324</v>
      </c>
      <c r="D8" s="89" t="s">
        <v>332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318</v>
      </c>
      <c r="B9" s="76"/>
      <c r="C9" s="81" t="s">
        <v>325</v>
      </c>
      <c r="D9" s="91" t="s">
        <v>333</v>
      </c>
      <c r="E9" s="88">
        <f>Piano_indicatori!D77</f>
        <v>70.612465854862862</v>
      </c>
      <c r="F9" s="88">
        <f>Piano_indicatori!E77</f>
        <v>67.63870595586414</v>
      </c>
      <c r="G9" s="88">
        <f>Piano_indicatori!F77</f>
        <v>69.733517587299431</v>
      </c>
      <c r="H9" s="88">
        <f>Piano_indicatori!G77</f>
        <v>70.946753235603026</v>
      </c>
      <c r="I9" s="88">
        <f>Piano_indicatori!H77</f>
        <v>75.877778324205906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K14" sqref="K14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0" ht="28.8" x14ac:dyDescent="0.3">
      <c r="A1" s="103" t="s">
        <v>362</v>
      </c>
      <c r="B1" s="103" t="s">
        <v>363</v>
      </c>
      <c r="C1" s="103" t="s">
        <v>233</v>
      </c>
      <c r="D1" s="103" t="s">
        <v>347</v>
      </c>
      <c r="E1" s="108" t="s">
        <v>348</v>
      </c>
      <c r="F1" s="108" t="s">
        <v>349</v>
      </c>
    </row>
    <row r="2" spans="1:20" x14ac:dyDescent="0.3">
      <c r="A2" s="31">
        <v>2021</v>
      </c>
      <c r="B2" s="95">
        <v>1498236</v>
      </c>
      <c r="C2" s="104">
        <f>B2/B3*100-100</f>
        <v>-0.95433775464871928</v>
      </c>
    </row>
    <row r="3" spans="1:20" x14ac:dyDescent="0.3">
      <c r="A3" s="31">
        <v>2020</v>
      </c>
      <c r="B3" s="95">
        <v>1512672</v>
      </c>
      <c r="C3" s="104">
        <f>B3/B4*100-100</f>
        <v>-0.50311743375247886</v>
      </c>
      <c r="D3" s="95">
        <v>-10535</v>
      </c>
      <c r="E3" s="1">
        <v>-3901</v>
      </c>
      <c r="F3" s="1">
        <f t="shared" ref="F3:F8" si="0">B2-B3-D3-E3</f>
        <v>0</v>
      </c>
    </row>
    <row r="4" spans="1:20" x14ac:dyDescent="0.3">
      <c r="A4" s="31">
        <v>2019</v>
      </c>
      <c r="B4" s="95">
        <v>1520321</v>
      </c>
      <c r="C4" s="104">
        <f>B4/B5*100-100</f>
        <v>-0.3937546967204355</v>
      </c>
      <c r="D4" s="95">
        <v>-7775</v>
      </c>
      <c r="E4" s="1">
        <v>126</v>
      </c>
      <c r="F4" s="1">
        <f t="shared" si="0"/>
        <v>0</v>
      </c>
      <c r="K4" s="110"/>
      <c r="L4" s="111"/>
      <c r="M4" s="111"/>
      <c r="N4" s="111"/>
      <c r="O4" s="111"/>
      <c r="P4" s="111"/>
      <c r="Q4" s="111"/>
      <c r="R4" s="111"/>
      <c r="S4" s="111"/>
      <c r="T4" s="111"/>
    </row>
    <row r="5" spans="1:20" x14ac:dyDescent="0.3">
      <c r="A5" s="31">
        <v>2018</v>
      </c>
      <c r="B5" s="95">
        <v>1526331</v>
      </c>
      <c r="C5" s="104">
        <f t="shared" ref="C5:C7" si="1">B5/B6*100-100</f>
        <v>-0.39994518617125152</v>
      </c>
      <c r="D5" s="95">
        <v>-7004</v>
      </c>
      <c r="E5" s="95">
        <v>994</v>
      </c>
      <c r="F5" s="1">
        <f t="shared" si="0"/>
        <v>0</v>
      </c>
      <c r="K5" s="110"/>
      <c r="L5" s="111"/>
      <c r="M5" s="111"/>
      <c r="N5" s="111"/>
      <c r="O5" s="111"/>
      <c r="P5" s="111"/>
      <c r="Q5" s="111"/>
      <c r="R5" s="111"/>
      <c r="S5" s="111"/>
      <c r="T5" s="111"/>
    </row>
    <row r="6" spans="1:20" x14ac:dyDescent="0.3">
      <c r="A6" s="31">
        <v>2017</v>
      </c>
      <c r="B6" s="95">
        <v>1532460</v>
      </c>
      <c r="C6" s="104">
        <f t="shared" si="1"/>
        <v>-0.38883493820371484</v>
      </c>
      <c r="D6" s="95">
        <v>-7780</v>
      </c>
      <c r="E6" s="95">
        <v>1651</v>
      </c>
      <c r="F6" s="1">
        <f t="shared" si="0"/>
        <v>0</v>
      </c>
      <c r="K6" s="110"/>
      <c r="L6" s="111"/>
      <c r="M6" s="111"/>
      <c r="N6" s="111"/>
      <c r="O6" s="111"/>
      <c r="P6" s="111"/>
      <c r="Q6" s="111"/>
      <c r="R6" s="111"/>
      <c r="S6" s="111"/>
      <c r="T6" s="111"/>
    </row>
    <row r="7" spans="1:20" x14ac:dyDescent="0.3">
      <c r="A7" s="31">
        <v>2016</v>
      </c>
      <c r="B7" s="95">
        <v>1538442</v>
      </c>
      <c r="C7" s="104">
        <f t="shared" si="1"/>
        <v>-0.48044174506377146</v>
      </c>
      <c r="D7" s="95">
        <v>-5840</v>
      </c>
      <c r="E7" s="95">
        <v>-142</v>
      </c>
      <c r="F7" s="1">
        <f t="shared" si="0"/>
        <v>0</v>
      </c>
      <c r="K7" s="110"/>
      <c r="L7" s="111"/>
      <c r="M7" s="111"/>
      <c r="N7" s="111"/>
      <c r="O7" s="111"/>
      <c r="P7" s="111"/>
      <c r="Q7" s="111"/>
      <c r="R7" s="111"/>
      <c r="S7" s="111"/>
      <c r="T7" s="111"/>
    </row>
    <row r="8" spans="1:20" x14ac:dyDescent="0.3">
      <c r="A8" s="105">
        <v>2015</v>
      </c>
      <c r="B8" s="106">
        <v>1545869</v>
      </c>
      <c r="C8" s="106"/>
      <c r="D8" s="106">
        <v>-6302</v>
      </c>
      <c r="E8" s="106">
        <v>-1125</v>
      </c>
      <c r="F8" s="1">
        <f t="shared" si="0"/>
        <v>0</v>
      </c>
    </row>
    <row r="9" spans="1:20" x14ac:dyDescent="0.3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2" width="15.33203125" bestFit="1" customWidth="1"/>
    <col min="3" max="6" width="14.33203125" bestFit="1" customWidth="1"/>
    <col min="7" max="7" width="8.44140625" customWidth="1"/>
    <col min="8" max="8" width="6.554687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367</v>
      </c>
      <c r="J1" s="42" t="s">
        <v>268</v>
      </c>
    </row>
    <row r="2" spans="1:10" x14ac:dyDescent="0.3">
      <c r="A2" s="55" t="s">
        <v>19</v>
      </c>
      <c r="B2" s="56">
        <f>Entrate_Uscite!B3</f>
        <v>3256934204.9899998</v>
      </c>
      <c r="C2" s="56">
        <f>Entrate_Uscite!E3</f>
        <v>3164323097.4000001</v>
      </c>
      <c r="D2" s="56">
        <f>Entrate_Uscite!H3</f>
        <v>3185026079.5599999</v>
      </c>
      <c r="E2" s="56">
        <f>Entrate_Uscite!K3</f>
        <v>3193676008.5100002</v>
      </c>
      <c r="F2" s="56">
        <f>Entrate_Uscite!N3</f>
        <v>3264778302.8099999</v>
      </c>
      <c r="G2" s="56">
        <f>F2/F$21*100</f>
        <v>74.76665413342532</v>
      </c>
      <c r="H2" s="57">
        <f t="shared" ref="H2:H21" si="0">IF(E2&gt;0,F2/E2*100-100,"-")</f>
        <v>2.2263465082412068</v>
      </c>
      <c r="I2" s="56">
        <f>Entrate_Uscite!O3</f>
        <v>2885184359.0799999</v>
      </c>
      <c r="J2" s="58">
        <f>IF(F2&gt;0,I2/F2*100,"-")</f>
        <v>88.373056038650986</v>
      </c>
    </row>
    <row r="3" spans="1:10" x14ac:dyDescent="0.3">
      <c r="A3" s="55" t="s">
        <v>20</v>
      </c>
      <c r="B3" s="56">
        <f>Entrate_Uscite!B4</f>
        <v>171238442.31999999</v>
      </c>
      <c r="C3" s="56">
        <f>Entrate_Uscite!E4</f>
        <v>329008195.75</v>
      </c>
      <c r="D3" s="56">
        <f>Entrate_Uscite!H4</f>
        <v>342291095.06</v>
      </c>
      <c r="E3" s="56">
        <f>Entrate_Uscite!K4</f>
        <v>359023290.86000001</v>
      </c>
      <c r="F3" s="56">
        <f>Entrate_Uscite!N4</f>
        <v>494472683.08999997</v>
      </c>
      <c r="G3" s="56">
        <f t="shared" ref="G3:G21" si="1">F3/F$21*100</f>
        <v>11.323913799352521</v>
      </c>
      <c r="H3" s="57">
        <f t="shared" si="0"/>
        <v>37.7271880900947</v>
      </c>
      <c r="I3" s="56">
        <f>Entrate_Uscite!O4</f>
        <v>440577127.75999999</v>
      </c>
      <c r="J3" s="58">
        <f t="shared" ref="J3:J21" si="2">IF(F3&gt;0,I3/F3*100,"-")</f>
        <v>89.100397823151269</v>
      </c>
    </row>
    <row r="4" spans="1:10" x14ac:dyDescent="0.3">
      <c r="A4" s="55" t="s">
        <v>21</v>
      </c>
      <c r="B4" s="56">
        <f>Entrate_Uscite!B5</f>
        <v>146250828.66999999</v>
      </c>
      <c r="C4" s="56">
        <f>Entrate_Uscite!E5</f>
        <v>168310716.22</v>
      </c>
      <c r="D4" s="56">
        <f>Entrate_Uscite!H5</f>
        <v>169635870.25999999</v>
      </c>
      <c r="E4" s="56">
        <f>Entrate_Uscite!K5</f>
        <v>167711509.09999999</v>
      </c>
      <c r="F4" s="56">
        <f>Entrate_Uscite!N5</f>
        <v>184513625.56999999</v>
      </c>
      <c r="G4" s="56">
        <f t="shared" si="1"/>
        <v>4.2255446300971657</v>
      </c>
      <c r="H4" s="57">
        <f t="shared" si="0"/>
        <v>10.018463586766458</v>
      </c>
      <c r="I4" s="56">
        <f>Entrate_Uscite!O5</f>
        <v>176941876.81999999</v>
      </c>
      <c r="J4" s="58">
        <f t="shared" si="2"/>
        <v>95.896374196426237</v>
      </c>
    </row>
    <row r="5" spans="1:10" x14ac:dyDescent="0.3">
      <c r="A5" s="4" t="s">
        <v>30</v>
      </c>
      <c r="B5" s="43">
        <f>SUM(B2:B4)</f>
        <v>3574423475.98</v>
      </c>
      <c r="C5" s="43">
        <f>SUM(C2:C4)</f>
        <v>3661642009.3699999</v>
      </c>
      <c r="D5" s="43">
        <f>SUM(D2:D4)</f>
        <v>3696953044.8800001</v>
      </c>
      <c r="E5" s="43">
        <f>SUM(E2:E4)</f>
        <v>3720410808.4700003</v>
      </c>
      <c r="F5" s="43">
        <f>SUM(F2:F4)</f>
        <v>3943764611.4700003</v>
      </c>
      <c r="G5" s="43">
        <f t="shared" si="1"/>
        <v>90.316112562875034</v>
      </c>
      <c r="H5" s="44">
        <f t="shared" si="0"/>
        <v>6.0034715115735651</v>
      </c>
      <c r="I5" s="43">
        <f>SUM(I2:I4)</f>
        <v>3502703363.6600003</v>
      </c>
      <c r="J5" s="45">
        <f>IF(F5&gt;0,I5/F5*100,"-")</f>
        <v>88.816238004488852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65205967.619999997</v>
      </c>
      <c r="C7" s="56">
        <f>Entrate_Uscite!E7</f>
        <v>89565463.849999994</v>
      </c>
      <c r="D7" s="56">
        <f>Entrate_Uscite!H7</f>
        <v>138529923.81999999</v>
      </c>
      <c r="E7" s="56">
        <f>Entrate_Uscite!K7</f>
        <v>92448417.450000003</v>
      </c>
      <c r="F7" s="56">
        <f>Entrate_Uscite!N7</f>
        <v>103989460.22</v>
      </c>
      <c r="G7" s="56">
        <f t="shared" si="1"/>
        <v>2.3814615525649705</v>
      </c>
      <c r="H7" s="57">
        <f t="shared" si="0"/>
        <v>12.483764555777157</v>
      </c>
      <c r="I7" s="56">
        <f>Entrate_Uscite!O7</f>
        <v>31337846.09</v>
      </c>
      <c r="J7" s="58">
        <f t="shared" si="2"/>
        <v>30.135598380549034</v>
      </c>
    </row>
    <row r="8" spans="1:10" x14ac:dyDescent="0.3">
      <c r="A8" s="55" t="s">
        <v>24</v>
      </c>
      <c r="B8" s="56">
        <f>Entrate_Uscite!B8</f>
        <v>11027756.960000001</v>
      </c>
      <c r="C8" s="56">
        <f>Entrate_Uscite!E8</f>
        <v>20380462.949999999</v>
      </c>
      <c r="D8" s="56">
        <f>Entrate_Uscite!H8</f>
        <v>2387898.64</v>
      </c>
      <c r="E8" s="56">
        <f>Entrate_Uscite!K8</f>
        <v>6898676.5300000003</v>
      </c>
      <c r="F8" s="56">
        <f>Entrate_Uscite!N8</f>
        <v>11708250.25</v>
      </c>
      <c r="G8" s="56">
        <f t="shared" si="1"/>
        <v>0.26813051783512953</v>
      </c>
      <c r="H8" s="57">
        <f t="shared" si="0"/>
        <v>69.717339247387486</v>
      </c>
      <c r="I8" s="56">
        <f>Entrate_Uscite!O8</f>
        <v>10390253.050000001</v>
      </c>
      <c r="J8" s="58">
        <f t="shared" si="2"/>
        <v>88.743004532210108</v>
      </c>
    </row>
    <row r="9" spans="1:10" x14ac:dyDescent="0.3">
      <c r="A9" s="55" t="s">
        <v>25</v>
      </c>
      <c r="B9" s="56">
        <f>Entrate_Uscite!B9</f>
        <v>318012</v>
      </c>
      <c r="C9" s="56">
        <f>Entrate_Uscite!E9</f>
        <v>1562618.2</v>
      </c>
      <c r="D9" s="56">
        <f>Entrate_Uscite!H9</f>
        <v>240247.47</v>
      </c>
      <c r="E9" s="56">
        <f>Entrate_Uscite!K9</f>
        <v>2151.63</v>
      </c>
      <c r="F9" s="56">
        <f>Entrate_Uscite!N9</f>
        <v>749899.7</v>
      </c>
      <c r="G9" s="56">
        <f t="shared" si="1"/>
        <v>1.7173445270817326E-2</v>
      </c>
      <c r="H9" s="57">
        <f t="shared" si="0"/>
        <v>34752.632655242764</v>
      </c>
      <c r="I9" s="56">
        <f>Entrate_Uscite!O9</f>
        <v>613146</v>
      </c>
      <c r="J9" s="58">
        <f t="shared" si="2"/>
        <v>81.763734536765384</v>
      </c>
    </row>
    <row r="10" spans="1:10" x14ac:dyDescent="0.3">
      <c r="A10" s="55" t="s">
        <v>26</v>
      </c>
      <c r="B10" s="56">
        <f>Entrate_Uscite!B10</f>
        <v>6999826.6799999997</v>
      </c>
      <c r="C10" s="56">
        <f>Entrate_Uscite!E10</f>
        <v>179942031.05000001</v>
      </c>
      <c r="D10" s="56">
        <f>Entrate_Uscite!H10</f>
        <v>6252227.6299999999</v>
      </c>
      <c r="E10" s="56">
        <f>Entrate_Uscite!K10</f>
        <v>24787171.5</v>
      </c>
      <c r="F10" s="56">
        <f>Entrate_Uscite!N10</f>
        <v>1812953.19</v>
      </c>
      <c r="G10" s="56">
        <f t="shared" si="1"/>
        <v>4.1518422246360001E-2</v>
      </c>
      <c r="H10" s="57">
        <f t="shared" si="0"/>
        <v>-92.685921465464503</v>
      </c>
      <c r="I10" s="56">
        <f>Entrate_Uscite!O10</f>
        <v>1383872.46</v>
      </c>
      <c r="J10" s="58">
        <f t="shared" si="2"/>
        <v>76.332498138024192</v>
      </c>
    </row>
    <row r="11" spans="1:10" x14ac:dyDescent="0.3">
      <c r="A11" s="4" t="s">
        <v>31</v>
      </c>
      <c r="B11" s="46">
        <f>SUM(B6:B10)</f>
        <v>83551563.25999999</v>
      </c>
      <c r="C11" s="46">
        <f>SUM(C6:C10)</f>
        <v>291450576.05000001</v>
      </c>
      <c r="D11" s="46">
        <f>SUM(D6:D10)</f>
        <v>147410297.55999997</v>
      </c>
      <c r="E11" s="46">
        <f>SUM(E6:E10)</f>
        <v>124136417.11</v>
      </c>
      <c r="F11" s="46">
        <f>SUM(F6:F10)</f>
        <v>118260563.36</v>
      </c>
      <c r="G11" s="46">
        <f t="shared" si="1"/>
        <v>2.7082839379172774</v>
      </c>
      <c r="H11" s="44">
        <f t="shared" si="0"/>
        <v>-4.7333843579465338</v>
      </c>
      <c r="I11" s="46">
        <f>SUM(I6:I10)</f>
        <v>43725117.600000001</v>
      </c>
      <c r="J11" s="45">
        <f>IF(F11&gt;0,I11/F11*100,"-")</f>
        <v>36.973540762608458</v>
      </c>
    </row>
    <row r="12" spans="1:10" x14ac:dyDescent="0.3">
      <c r="A12" s="55" t="s">
        <v>27</v>
      </c>
      <c r="B12" s="56">
        <f>Entrate_Uscite!B11</f>
        <v>28750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 t="shared" si="1"/>
        <v>0</v>
      </c>
      <c r="H12" s="57" t="str">
        <f t="shared" si="0"/>
        <v>-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209201.69</v>
      </c>
      <c r="C13" s="56">
        <f>Entrate_Uscite!E12</f>
        <v>30250000</v>
      </c>
      <c r="D13" s="56">
        <f>Entrate_Uscite!H12</f>
        <v>9015000</v>
      </c>
      <c r="E13" s="56">
        <f>Entrate_Uscite!K12</f>
        <v>7695993.8600000003</v>
      </c>
      <c r="F13" s="56">
        <f>Entrate_Uscite!N12</f>
        <v>333655.07</v>
      </c>
      <c r="G13" s="56">
        <f t="shared" si="1"/>
        <v>7.6410313058876073E-3</v>
      </c>
      <c r="H13" s="57">
        <f t="shared" si="0"/>
        <v>-95.664561639865966</v>
      </c>
      <c r="I13" s="56">
        <f>Entrate_Uscite!O12</f>
        <v>333655.07</v>
      </c>
      <c r="J13" s="58">
        <f t="shared" si="2"/>
        <v>100</v>
      </c>
    </row>
    <row r="14" spans="1:10" x14ac:dyDescent="0.3">
      <c r="A14" s="55" t="s">
        <v>29</v>
      </c>
      <c r="B14" s="56">
        <f>Entrate_Uscite!B13</f>
        <v>3496385.98</v>
      </c>
      <c r="C14" s="56">
        <f>Entrate_Uscite!E13</f>
        <v>41217461.520000003</v>
      </c>
      <c r="D14" s="56">
        <f>Entrate_Uscite!H13</f>
        <v>262471226.50999999</v>
      </c>
      <c r="E14" s="56">
        <f>Entrate_Uscite!K13</f>
        <v>120340991.16</v>
      </c>
      <c r="F14" s="56">
        <f>Entrate_Uscite!N13</f>
        <v>304264687.82999998</v>
      </c>
      <c r="G14" s="56">
        <f t="shared" si="1"/>
        <v>6.9679624679018062</v>
      </c>
      <c r="H14" s="57">
        <f t="shared" si="0"/>
        <v>152.83545107706757</v>
      </c>
      <c r="I14" s="56">
        <f>Entrate_Uscite!O13</f>
        <v>176132694.66999999</v>
      </c>
      <c r="J14" s="58">
        <f t="shared" si="2"/>
        <v>57.887984283082361</v>
      </c>
    </row>
    <row r="15" spans="1:10" x14ac:dyDescent="0.3">
      <c r="A15" s="4" t="s">
        <v>32</v>
      </c>
      <c r="B15" s="43">
        <f>SUM(B12:B14)</f>
        <v>3734337.67</v>
      </c>
      <c r="C15" s="43">
        <f>SUM(C12:C14)</f>
        <v>71467461.520000011</v>
      </c>
      <c r="D15" s="43">
        <f>SUM(D12:D14)</f>
        <v>271486226.50999999</v>
      </c>
      <c r="E15" s="43">
        <f>SUM(E12:E14)</f>
        <v>128036985.02</v>
      </c>
      <c r="F15" s="43">
        <f>SUM(F12:F14)</f>
        <v>304598342.89999998</v>
      </c>
      <c r="G15" s="43">
        <f t="shared" si="1"/>
        <v>6.9756034992076925</v>
      </c>
      <c r="H15" s="44">
        <f t="shared" si="0"/>
        <v>137.8987156347209</v>
      </c>
      <c r="I15" s="43">
        <f>SUM(I12:I14)</f>
        <v>176466349.73999998</v>
      </c>
      <c r="J15" s="45">
        <f t="shared" si="2"/>
        <v>57.934113514837506</v>
      </c>
    </row>
    <row r="16" spans="1:10" x14ac:dyDescent="0.3">
      <c r="A16" s="47" t="s">
        <v>344</v>
      </c>
      <c r="B16" s="48">
        <f>B5+B11+B15</f>
        <v>3661709376.9099998</v>
      </c>
      <c r="C16" s="48">
        <f t="shared" ref="C16:F16" si="3">C5+C11+C15</f>
        <v>4024560046.9400001</v>
      </c>
      <c r="D16" s="48">
        <f t="shared" si="3"/>
        <v>4115849568.9499998</v>
      </c>
      <c r="E16" s="48">
        <f t="shared" ref="E16" si="4">E5+E11+E15</f>
        <v>3972584210.6000004</v>
      </c>
      <c r="F16" s="48">
        <f t="shared" si="3"/>
        <v>4366623517.7300005</v>
      </c>
      <c r="G16" s="48">
        <f t="shared" si="1"/>
        <v>100</v>
      </c>
      <c r="H16" s="49">
        <f t="shared" si="0"/>
        <v>9.9189667541493378</v>
      </c>
      <c r="I16" s="48">
        <f t="shared" ref="I16" si="5">I5+I11+I15</f>
        <v>3722894831</v>
      </c>
      <c r="J16" s="50">
        <f t="shared" si="2"/>
        <v>85.257976005574108</v>
      </c>
    </row>
    <row r="17" spans="1:10" x14ac:dyDescent="0.3">
      <c r="A17" s="4" t="s">
        <v>33</v>
      </c>
      <c r="B17" s="43">
        <f>Entrate_Uscite!B17</f>
        <v>70107014.200000003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0</v>
      </c>
      <c r="G17" s="43">
        <f t="shared" si="1"/>
        <v>0</v>
      </c>
      <c r="H17" s="44" t="str">
        <f t="shared" si="0"/>
        <v>-</v>
      </c>
      <c r="I17" s="43">
        <f>Entrate_Uscite!O17</f>
        <v>0</v>
      </c>
      <c r="J17" s="45" t="str">
        <f t="shared" si="2"/>
        <v>-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1079814448.3</v>
      </c>
      <c r="C19" s="43">
        <f>Entrate_Uscite!E19</f>
        <v>820659903.10000002</v>
      </c>
      <c r="D19" s="43">
        <f>Entrate_Uscite!H19</f>
        <v>624482785.97000003</v>
      </c>
      <c r="E19" s="43">
        <f>Entrate_Uscite!K19</f>
        <v>518365129.60000002</v>
      </c>
      <c r="F19" s="43">
        <f>Entrate_Uscite!N19</f>
        <v>852579155.49000001</v>
      </c>
      <c r="G19" s="43"/>
      <c r="H19" s="44">
        <f t="shared" si="0"/>
        <v>64.474635118280133</v>
      </c>
      <c r="I19" s="43">
        <f>Entrate_Uscite!O19</f>
        <v>848133806.24000001</v>
      </c>
      <c r="J19" s="45">
        <f t="shared" si="2"/>
        <v>99.478599820160369</v>
      </c>
    </row>
    <row r="20" spans="1:10" x14ac:dyDescent="0.3">
      <c r="A20" s="47" t="s">
        <v>36</v>
      </c>
      <c r="B20" s="48">
        <f>B5+B11+B15+B17+B18+B19</f>
        <v>4811630839.4099998</v>
      </c>
      <c r="C20" s="48">
        <f>C5+C11+C15+C17+C18+C19</f>
        <v>4845219950.04</v>
      </c>
      <c r="D20" s="48">
        <f>D5+D11+D15+D17+D18+D19</f>
        <v>4740332354.9200001</v>
      </c>
      <c r="E20" s="48">
        <f>E5+E11+E15+E17+E18+E19</f>
        <v>4490949340.2000008</v>
      </c>
      <c r="F20" s="48">
        <f>F5+F11+F15+F17+F18+F19</f>
        <v>5219202673.2200003</v>
      </c>
      <c r="G20" s="48"/>
      <c r="H20" s="49">
        <f t="shared" si="0"/>
        <v>16.216022000096018</v>
      </c>
      <c r="I20" s="48">
        <f>I5+I11+I15+I17+I18+I19</f>
        <v>4571028637.2399998</v>
      </c>
      <c r="J20" s="50">
        <f t="shared" si="2"/>
        <v>87.580975935159316</v>
      </c>
    </row>
    <row r="21" spans="1:10" x14ac:dyDescent="0.3">
      <c r="A21" s="38" t="s">
        <v>37</v>
      </c>
      <c r="B21" s="51">
        <f>B20-B19</f>
        <v>3731816391.1099997</v>
      </c>
      <c r="C21" s="51">
        <f>C20-C19</f>
        <v>4024560046.9400001</v>
      </c>
      <c r="D21" s="51">
        <f>D20-D19</f>
        <v>4115849568.9499998</v>
      </c>
      <c r="E21" s="51">
        <f>E20-E19</f>
        <v>3972584210.6000009</v>
      </c>
      <c r="F21" s="51">
        <f>F20-F19</f>
        <v>4366623517.7300005</v>
      </c>
      <c r="G21" s="51">
        <f t="shared" si="1"/>
        <v>100</v>
      </c>
      <c r="H21" s="52">
        <f t="shared" si="0"/>
        <v>9.9189667541493378</v>
      </c>
      <c r="I21" s="51">
        <f>I20-I19</f>
        <v>3722894831</v>
      </c>
      <c r="J21" s="53">
        <f t="shared" si="2"/>
        <v>85.257976005574108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368</v>
      </c>
      <c r="J1" s="42" t="s">
        <v>335</v>
      </c>
    </row>
    <row r="2" spans="1:10" x14ac:dyDescent="0.3">
      <c r="A2" s="59" t="s">
        <v>269</v>
      </c>
      <c r="B2" s="56">
        <f>Entrate_Uscite!B23</f>
        <v>71301492.780000001</v>
      </c>
      <c r="C2" s="56">
        <f>Entrate_Uscite!E23</f>
        <v>75992102.030000001</v>
      </c>
      <c r="D2" s="56">
        <f>Entrate_Uscite!H23</f>
        <v>83856429.180000007</v>
      </c>
      <c r="E2" s="56">
        <f>Entrate_Uscite!K23</f>
        <v>86100922.290000007</v>
      </c>
      <c r="F2" s="56">
        <f>Entrate_Uscite!N23</f>
        <v>85993866.849999994</v>
      </c>
      <c r="G2" s="56">
        <f>F2/F$31*100</f>
        <v>1.9070687939757234</v>
      </c>
      <c r="H2" s="57">
        <f>IF(E2&gt;0,F2/E2*100-100,"-")</f>
        <v>-0.12433715824720082</v>
      </c>
      <c r="I2" s="56">
        <f>Entrate_Uscite!O23</f>
        <v>84371185.5</v>
      </c>
      <c r="J2" s="58">
        <f>IF(F2&gt;0,I2/F2*100,"-")</f>
        <v>98.113026650109305</v>
      </c>
    </row>
    <row r="3" spans="1:10" x14ac:dyDescent="0.3">
      <c r="A3" s="59" t="s">
        <v>270</v>
      </c>
      <c r="B3" s="56">
        <f>Entrate_Uscite!B24</f>
        <v>5247325.8</v>
      </c>
      <c r="C3" s="56">
        <f>Entrate_Uscite!E24</f>
        <v>5879221.04</v>
      </c>
      <c r="D3" s="56">
        <f>Entrate_Uscite!H24</f>
        <v>6160083.79</v>
      </c>
      <c r="E3" s="56">
        <f>Entrate_Uscite!K24</f>
        <v>6365165.0199999996</v>
      </c>
      <c r="F3" s="56">
        <f>Entrate_Uscite!N24</f>
        <v>6637406.0099999998</v>
      </c>
      <c r="G3" s="56">
        <f t="shared" ref="G3:G31" si="0">F3/F$31*100</f>
        <v>0.14719642619045592</v>
      </c>
      <c r="H3" s="57">
        <f t="shared" ref="H3:H31" si="1">IF(E3&gt;0,F3/E3*100-100,"-")</f>
        <v>4.2770452791811522</v>
      </c>
      <c r="I3" s="56">
        <f>Entrate_Uscite!O24</f>
        <v>6450910.4299999997</v>
      </c>
      <c r="J3" s="58">
        <f>IF(F3&gt;0,I3/F3*100,"-")</f>
        <v>97.190233960088875</v>
      </c>
    </row>
    <row r="4" spans="1:10" x14ac:dyDescent="0.3">
      <c r="A4" s="59" t="s">
        <v>271</v>
      </c>
      <c r="B4" s="56">
        <f>Entrate_Uscite!B25</f>
        <v>266628751.84</v>
      </c>
      <c r="C4" s="56">
        <f>Entrate_Uscite!E25</f>
        <v>288304552.17000002</v>
      </c>
      <c r="D4" s="56">
        <f>Entrate_Uscite!H25</f>
        <v>329812291.19999999</v>
      </c>
      <c r="E4" s="56">
        <f>Entrate_Uscite!K25</f>
        <v>323171968.83999997</v>
      </c>
      <c r="F4" s="56">
        <f>Entrate_Uscite!N25</f>
        <v>337146136.00999999</v>
      </c>
      <c r="G4" s="56">
        <f t="shared" si="0"/>
        <v>7.4768224589282548</v>
      </c>
      <c r="H4" s="57">
        <f t="shared" si="1"/>
        <v>4.3240653637625712</v>
      </c>
      <c r="I4" s="56">
        <f>Entrate_Uscite!O25</f>
        <v>294871894.72000003</v>
      </c>
      <c r="J4" s="58">
        <f t="shared" ref="J4:J9" si="2">IF(F4&gt;0,I4/F4*100,"-")</f>
        <v>87.46115207182855</v>
      </c>
    </row>
    <row r="5" spans="1:10" x14ac:dyDescent="0.3">
      <c r="A5" s="59" t="s">
        <v>272</v>
      </c>
      <c r="B5" s="56">
        <f>Entrate_Uscite!B26</f>
        <v>3087441329.4299998</v>
      </c>
      <c r="C5" s="56">
        <f>Entrate_Uscite!E26</f>
        <v>3000500857.7199998</v>
      </c>
      <c r="D5" s="56">
        <f>Entrate_Uscite!H26</f>
        <v>3032468983.6700001</v>
      </c>
      <c r="E5" s="56">
        <f>Entrate_Uscite!K26</f>
        <v>3059470800.8699999</v>
      </c>
      <c r="F5" s="56">
        <f>Entrate_Uscite!N26</f>
        <v>3343405924.9200001</v>
      </c>
      <c r="G5" s="56">
        <f t="shared" si="0"/>
        <v>74.146044811897795</v>
      </c>
      <c r="H5" s="57">
        <f t="shared" si="1"/>
        <v>9.2805306057916823</v>
      </c>
      <c r="I5" s="56">
        <f>Entrate_Uscite!O26</f>
        <v>3081094292.8099999</v>
      </c>
      <c r="J5" s="58">
        <f t="shared" si="2"/>
        <v>92.154358818507006</v>
      </c>
    </row>
    <row r="6" spans="1:10" x14ac:dyDescent="0.3">
      <c r="A6" s="59" t="s">
        <v>273</v>
      </c>
      <c r="B6" s="56">
        <f>Entrate_Uscite!B29</f>
        <v>41705071.909999996</v>
      </c>
      <c r="C6" s="56">
        <f>Entrate_Uscite!E29</f>
        <v>38276769.270000003</v>
      </c>
      <c r="D6" s="56">
        <f>Entrate_Uscite!H29</f>
        <v>35172433.490000002</v>
      </c>
      <c r="E6" s="56">
        <f>Entrate_Uscite!K29</f>
        <v>33679515.969999999</v>
      </c>
      <c r="F6" s="56">
        <f>Entrate_Uscite!N29</f>
        <v>27693727.920000002</v>
      </c>
      <c r="G6" s="56">
        <f t="shared" si="0"/>
        <v>0.61415826778914318</v>
      </c>
      <c r="H6" s="57">
        <f t="shared" si="1"/>
        <v>-17.77278526013211</v>
      </c>
      <c r="I6" s="56">
        <f>Entrate_Uscite!O29</f>
        <v>27693727.920000002</v>
      </c>
      <c r="J6" s="58">
        <f t="shared" si="2"/>
        <v>100</v>
      </c>
    </row>
    <row r="7" spans="1:10" x14ac:dyDescent="0.3">
      <c r="A7" s="59" t="s">
        <v>274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275</v>
      </c>
      <c r="B8" s="56">
        <f>Entrate_Uscite!B31</f>
        <v>582703.24</v>
      </c>
      <c r="C8" s="56">
        <f>Entrate_Uscite!E31</f>
        <v>2054635.19</v>
      </c>
      <c r="D8" s="56">
        <f>Entrate_Uscite!H31</f>
        <v>11684273.34</v>
      </c>
      <c r="E8" s="56">
        <f>Entrate_Uscite!K31</f>
        <v>852417.5</v>
      </c>
      <c r="F8" s="56">
        <f>Entrate_Uscite!N31</f>
        <v>40755961.369999997</v>
      </c>
      <c r="G8" s="56">
        <f t="shared" si="0"/>
        <v>0.90383680772005048</v>
      </c>
      <c r="H8" s="57">
        <f t="shared" si="1"/>
        <v>4681.2206307355254</v>
      </c>
      <c r="I8" s="56">
        <f>Entrate_Uscite!O31</f>
        <v>40098191.450000003</v>
      </c>
      <c r="J8" s="58">
        <f t="shared" si="2"/>
        <v>98.386076790022258</v>
      </c>
    </row>
    <row r="9" spans="1:10" x14ac:dyDescent="0.3">
      <c r="A9" s="59" t="s">
        <v>276</v>
      </c>
      <c r="B9" s="56">
        <f>Entrate_Uscite!B32</f>
        <v>21293974.100000001</v>
      </c>
      <c r="C9" s="56">
        <f>Entrate_Uscite!E32</f>
        <v>7633307.2800000003</v>
      </c>
      <c r="D9" s="56">
        <f>Entrate_Uscite!H32</f>
        <v>1841641.41</v>
      </c>
      <c r="E9" s="56">
        <f>Entrate_Uscite!K32</f>
        <v>2974641.32</v>
      </c>
      <c r="F9" s="56">
        <f>Entrate_Uscite!N32</f>
        <v>2821906.54</v>
      </c>
      <c r="G9" s="56">
        <f t="shared" si="0"/>
        <v>6.258085720621373E-2</v>
      </c>
      <c r="H9" s="57">
        <f t="shared" si="1"/>
        <v>-5.1345612317386866</v>
      </c>
      <c r="I9" s="56">
        <f>Entrate_Uscite!O32</f>
        <v>2528554.44</v>
      </c>
      <c r="J9" s="58">
        <f t="shared" si="2"/>
        <v>89.60447145070934</v>
      </c>
    </row>
    <row r="10" spans="1:10" x14ac:dyDescent="0.3">
      <c r="A10" s="4" t="s">
        <v>281</v>
      </c>
      <c r="B10" s="43">
        <f>SUM(B2:B9)</f>
        <v>3494200649.0999994</v>
      </c>
      <c r="C10" s="43">
        <f>SUM(C2:C9)</f>
        <v>3418641444.7000003</v>
      </c>
      <c r="D10" s="43">
        <f>SUM(D2:D9)</f>
        <v>3500996136.0799999</v>
      </c>
      <c r="E10" s="43">
        <f>SUM(E2:E9)</f>
        <v>3512615431.8099999</v>
      </c>
      <c r="F10" s="43">
        <f>SUM(F2:F9)</f>
        <v>3844454929.6199999</v>
      </c>
      <c r="G10" s="43">
        <f t="shared" si="0"/>
        <v>85.257708423707641</v>
      </c>
      <c r="H10" s="44">
        <f t="shared" si="1"/>
        <v>9.4470773772979726</v>
      </c>
      <c r="I10" s="43">
        <f>SUM(I2:I9)</f>
        <v>3537108757.27</v>
      </c>
      <c r="J10" s="45">
        <f t="shared" ref="J10:J17" si="3">IF(F10&gt;0,I10/F10*100,"-")</f>
        <v>92.005468187908264</v>
      </c>
    </row>
    <row r="11" spans="1:10" x14ac:dyDescent="0.3">
      <c r="A11" s="59" t="s">
        <v>277</v>
      </c>
      <c r="B11" s="56">
        <f>Entrate_Uscite!B34</f>
        <v>48672231.920000002</v>
      </c>
      <c r="C11" s="56">
        <f>Entrate_Uscite!E34</f>
        <v>105503418.66</v>
      </c>
      <c r="D11" s="56">
        <f>Entrate_Uscite!H34</f>
        <v>42452849.259999998</v>
      </c>
      <c r="E11" s="56">
        <f>Entrate_Uscite!K34</f>
        <v>12392614.199999999</v>
      </c>
      <c r="F11" s="56">
        <f>Entrate_Uscite!N34</f>
        <v>30577766.739999998</v>
      </c>
      <c r="G11" s="56">
        <f t="shared" si="0"/>
        <v>0.67811702014796393</v>
      </c>
      <c r="H11" s="57">
        <f t="shared" si="1"/>
        <v>146.74185967961466</v>
      </c>
      <c r="I11" s="56">
        <f>Entrate_Uscite!O34</f>
        <v>23295421.09</v>
      </c>
      <c r="J11" s="58">
        <f t="shared" si="3"/>
        <v>76.184180774478634</v>
      </c>
    </row>
    <row r="12" spans="1:10" x14ac:dyDescent="0.3">
      <c r="A12" s="59" t="s">
        <v>278</v>
      </c>
      <c r="B12" s="56">
        <f>Entrate_Uscite!B35</f>
        <v>157861861.38</v>
      </c>
      <c r="C12" s="56">
        <f>Entrate_Uscite!E35</f>
        <v>201972895.41</v>
      </c>
      <c r="D12" s="56">
        <f>Entrate_Uscite!H35</f>
        <v>150979244.91</v>
      </c>
      <c r="E12" s="56">
        <f>Entrate_Uscite!K35</f>
        <v>191350645.91999999</v>
      </c>
      <c r="F12" s="56">
        <f>Entrate_Uscite!N35</f>
        <v>287190675.04000002</v>
      </c>
      <c r="G12" s="56">
        <f t="shared" si="0"/>
        <v>6.3689701876641065</v>
      </c>
      <c r="H12" s="57">
        <f t="shared" si="1"/>
        <v>50.086075570431518</v>
      </c>
      <c r="I12" s="56">
        <f>Entrate_Uscite!O35</f>
        <v>167895898.46000001</v>
      </c>
      <c r="J12" s="58">
        <f t="shared" si="3"/>
        <v>58.461472830416724</v>
      </c>
    </row>
    <row r="13" spans="1:10" x14ac:dyDescent="0.3">
      <c r="A13" s="59" t="s">
        <v>279</v>
      </c>
      <c r="B13" s="56">
        <f>Entrate_Uscite!B36</f>
        <v>6668453</v>
      </c>
      <c r="C13" s="56">
        <f>Entrate_Uscite!E36</f>
        <v>18789516.66</v>
      </c>
      <c r="D13" s="56">
        <f>Entrate_Uscite!H36</f>
        <v>4357602.09</v>
      </c>
      <c r="E13" s="56">
        <f>Entrate_Uscite!K36</f>
        <v>3061165.26</v>
      </c>
      <c r="F13" s="56">
        <f>Entrate_Uscite!N36</f>
        <v>1948434.12</v>
      </c>
      <c r="G13" s="56">
        <f t="shared" si="0"/>
        <v>4.3210033964992588E-2</v>
      </c>
      <c r="H13" s="57">
        <f t="shared" si="1"/>
        <v>-36.349920552802814</v>
      </c>
      <c r="I13" s="56">
        <f>Entrate_Uscite!O36</f>
        <v>1869639.74</v>
      </c>
      <c r="J13" s="58">
        <f t="shared" si="3"/>
        <v>95.956015182078616</v>
      </c>
    </row>
    <row r="14" spans="1:10" x14ac:dyDescent="0.3">
      <c r="A14" s="59" t="s">
        <v>280</v>
      </c>
      <c r="B14" s="56">
        <f>Entrate_Uscite!B37</f>
        <v>20210.64</v>
      </c>
      <c r="C14" s="56">
        <f>Entrate_Uscite!E37</f>
        <v>0</v>
      </c>
      <c r="D14" s="56">
        <f>Entrate_Uscite!H37</f>
        <v>0</v>
      </c>
      <c r="E14" s="56">
        <f>Entrate_Uscite!K37</f>
        <v>0</v>
      </c>
      <c r="F14" s="56">
        <f>Entrate_Uscite!N37</f>
        <v>225712.5</v>
      </c>
      <c r="G14" s="56">
        <f t="shared" si="0"/>
        <v>5.0055809899917942E-3</v>
      </c>
      <c r="H14" s="109" t="str">
        <f t="shared" si="1"/>
        <v>-</v>
      </c>
      <c r="I14" s="56">
        <f>Entrate_Uscite!O37</f>
        <v>225712.5</v>
      </c>
      <c r="J14" s="58">
        <f t="shared" si="3"/>
        <v>100</v>
      </c>
    </row>
    <row r="15" spans="1:10" x14ac:dyDescent="0.3">
      <c r="A15" s="4" t="s">
        <v>282</v>
      </c>
      <c r="B15" s="46">
        <f>SUM(B11:B14)</f>
        <v>213222756.94</v>
      </c>
      <c r="C15" s="46">
        <f>SUM(C11:C14)</f>
        <v>326265830.73000002</v>
      </c>
      <c r="D15" s="46">
        <f>SUM(D11:D14)</f>
        <v>197789696.25999999</v>
      </c>
      <c r="E15" s="46">
        <f>SUM(E11:E14)</f>
        <v>206804425.37999997</v>
      </c>
      <c r="F15" s="46">
        <f>SUM(F11:F14)</f>
        <v>319942588.40000004</v>
      </c>
      <c r="G15" s="46">
        <f t="shared" si="0"/>
        <v>7.0953028227670565</v>
      </c>
      <c r="H15" s="44">
        <f t="shared" si="1"/>
        <v>54.707805605276803</v>
      </c>
      <c r="I15" s="46">
        <f>SUM(I11:I14)</f>
        <v>193286671.79000002</v>
      </c>
      <c r="J15" s="45">
        <f t="shared" si="3"/>
        <v>60.412923692530832</v>
      </c>
    </row>
    <row r="16" spans="1:10" x14ac:dyDescent="0.3">
      <c r="A16" s="59" t="s">
        <v>283</v>
      </c>
      <c r="B16" s="56">
        <f>Entrate_Uscite!B38</f>
        <v>6000000</v>
      </c>
      <c r="C16" s="56">
        <f>Entrate_Uscite!E38</f>
        <v>0</v>
      </c>
      <c r="D16" s="56">
        <f>Entrate_Uscite!H38</f>
        <v>0</v>
      </c>
      <c r="E16" s="56">
        <f>Entrate_Uscite!K38</f>
        <v>25050000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284</v>
      </c>
      <c r="B17" s="56">
        <f>Entrate_Uscite!B39</f>
        <v>1922515.19</v>
      </c>
      <c r="C17" s="56">
        <f>Entrate_Uscite!E39</f>
        <v>39069930.630000003</v>
      </c>
      <c r="D17" s="56">
        <f>Entrate_Uscite!H39</f>
        <v>10820069.369999999</v>
      </c>
      <c r="E17" s="56">
        <f>Entrate_Uscite!K39</f>
        <v>1155366.8500000001</v>
      </c>
      <c r="F17" s="56">
        <f>Entrate_Uscite!N39</f>
        <v>0</v>
      </c>
      <c r="G17" s="56">
        <f t="shared" si="0"/>
        <v>0</v>
      </c>
      <c r="H17" s="57">
        <f t="shared" si="1"/>
        <v>-100</v>
      </c>
      <c r="I17" s="56">
        <f>Entrate_Uscite!O39</f>
        <v>0</v>
      </c>
      <c r="J17" s="58" t="str">
        <f t="shared" si="3"/>
        <v>-</v>
      </c>
    </row>
    <row r="18" spans="1:10" x14ac:dyDescent="0.3">
      <c r="A18" s="59" t="s">
        <v>285</v>
      </c>
      <c r="B18" s="56">
        <f>Entrate_Uscite!B40</f>
        <v>50000</v>
      </c>
      <c r="C18" s="56">
        <f>Entrate_Uscite!E40</f>
        <v>1142303.92</v>
      </c>
      <c r="D18" s="56">
        <f>Entrate_Uscite!H40</f>
        <v>30000</v>
      </c>
      <c r="E18" s="56">
        <f>Entrate_Uscite!K40</f>
        <v>262254.15999999997</v>
      </c>
      <c r="F18" s="56">
        <f>Entrate_Uscite!N40</f>
        <v>236075.96</v>
      </c>
      <c r="G18" s="56">
        <f t="shared" si="0"/>
        <v>5.2354093706377053E-3</v>
      </c>
      <c r="H18" s="57">
        <f t="shared" si="1"/>
        <v>-9.981996091120152</v>
      </c>
      <c r="I18" s="56">
        <f>Entrate_Uscite!O40</f>
        <v>146000</v>
      </c>
      <c r="J18" s="58">
        <f t="shared" ref="J18:J26" si="4">IF(F18&gt;0,I18/F18*100,"-")</f>
        <v>61.844501235958127</v>
      </c>
    </row>
    <row r="19" spans="1:10" x14ac:dyDescent="0.3">
      <c r="A19" s="59" t="s">
        <v>286</v>
      </c>
      <c r="B19" s="56">
        <f>Entrate_Uscite!B41</f>
        <v>9410757.0500000007</v>
      </c>
      <c r="C19" s="56">
        <f>Entrate_Uscite!E41</f>
        <v>46891082.75</v>
      </c>
      <c r="D19" s="56">
        <f>Entrate_Uscite!H41</f>
        <v>268232839.90000001</v>
      </c>
      <c r="E19" s="56">
        <f>Entrate_Uscite!K41</f>
        <v>126813528.72</v>
      </c>
      <c r="F19" s="56">
        <f>Entrate_Uscite!N41</f>
        <v>171191072.55000001</v>
      </c>
      <c r="G19" s="56">
        <f t="shared" si="0"/>
        <v>3.796470192889565</v>
      </c>
      <c r="H19" s="57">
        <f t="shared" si="1"/>
        <v>34.994329294301195</v>
      </c>
      <c r="I19" s="56">
        <f>Entrate_Uscite!O41</f>
        <v>171191072.55000001</v>
      </c>
      <c r="J19" s="58">
        <f t="shared" si="4"/>
        <v>100</v>
      </c>
    </row>
    <row r="20" spans="1:10" x14ac:dyDescent="0.3">
      <c r="A20" s="4" t="s">
        <v>287</v>
      </c>
      <c r="B20" s="43">
        <f>SUM(B16:B19)</f>
        <v>17383272.240000002</v>
      </c>
      <c r="C20" s="43">
        <f>SUM(C16:C19)</f>
        <v>87103317.300000012</v>
      </c>
      <c r="D20" s="43">
        <f>SUM(D16:D19)</f>
        <v>279082909.26999998</v>
      </c>
      <c r="E20" s="43">
        <f>SUM(E16:E19)</f>
        <v>153281149.72999999</v>
      </c>
      <c r="F20" s="43">
        <f>SUM(F16:F19)</f>
        <v>171427148.51000002</v>
      </c>
      <c r="G20" s="43">
        <f t="shared" si="0"/>
        <v>3.8017056022602032</v>
      </c>
      <c r="H20" s="44">
        <f t="shared" si="1"/>
        <v>11.838375959446836</v>
      </c>
      <c r="I20" s="43">
        <f>SUM(I16:I19)</f>
        <v>171337072.55000001</v>
      </c>
      <c r="J20" s="40">
        <f t="shared" si="4"/>
        <v>99.947455253859772</v>
      </c>
    </row>
    <row r="21" spans="1:10" x14ac:dyDescent="0.3">
      <c r="A21" s="47" t="s">
        <v>345</v>
      </c>
      <c r="B21" s="48">
        <f>B10+B15+B20</f>
        <v>3724806678.2799993</v>
      </c>
      <c r="C21" s="48">
        <f>C10+C15+C20</f>
        <v>3832010592.7300005</v>
      </c>
      <c r="D21" s="48">
        <f>D10+D15+D20</f>
        <v>3977868741.6100001</v>
      </c>
      <c r="E21" s="48">
        <f>E10+E15+E20</f>
        <v>3872701006.9200001</v>
      </c>
      <c r="F21" s="48">
        <f>F10+F15+F20</f>
        <v>4335824666.5299997</v>
      </c>
      <c r="G21" s="48">
        <f>F21/F$31*100</f>
        <v>96.154716848734893</v>
      </c>
      <c r="H21" s="49">
        <f t="shared" si="1"/>
        <v>11.958673256274082</v>
      </c>
      <c r="I21" s="48">
        <f>I10+I15+I20</f>
        <v>3901732501.6100001</v>
      </c>
      <c r="J21" s="50">
        <f>IF(F21&gt;0,I21/F21*100,"-")</f>
        <v>89.988244490813145</v>
      </c>
    </row>
    <row r="22" spans="1:10" x14ac:dyDescent="0.3">
      <c r="A22" s="59" t="s">
        <v>288</v>
      </c>
      <c r="B22" s="60">
        <f>Entrate_Uscite!B42</f>
        <v>128025436.66</v>
      </c>
      <c r="C22" s="60">
        <f>Entrate_Uscite!E42</f>
        <v>507314.49</v>
      </c>
      <c r="D22" s="60">
        <f>Entrate_Uscite!H42</f>
        <v>20090374.09</v>
      </c>
      <c r="E22" s="60">
        <f>Entrate_Uscite!K42</f>
        <v>21558596.210000001</v>
      </c>
      <c r="F22" s="60">
        <f>Entrate_Uscite!N42</f>
        <v>157844078.44999999</v>
      </c>
      <c r="G22" s="60">
        <f t="shared" si="0"/>
        <v>3.5004765729505158</v>
      </c>
      <c r="H22" s="61">
        <f t="shared" si="1"/>
        <v>632.16306345950147</v>
      </c>
      <c r="I22" s="60">
        <f>Entrate_Uscite!O42</f>
        <v>0</v>
      </c>
      <c r="J22" s="58">
        <f t="shared" si="4"/>
        <v>0</v>
      </c>
    </row>
    <row r="23" spans="1:10" x14ac:dyDescent="0.3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290</v>
      </c>
      <c r="B24" s="60">
        <f>Entrate_Uscite!B44</f>
        <v>51196536.759999998</v>
      </c>
      <c r="C24" s="60">
        <f>Entrate_Uscite!E44</f>
        <v>47376062.75</v>
      </c>
      <c r="D24" s="60">
        <f>Entrate_Uscite!H44</f>
        <v>35058179.909999996</v>
      </c>
      <c r="E24" s="60">
        <f>Entrate_Uscite!K44</f>
        <v>21926013.329999998</v>
      </c>
      <c r="F24" s="60">
        <f>Entrate_Uscite!N44</f>
        <v>15548076.23</v>
      </c>
      <c r="G24" s="60">
        <f t="shared" si="0"/>
        <v>0.34480657831458728</v>
      </c>
      <c r="H24" s="61">
        <f t="shared" si="1"/>
        <v>-29.088448520066635</v>
      </c>
      <c r="I24" s="60">
        <f>Entrate_Uscite!O44</f>
        <v>0</v>
      </c>
      <c r="J24" s="58">
        <f t="shared" si="4"/>
        <v>0</v>
      </c>
    </row>
    <row r="25" spans="1:10" x14ac:dyDescent="0.3">
      <c r="A25" s="59" t="s">
        <v>291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293</v>
      </c>
      <c r="B27" s="43">
        <f>SUM(B22:B26)</f>
        <v>179221973.41999999</v>
      </c>
      <c r="C27" s="43">
        <f>SUM(C22:C26)</f>
        <v>47883377.240000002</v>
      </c>
      <c r="D27" s="43">
        <f>SUM(D22:D26)</f>
        <v>55148554</v>
      </c>
      <c r="E27" s="43">
        <f>SUM(E22:E26)</f>
        <v>43484609.539999999</v>
      </c>
      <c r="F27" s="43">
        <f>SUM(F22:F26)</f>
        <v>173392154.67999998</v>
      </c>
      <c r="G27" s="43">
        <f t="shared" si="0"/>
        <v>3.8452831512651025</v>
      </c>
      <c r="H27" s="44">
        <f t="shared" si="1"/>
        <v>298.74373143560706</v>
      </c>
      <c r="I27" s="43">
        <f>SUM(I22:I26)</f>
        <v>0</v>
      </c>
      <c r="J27" s="45">
        <f>IF(F27&gt;0,I27/F27*100,"-")</f>
        <v>0</v>
      </c>
    </row>
    <row r="28" spans="1:10" x14ac:dyDescent="0.3">
      <c r="A28" s="4" t="s">
        <v>294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295</v>
      </c>
      <c r="B29" s="43">
        <f>Entrate_Uscite!B55</f>
        <v>1079814448.3</v>
      </c>
      <c r="C29" s="43">
        <f>Entrate_Uscite!E55</f>
        <v>820659903.10000002</v>
      </c>
      <c r="D29" s="43">
        <f>Entrate_Uscite!H55</f>
        <v>624482785.97000003</v>
      </c>
      <c r="E29" s="43">
        <f>Entrate_Uscite!K55</f>
        <v>518365129.60000002</v>
      </c>
      <c r="F29" s="43">
        <f>Entrate_Uscite!N55</f>
        <v>852579155.49000001</v>
      </c>
      <c r="G29" s="43"/>
      <c r="H29" s="44">
        <f t="shared" si="1"/>
        <v>64.474635118280133</v>
      </c>
      <c r="I29" s="43">
        <f>Entrate_Uscite!O55</f>
        <v>559681337.71000004</v>
      </c>
      <c r="J29" s="45">
        <f>IF(F29&gt;0,I29/F29*100,"-")</f>
        <v>65.645674551864488</v>
      </c>
    </row>
    <row r="30" spans="1:10" x14ac:dyDescent="0.3">
      <c r="A30" s="47" t="s">
        <v>68</v>
      </c>
      <c r="B30" s="48">
        <f>B10+B15+B20+B27+B28+B29</f>
        <v>4983843099.999999</v>
      </c>
      <c r="C30" s="48">
        <f>C10+C15+C20+C27+C28+C29</f>
        <v>4700553873.0700006</v>
      </c>
      <c r="D30" s="48">
        <f>D10+D15+D20+D27+D28+D29</f>
        <v>4657500081.5799999</v>
      </c>
      <c r="E30" s="48">
        <f>E10+E15+E20+E27+E28+E29</f>
        <v>4434550746.0600004</v>
      </c>
      <c r="F30" s="48">
        <f>F10+F15+F20+F27+F28+F29</f>
        <v>5361795976.6999998</v>
      </c>
      <c r="G30" s="48"/>
      <c r="H30" s="49">
        <f t="shared" si="1"/>
        <v>20.909564096517258</v>
      </c>
      <c r="I30" s="48">
        <f>I10+I15+I20+I27+I28+I29</f>
        <v>4461413839.3199997</v>
      </c>
      <c r="J30" s="50">
        <f>IF(F30&gt;0,I30/F30*100,"-")</f>
        <v>83.207452478746603</v>
      </c>
    </row>
    <row r="31" spans="1:10" x14ac:dyDescent="0.3">
      <c r="A31" s="38" t="s">
        <v>69</v>
      </c>
      <c r="B31" s="51">
        <f>B30-B29</f>
        <v>3904028651.6999989</v>
      </c>
      <c r="C31" s="51">
        <f>C30-C29</f>
        <v>3879893969.9700007</v>
      </c>
      <c r="D31" s="51">
        <f>D30-D29</f>
        <v>4033017295.6099997</v>
      </c>
      <c r="E31" s="51">
        <f>E30-E29</f>
        <v>3916185616.4600005</v>
      </c>
      <c r="F31" s="51">
        <f>F30-F29</f>
        <v>4509216821.21</v>
      </c>
      <c r="G31" s="51">
        <f t="shared" si="0"/>
        <v>100</v>
      </c>
      <c r="H31" s="52">
        <f t="shared" si="1"/>
        <v>15.143082142415537</v>
      </c>
      <c r="I31" s="51">
        <f>I30-I29</f>
        <v>3901732501.6099997</v>
      </c>
      <c r="J31" s="53">
        <f>IF(F31&gt;0,I31/F31*100,"-")</f>
        <v>86.527941687288646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G16" sqref="G16"/>
    </sheetView>
  </sheetViews>
  <sheetFormatPr defaultRowHeight="14.4" x14ac:dyDescent="0.3"/>
  <cols>
    <col min="1" max="1" width="50.6640625" bestFit="1" customWidth="1"/>
    <col min="2" max="8" width="12.5546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  <c r="H1" s="42" t="s">
        <v>336</v>
      </c>
    </row>
    <row r="2" spans="1:8" x14ac:dyDescent="0.3">
      <c r="A2" s="62" t="s">
        <v>297</v>
      </c>
      <c r="B2" s="64">
        <f>Entrate_Uscite!B59</f>
        <v>80222826.880000591</v>
      </c>
      <c r="C2" s="64">
        <f>Entrate_Uscite!E59</f>
        <v>243000564.6699996</v>
      </c>
      <c r="D2" s="64">
        <f>Entrate_Uscite!H59</f>
        <v>195956908.80000019</v>
      </c>
      <c r="E2" s="64">
        <f>Entrate_Uscite!K59</f>
        <v>207789943.32000017</v>
      </c>
      <c r="F2" s="64">
        <f>Entrate_Uscite!N59</f>
        <v>99309681.850000381</v>
      </c>
      <c r="G2" s="64">
        <f>F2-E2</f>
        <v>-108480261.46999979</v>
      </c>
      <c r="H2" s="64">
        <f>Entrate_Uscite!O59</f>
        <v>-34405393.609999657</v>
      </c>
    </row>
    <row r="3" spans="1:8" x14ac:dyDescent="0.3">
      <c r="A3" s="62" t="s">
        <v>72</v>
      </c>
      <c r="B3" s="65">
        <f>Entrate_Uscite!B60</f>
        <v>-129671193.68000001</v>
      </c>
      <c r="C3" s="65">
        <f>Entrate_Uscite!E60</f>
        <v>-34815254.680000007</v>
      </c>
      <c r="D3" s="65">
        <f>Entrate_Uscite!H60</f>
        <v>-50379398.700000018</v>
      </c>
      <c r="E3" s="65">
        <f>Entrate_Uscite!K60</f>
        <v>-82668008.269999966</v>
      </c>
      <c r="F3" s="65">
        <f>Entrate_Uscite!N60</f>
        <v>-201682025.04000002</v>
      </c>
      <c r="G3" s="64">
        <f t="shared" ref="G3:G6" si="0">F3-E3</f>
        <v>-119014016.77000006</v>
      </c>
      <c r="H3" s="65">
        <f>Entrate_Uscite!O60</f>
        <v>-149561554.19000003</v>
      </c>
    </row>
    <row r="4" spans="1:8" x14ac:dyDescent="0.3">
      <c r="A4" s="62" t="s">
        <v>300</v>
      </c>
      <c r="B4" s="65">
        <f>Entrate_Uscite!B16-Entrate_Uscite!B52</f>
        <v>-13648934.570000002</v>
      </c>
      <c r="C4" s="65">
        <f>Entrate_Uscite!E16-Entrate_Uscite!E52</f>
        <v>-15635855.780000001</v>
      </c>
      <c r="D4" s="65">
        <f>Entrate_Uscite!H16-Entrate_Uscite!H52</f>
        <v>-7596682.7599999905</v>
      </c>
      <c r="E4" s="65">
        <f>Entrate_Uscite!K16-Entrate_Uscite!K52</f>
        <v>-25244164.709999993</v>
      </c>
      <c r="F4" s="65">
        <f>Entrate_Uscite!N16-Entrate_Uscite!N52</f>
        <v>133171194.38999996</v>
      </c>
      <c r="G4" s="64">
        <f t="shared" si="0"/>
        <v>158415359.09999996</v>
      </c>
      <c r="H4" s="65">
        <f>Entrate_Uscite!O16-Entrate_Uscite!O52</f>
        <v>5129277.1899999678</v>
      </c>
    </row>
    <row r="5" spans="1:8" x14ac:dyDescent="0.3">
      <c r="A5" s="47" t="s">
        <v>298</v>
      </c>
      <c r="B5" s="66">
        <f>SUM(Entrate_Uscite!B14:B16)-SUM(Entrate_Uscite!B50:B52)</f>
        <v>-63097301.369999409</v>
      </c>
      <c r="C5" s="66">
        <f>SUM(Entrate_Uscite!E14:E16)-SUM(Entrate_Uscite!E50:E52)</f>
        <v>192549454.20999956</v>
      </c>
      <c r="D5" s="66">
        <f>SUM(Entrate_Uscite!H14:H16)-SUM(Entrate_Uscite!H50:H52)</f>
        <v>137980827.33999968</v>
      </c>
      <c r="E5" s="66">
        <f>SUM(Entrate_Uscite!K14:K16)-SUM(Entrate_Uscite!K50:K52)</f>
        <v>99877770.340000153</v>
      </c>
      <c r="F5" s="66">
        <f>SUM(Entrate_Uscite!N14:N16)-SUM(Entrate_Uscite!N50:N52)</f>
        <v>30798851.200000763</v>
      </c>
      <c r="G5" s="66">
        <f t="shared" si="0"/>
        <v>-69078919.13999939</v>
      </c>
      <c r="H5" s="66">
        <f>SUM(Entrate_Uscite!O14:O16)-SUM(Entrate_Uscite!O50:O52)</f>
        <v>-178837670.61000013</v>
      </c>
    </row>
    <row r="6" spans="1:8" x14ac:dyDescent="0.3">
      <c r="A6" s="38" t="s">
        <v>299</v>
      </c>
      <c r="B6" s="67">
        <f>Entrate_Uscite!B58</f>
        <v>-172212260.5899992</v>
      </c>
      <c r="C6" s="67">
        <f>Entrate_Uscite!E58</f>
        <v>144666076.96999931</v>
      </c>
      <c r="D6" s="67">
        <f>Entrate_Uscite!H58</f>
        <v>82832273.340000153</v>
      </c>
      <c r="E6" s="67">
        <f>Entrate_Uscite!K58</f>
        <v>56393160.800000191</v>
      </c>
      <c r="F6" s="67">
        <f>Entrate_Uscite!N58</f>
        <v>-142593303.47999954</v>
      </c>
      <c r="G6" s="67">
        <f t="shared" si="0"/>
        <v>-198986464.27999973</v>
      </c>
      <c r="H6" s="67">
        <f>Entrate_Uscite!O58</f>
        <v>-331209608.92000008</v>
      </c>
    </row>
    <row r="7" spans="1:8" x14ac:dyDescent="0.3">
      <c r="G7" s="6"/>
      <c r="H7" s="6"/>
    </row>
    <row r="8" spans="1:8" x14ac:dyDescent="0.3">
      <c r="G8" s="6"/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G20" sqref="G20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7" width="12.6640625" bestFit="1" customWidth="1"/>
    <col min="8" max="8" width="15.21875" bestFit="1" customWidth="1"/>
    <col min="9" max="9" width="13.5546875" bestFit="1" customWidth="1"/>
    <col min="10" max="10" width="10" bestFit="1" customWidth="1"/>
  </cols>
  <sheetData>
    <row r="1" spans="1:9" x14ac:dyDescent="0.3">
      <c r="A1" s="41"/>
      <c r="B1" s="100">
        <v>2015</v>
      </c>
      <c r="C1" s="100">
        <v>2016</v>
      </c>
      <c r="D1" s="100">
        <v>2017</v>
      </c>
      <c r="E1" s="69">
        <v>2018</v>
      </c>
      <c r="F1" s="100">
        <v>2019</v>
      </c>
      <c r="G1" s="100">
        <v>2020</v>
      </c>
    </row>
    <row r="2" spans="1:9" x14ac:dyDescent="0.3">
      <c r="A2" t="s">
        <v>5</v>
      </c>
      <c r="B2" s="1">
        <v>345964091.72000003</v>
      </c>
      <c r="C2" s="1">
        <v>395570512.17000002</v>
      </c>
      <c r="D2" s="1">
        <v>334514535.83999997</v>
      </c>
      <c r="E2" s="1">
        <v>373397552.13</v>
      </c>
      <c r="F2" s="1">
        <v>422620802.49000001</v>
      </c>
      <c r="G2" s="1">
        <v>448042333.47000003</v>
      </c>
    </row>
    <row r="3" spans="1:9" x14ac:dyDescent="0.3">
      <c r="A3" t="s">
        <v>6</v>
      </c>
      <c r="B3" s="1">
        <v>2494982201.3299999</v>
      </c>
      <c r="C3" s="1">
        <v>2136780492.9100001</v>
      </c>
      <c r="D3" s="1">
        <v>2251462601.9899998</v>
      </c>
      <c r="E3" s="1">
        <v>2096288932.3</v>
      </c>
      <c r="F3" s="1">
        <v>1910915173.3199999</v>
      </c>
      <c r="G3" s="1">
        <v>1717047353.45</v>
      </c>
    </row>
    <row r="4" spans="1:9" x14ac:dyDescent="0.3">
      <c r="A4" t="s">
        <v>7</v>
      </c>
      <c r="B4" s="1">
        <v>2086849805.1199999</v>
      </c>
      <c r="C4" s="1">
        <v>1974832681.3800001</v>
      </c>
      <c r="D4" s="1">
        <v>1886814238.1400001</v>
      </c>
      <c r="E4" s="1">
        <v>1749592483.49</v>
      </c>
      <c r="F4" s="1">
        <v>1558603324.99</v>
      </c>
      <c r="G4" s="1">
        <v>1523259803.6500001</v>
      </c>
    </row>
    <row r="5" spans="1:9" x14ac:dyDescent="0.3">
      <c r="A5" t="s">
        <v>8</v>
      </c>
      <c r="B5" s="1">
        <v>19710633.82</v>
      </c>
      <c r="C5" s="1">
        <v>28530814.920000002</v>
      </c>
      <c r="D5" s="1">
        <v>31575563.140000001</v>
      </c>
      <c r="E5" s="1">
        <v>37032098.950000003</v>
      </c>
      <c r="F5" s="1">
        <v>34836007.549999997</v>
      </c>
      <c r="G5" s="1">
        <v>46144235.689999998</v>
      </c>
    </row>
    <row r="6" spans="1:9" x14ac:dyDescent="0.3">
      <c r="A6" t="s">
        <v>356</v>
      </c>
      <c r="B6" s="1">
        <v>59254762.460000001</v>
      </c>
      <c r="C6" s="1">
        <v>50976823.18</v>
      </c>
      <c r="D6" s="1">
        <f>82578788.9+15069.37</f>
        <v>82593858.270000011</v>
      </c>
      <c r="E6" s="1">
        <f>86339931.32+99254.16</f>
        <v>86439185.479999989</v>
      </c>
      <c r="F6" s="1">
        <f>84989439.66+236075.96</f>
        <v>85225515.61999999</v>
      </c>
      <c r="G6" s="1">
        <f>123828515.74+169075.85</f>
        <v>123997591.58999999</v>
      </c>
    </row>
    <row r="7" spans="1:9" x14ac:dyDescent="0.3">
      <c r="A7" s="4" t="s">
        <v>0</v>
      </c>
      <c r="B7" s="3">
        <f t="shared" ref="B7:D7" si="0">B2+B3-B4-B5-B6</f>
        <v>675131091.65000021</v>
      </c>
      <c r="C7" s="3">
        <f t="shared" si="0"/>
        <v>478010685.59999979</v>
      </c>
      <c r="D7" s="3">
        <f t="shared" si="0"/>
        <v>584993478.27999985</v>
      </c>
      <c r="E7" s="3">
        <f>E2+E3-E4-E5-E6</f>
        <v>596622716.50999975</v>
      </c>
      <c r="F7" s="3">
        <f>F2+F3-F4-F5-F6</f>
        <v>654871127.64999998</v>
      </c>
      <c r="G7" s="3">
        <f>G2+G3-G4-G5-G6</f>
        <v>471688055.98999995</v>
      </c>
    </row>
    <row r="8" spans="1:9" x14ac:dyDescent="0.3">
      <c r="A8" t="s">
        <v>9</v>
      </c>
      <c r="B8" s="1">
        <v>15845387.42</v>
      </c>
      <c r="C8" s="1">
        <v>29848570.77</v>
      </c>
      <c r="D8" s="1">
        <v>76466950.569999993</v>
      </c>
      <c r="E8" s="1">
        <v>72316647.489999995</v>
      </c>
      <c r="F8" s="1">
        <v>81073751.560000002</v>
      </c>
      <c r="G8" s="1">
        <v>85368530.980000004</v>
      </c>
    </row>
    <row r="9" spans="1:9" x14ac:dyDescent="0.3">
      <c r="A9" t="s">
        <v>350</v>
      </c>
      <c r="B9" s="1">
        <v>218675872.96000001</v>
      </c>
      <c r="C9" s="1">
        <v>163753577.94999999</v>
      </c>
      <c r="D9" s="1">
        <v>106722821.04000001</v>
      </c>
      <c r="E9" s="1">
        <v>95270087.269999996</v>
      </c>
      <c r="F9" s="1">
        <v>127234148.05</v>
      </c>
      <c r="G9" s="1">
        <v>100295784.5</v>
      </c>
    </row>
    <row r="10" spans="1:9" x14ac:dyDescent="0.3">
      <c r="A10" t="s">
        <v>10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9" x14ac:dyDescent="0.3">
      <c r="A11" t="s">
        <v>11</v>
      </c>
      <c r="B11" s="1">
        <v>4435304.46</v>
      </c>
      <c r="C11" s="1">
        <v>10596355.060000001</v>
      </c>
      <c r="D11" s="1">
        <v>23459033.559999999</v>
      </c>
      <c r="E11" s="1">
        <v>25893841.75</v>
      </c>
      <c r="F11" s="1">
        <v>12343084.73</v>
      </c>
      <c r="G11" s="1">
        <v>13136813.15</v>
      </c>
    </row>
    <row r="12" spans="1:9" x14ac:dyDescent="0.3">
      <c r="A12" t="s">
        <v>12</v>
      </c>
      <c r="B12" s="1">
        <v>10000000</v>
      </c>
      <c r="C12" s="1">
        <v>10000000</v>
      </c>
      <c r="D12" s="1">
        <v>32145417.32</v>
      </c>
      <c r="E12" s="1">
        <v>27312665.719999999</v>
      </c>
      <c r="F12" s="1">
        <v>42359069.850000001</v>
      </c>
      <c r="G12" s="1">
        <v>52823966.740000002</v>
      </c>
    </row>
    <row r="13" spans="1:9" x14ac:dyDescent="0.3">
      <c r="A13" t="s">
        <v>13</v>
      </c>
      <c r="B13" s="1">
        <v>1115136.2100000083</v>
      </c>
      <c r="C13" s="1">
        <v>67407720.640000015</v>
      </c>
      <c r="D13" s="1">
        <v>68144016.199999988</v>
      </c>
      <c r="E13" s="1">
        <v>46750558.980000019</v>
      </c>
      <c r="F13" s="1">
        <v>68382639.660000026</v>
      </c>
      <c r="G13" s="1">
        <v>71260832.639999956</v>
      </c>
      <c r="I13" s="1"/>
    </row>
    <row r="14" spans="1:9" x14ac:dyDescent="0.3">
      <c r="A14" s="4" t="s">
        <v>1</v>
      </c>
      <c r="B14" s="3">
        <f t="shared" ref="B14:D14" si="1">SUM(B8:B13)</f>
        <v>250071701.05000001</v>
      </c>
      <c r="C14" s="3">
        <f t="shared" si="1"/>
        <v>281606224.42000002</v>
      </c>
      <c r="D14" s="3">
        <f t="shared" si="1"/>
        <v>306938238.69</v>
      </c>
      <c r="E14" s="3">
        <f>SUM(E8:E13)</f>
        <v>267543801.21000001</v>
      </c>
      <c r="F14" s="3">
        <f>SUM(F8:F13)</f>
        <v>331392693.85000002</v>
      </c>
      <c r="G14" s="3">
        <f>SUM(G8:G13)</f>
        <v>322885928.00999999</v>
      </c>
      <c r="H14" s="97"/>
      <c r="I14" s="97"/>
    </row>
    <row r="15" spans="1:9" x14ac:dyDescent="0.3">
      <c r="A15" t="s">
        <v>15</v>
      </c>
      <c r="B15" s="1">
        <v>258431262.88999999</v>
      </c>
      <c r="C15" s="1">
        <v>142185199.13999999</v>
      </c>
      <c r="D15" s="1">
        <v>154706419.18000001</v>
      </c>
      <c r="E15" s="1">
        <v>121568220.7</v>
      </c>
      <c r="F15" s="1">
        <v>142909836.19999999</v>
      </c>
      <c r="G15" s="1">
        <v>53689615.590000004</v>
      </c>
    </row>
    <row r="16" spans="1:9" x14ac:dyDescent="0.3">
      <c r="A16" t="s">
        <v>14</v>
      </c>
      <c r="B16" s="1">
        <v>550460310.52999997</v>
      </c>
      <c r="C16" s="1">
        <v>429229489.19</v>
      </c>
      <c r="D16" s="1">
        <v>412436178.32999998</v>
      </c>
      <c r="E16" s="1">
        <v>363178606.24000001</v>
      </c>
      <c r="F16" s="1">
        <v>331919506.77999997</v>
      </c>
      <c r="G16" s="1">
        <v>199345889.25999999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3">
      <c r="A18" t="s">
        <v>17</v>
      </c>
      <c r="B18" s="1">
        <v>0</v>
      </c>
      <c r="C18" s="1">
        <v>361169.83</v>
      </c>
      <c r="D18" s="1">
        <v>5188707.74</v>
      </c>
      <c r="E18" s="1">
        <v>245049.78</v>
      </c>
      <c r="F18" s="1">
        <v>203804.72</v>
      </c>
      <c r="G18" s="1">
        <v>47578.69</v>
      </c>
    </row>
    <row r="19" spans="1:7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4" t="s">
        <v>2</v>
      </c>
      <c r="B20" s="3">
        <f t="shared" ref="B20:D20" si="2">SUM(B15:B19)</f>
        <v>808891573.41999996</v>
      </c>
      <c r="C20" s="3">
        <f t="shared" si="2"/>
        <v>571775858.15999997</v>
      </c>
      <c r="D20" s="3">
        <f t="shared" si="2"/>
        <v>572331305.25</v>
      </c>
      <c r="E20" s="3">
        <f>SUM(E15:E19)</f>
        <v>484991876.71999997</v>
      </c>
      <c r="F20" s="3">
        <f>SUM(F15:F19)</f>
        <v>475033147.69999999</v>
      </c>
      <c r="G20" s="3">
        <f>SUM(G15:G19)</f>
        <v>253083083.53999999</v>
      </c>
    </row>
    <row r="21" spans="1:7" x14ac:dyDescent="0.3">
      <c r="A21" s="4" t="s">
        <v>3</v>
      </c>
      <c r="B21" s="3">
        <v>0</v>
      </c>
      <c r="C21" s="3">
        <v>0</v>
      </c>
      <c r="D21" s="3">
        <v>206048.55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:C22" si="3">B7-B14-B20-B21</f>
        <v>-383832182.81999975</v>
      </c>
      <c r="C22" s="37">
        <f t="shared" si="3"/>
        <v>-375371396.9800002</v>
      </c>
      <c r="D22" s="37">
        <f>D7-D14-D20-D21</f>
        <v>-294482114.21000016</v>
      </c>
      <c r="E22" s="37">
        <f>E7-E14-E20-E21</f>
        <v>-155912961.42000026</v>
      </c>
      <c r="F22" s="37">
        <f>F7-F14-F20-F21</f>
        <v>-151554713.90000004</v>
      </c>
      <c r="G22" s="37">
        <f>G7-G14-G20-G21</f>
        <v>-104280955.56000003</v>
      </c>
    </row>
    <row r="23" spans="1:7" x14ac:dyDescent="0.3">
      <c r="B23" s="1"/>
      <c r="C23" s="1">
        <v>-35569194.880000003</v>
      </c>
      <c r="D23" s="1">
        <v>-21640335.23</v>
      </c>
      <c r="E23" s="1">
        <v>-65688038.649999999</v>
      </c>
      <c r="F23" s="1">
        <v>-65688038.649999999</v>
      </c>
      <c r="G23" s="1">
        <v>-12003368.83</v>
      </c>
    </row>
    <row r="24" spans="1:7" x14ac:dyDescent="0.3">
      <c r="A24" t="s">
        <v>366</v>
      </c>
      <c r="B24" s="6">
        <f t="shared" ref="B24:E24" si="4">B8/B3*100</f>
        <v>0.63509019870175032</v>
      </c>
      <c r="C24" s="6">
        <f t="shared" si="4"/>
        <v>1.3968945742924848</v>
      </c>
      <c r="D24" s="6">
        <f t="shared" si="4"/>
        <v>3.3963233723008841</v>
      </c>
      <c r="E24" s="6">
        <f t="shared" si="4"/>
        <v>3.4497461860210197</v>
      </c>
      <c r="F24" s="6">
        <f t="shared" ref="F24:G24" si="5">F8/F3*100</f>
        <v>4.2426661681242237</v>
      </c>
      <c r="G24" s="6">
        <f t="shared" si="5"/>
        <v>4.9718215871258389</v>
      </c>
    </row>
    <row r="25" spans="1:7" x14ac:dyDescent="0.3">
      <c r="A25" t="s">
        <v>357</v>
      </c>
    </row>
    <row r="52" spans="1:7" x14ac:dyDescent="0.3">
      <c r="A52" t="s">
        <v>13</v>
      </c>
      <c r="B52" s="1">
        <f t="shared" ref="B52:E52" si="6">SUM(B11:B13)</f>
        <v>15550440.670000009</v>
      </c>
      <c r="C52" s="1">
        <f t="shared" si="6"/>
        <v>88004075.700000018</v>
      </c>
      <c r="D52" s="1">
        <f t="shared" si="6"/>
        <v>123748467.07999998</v>
      </c>
      <c r="E52" s="1">
        <f t="shared" si="6"/>
        <v>99957066.450000018</v>
      </c>
      <c r="F52" s="1">
        <f t="shared" ref="F52:G52" si="7">SUM(F11:F13)</f>
        <v>123084794.24000002</v>
      </c>
      <c r="G52" s="1">
        <f t="shared" si="7"/>
        <v>137221612.52999997</v>
      </c>
    </row>
  </sheetData>
  <conditionalFormatting sqref="C22:E22 G22">
    <cfRule type="cellIs" dxfId="64" priority="18" operator="greaterThan">
      <formula>0</formula>
    </cfRule>
  </conditionalFormatting>
  <conditionalFormatting sqref="C22:E22 G22">
    <cfRule type="cellIs" dxfId="63" priority="15" operator="greaterThan">
      <formula>0</formula>
    </cfRule>
    <cfRule type="cellIs" dxfId="62" priority="16" operator="lessThan">
      <formula>0</formula>
    </cfRule>
  </conditionalFormatting>
  <conditionalFormatting sqref="B22">
    <cfRule type="cellIs" dxfId="61" priority="9" operator="greaterThan">
      <formula>0</formula>
    </cfRule>
  </conditionalFormatting>
  <conditionalFormatting sqref="B22">
    <cfRule type="cellIs" dxfId="60" priority="7" operator="greaterThan">
      <formula>0</formula>
    </cfRule>
    <cfRule type="cellIs" dxfId="59" priority="8" operator="lessThan">
      <formula>0</formula>
    </cfRule>
  </conditionalFormatting>
  <conditionalFormatting sqref="F22">
    <cfRule type="cellIs" dxfId="58" priority="3" operator="greaterThan">
      <formula>0</formula>
    </cfRule>
  </conditionalFormatting>
  <conditionalFormatting sqref="F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99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265</v>
      </c>
    </row>
    <row r="2" spans="1:8" x14ac:dyDescent="0.3">
      <c r="A2" t="s">
        <v>235</v>
      </c>
      <c r="B2" s="26" t="s">
        <v>259</v>
      </c>
      <c r="C2" s="1">
        <v>3256934204.9899998</v>
      </c>
      <c r="D2" s="1">
        <v>3167508325.4000001</v>
      </c>
      <c r="E2" s="1">
        <v>3190667834.5599999</v>
      </c>
      <c r="F2" s="1">
        <v>3198621871.1100001</v>
      </c>
      <c r="G2" s="1">
        <v>3255614707.1799998</v>
      </c>
      <c r="H2" s="1">
        <f>G2-F2</f>
        <v>56992836.069999695</v>
      </c>
    </row>
    <row r="3" spans="1:8" x14ac:dyDescent="0.3">
      <c r="A3" t="s">
        <v>236</v>
      </c>
      <c r="B3" s="26" t="s">
        <v>259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ref="H3:H28" si="0">G3-F3</f>
        <v>0</v>
      </c>
    </row>
    <row r="4" spans="1:8" x14ac:dyDescent="0.3">
      <c r="A4" t="s">
        <v>237</v>
      </c>
      <c r="B4" s="26" t="s">
        <v>259</v>
      </c>
      <c r="C4" s="1">
        <v>236444409.94</v>
      </c>
      <c r="D4" s="1">
        <v>404112867.56</v>
      </c>
      <c r="E4" s="1">
        <v>468008578.05000001</v>
      </c>
      <c r="F4" s="1">
        <v>451471708.56</v>
      </c>
      <c r="G4" s="1">
        <v>586158873.99000001</v>
      </c>
      <c r="H4" s="1">
        <f t="shared" si="0"/>
        <v>134687165.43000001</v>
      </c>
    </row>
    <row r="5" spans="1:8" x14ac:dyDescent="0.3">
      <c r="A5" t="s">
        <v>238</v>
      </c>
      <c r="B5" s="26" t="s">
        <v>259</v>
      </c>
      <c r="C5" s="1">
        <v>116787494.89</v>
      </c>
      <c r="D5" s="1">
        <v>108480767.5</v>
      </c>
      <c r="E5" s="1">
        <v>127448060.47</v>
      </c>
      <c r="F5" s="1">
        <v>145977579</v>
      </c>
      <c r="G5" s="1">
        <v>146797588.47</v>
      </c>
      <c r="H5" s="1">
        <f t="shared" si="0"/>
        <v>820009.46999999881</v>
      </c>
    </row>
    <row r="6" spans="1:8" x14ac:dyDescent="0.3">
      <c r="A6" t="s">
        <v>239</v>
      </c>
      <c r="B6" s="26" t="s">
        <v>259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240</v>
      </c>
      <c r="B7" s="26" t="s">
        <v>259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241</v>
      </c>
      <c r="B8" s="26" t="s">
        <v>259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242</v>
      </c>
      <c r="B9" s="33" t="s">
        <v>259</v>
      </c>
      <c r="C9" s="34">
        <v>26191509.219999999</v>
      </c>
      <c r="D9" s="34">
        <v>198698107.31999999</v>
      </c>
      <c r="E9" s="34">
        <v>36190938.07</v>
      </c>
      <c r="F9" s="34">
        <v>38154681.229999997</v>
      </c>
      <c r="G9" s="34">
        <v>11692475.73</v>
      </c>
      <c r="H9" s="1">
        <f t="shared" si="0"/>
        <v>-26462205.499999996</v>
      </c>
    </row>
    <row r="10" spans="1:8" x14ac:dyDescent="0.3">
      <c r="A10" s="35" t="s">
        <v>263</v>
      </c>
      <c r="B10" s="36" t="s">
        <v>259</v>
      </c>
      <c r="C10" s="94">
        <f t="shared" ref="C10" si="1">SUM(C2:C9)</f>
        <v>3636357619.0399995</v>
      </c>
      <c r="D10" s="94">
        <f t="shared" ref="D10:E10" si="2">SUM(D2:D9)</f>
        <v>3878800067.7800002</v>
      </c>
      <c r="E10" s="94">
        <f t="shared" si="2"/>
        <v>3822315411.1500001</v>
      </c>
      <c r="F10" s="94">
        <f t="shared" ref="F10:G10" si="3">SUM(F2:F9)</f>
        <v>3834225839.9000001</v>
      </c>
      <c r="G10" s="94">
        <f t="shared" si="3"/>
        <v>4000263645.3699999</v>
      </c>
      <c r="H10" s="11">
        <f t="shared" si="0"/>
        <v>166037805.46999979</v>
      </c>
    </row>
    <row r="11" spans="1:8" x14ac:dyDescent="0.3">
      <c r="A11" t="s">
        <v>243</v>
      </c>
      <c r="B11" s="26" t="s">
        <v>260</v>
      </c>
      <c r="C11" s="1">
        <v>824343.15</v>
      </c>
      <c r="D11" s="1">
        <v>678138.9</v>
      </c>
      <c r="E11" s="1">
        <v>1119543.21</v>
      </c>
      <c r="F11" s="1">
        <v>944578.54</v>
      </c>
      <c r="G11" s="1">
        <v>11511327</v>
      </c>
      <c r="H11" s="1">
        <f t="shared" si="0"/>
        <v>10566748.460000001</v>
      </c>
    </row>
    <row r="12" spans="1:8" x14ac:dyDescent="0.3">
      <c r="A12" t="s">
        <v>244</v>
      </c>
      <c r="B12" s="26" t="s">
        <v>260</v>
      </c>
      <c r="C12" s="1">
        <v>257494850.09999999</v>
      </c>
      <c r="D12" s="1">
        <v>284738952.31</v>
      </c>
      <c r="E12" s="1">
        <v>324277629.11000001</v>
      </c>
      <c r="F12" s="1">
        <v>325748212.27999997</v>
      </c>
      <c r="G12" s="1">
        <v>326279596.75999999</v>
      </c>
      <c r="H12" s="1">
        <f t="shared" si="0"/>
        <v>531384.48000001907</v>
      </c>
    </row>
    <row r="13" spans="1:8" x14ac:dyDescent="0.3">
      <c r="A13" t="s">
        <v>245</v>
      </c>
      <c r="B13" s="26" t="s">
        <v>260</v>
      </c>
      <c r="C13" s="1">
        <v>2621499.98</v>
      </c>
      <c r="D13" s="1">
        <v>2539450.0299999998</v>
      </c>
      <c r="E13" s="1">
        <v>4484264.05</v>
      </c>
      <c r="F13" s="1">
        <v>2622180.7999999998</v>
      </c>
      <c r="G13" s="1">
        <v>3775770.6</v>
      </c>
      <c r="H13" s="1">
        <f t="shared" si="0"/>
        <v>1153589.8000000003</v>
      </c>
    </row>
    <row r="14" spans="1:8" x14ac:dyDescent="0.3">
      <c r="A14" t="s">
        <v>246</v>
      </c>
      <c r="B14" s="26" t="s">
        <v>260</v>
      </c>
      <c r="C14" s="1">
        <v>3292709213.8400002</v>
      </c>
      <c r="D14" s="1">
        <v>3194207028.3899999</v>
      </c>
      <c r="E14" s="1">
        <v>3167131633.75</v>
      </c>
      <c r="F14" s="1">
        <v>3250771172.0599999</v>
      </c>
      <c r="G14" s="1">
        <v>3621799310.2800002</v>
      </c>
      <c r="H14" s="1">
        <f t="shared" si="0"/>
        <v>371028138.22000027</v>
      </c>
    </row>
    <row r="15" spans="1:8" x14ac:dyDescent="0.3">
      <c r="A15" t="s">
        <v>247</v>
      </c>
      <c r="B15" s="26" t="s">
        <v>260</v>
      </c>
      <c r="C15" s="1">
        <v>74851541.540000007</v>
      </c>
      <c r="D15" s="1">
        <v>75245716.099999994</v>
      </c>
      <c r="E15" s="1">
        <v>87098741.280000001</v>
      </c>
      <c r="F15" s="1">
        <v>88020417.909999996</v>
      </c>
      <c r="G15" s="1">
        <v>84482753.790000007</v>
      </c>
      <c r="H15" s="1">
        <f t="shared" si="0"/>
        <v>-3537664.1199999899</v>
      </c>
    </row>
    <row r="16" spans="1:8" x14ac:dyDescent="0.3">
      <c r="A16" t="s">
        <v>248</v>
      </c>
      <c r="B16" s="26" t="s">
        <v>260</v>
      </c>
      <c r="C16" s="1">
        <v>5667914.8200000003</v>
      </c>
      <c r="D16" s="1">
        <v>11035519.73</v>
      </c>
      <c r="E16" s="1">
        <v>82635071.060000002</v>
      </c>
      <c r="F16" s="1">
        <v>33981260.049999997</v>
      </c>
      <c r="G16" s="1">
        <v>40884294.509999998</v>
      </c>
      <c r="H16" s="1">
        <f t="shared" si="0"/>
        <v>6903034.4600000009</v>
      </c>
    </row>
    <row r="17" spans="1:8" x14ac:dyDescent="0.3">
      <c r="A17" t="s">
        <v>249</v>
      </c>
      <c r="B17" s="26" t="s">
        <v>260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 t="shared" si="0"/>
        <v>0</v>
      </c>
    </row>
    <row r="18" spans="1:8" x14ac:dyDescent="0.3">
      <c r="A18" t="s">
        <v>250</v>
      </c>
      <c r="B18" s="26" t="s">
        <v>260</v>
      </c>
      <c r="C18" s="1">
        <v>0</v>
      </c>
      <c r="D18" s="1">
        <v>35008095.82</v>
      </c>
      <c r="E18" s="1">
        <v>11994592.48</v>
      </c>
      <c r="F18" s="1">
        <v>41144212.799999997</v>
      </c>
      <c r="G18" s="1">
        <v>22471307.82</v>
      </c>
      <c r="H18" s="1">
        <f t="shared" si="0"/>
        <v>-18672904.979999997</v>
      </c>
    </row>
    <row r="19" spans="1:8" x14ac:dyDescent="0.3">
      <c r="A19" t="s">
        <v>13</v>
      </c>
      <c r="B19" s="26" t="s">
        <v>260</v>
      </c>
      <c r="C19" s="1">
        <v>125921714.84999999</v>
      </c>
      <c r="D19" s="1">
        <v>100980474.63</v>
      </c>
      <c r="E19" s="1">
        <v>8151187.1399999997</v>
      </c>
      <c r="F19" s="1">
        <v>0</v>
      </c>
      <c r="G19" s="1">
        <v>0</v>
      </c>
      <c r="H19" s="1">
        <f t="shared" si="0"/>
        <v>0</v>
      </c>
    </row>
    <row r="20" spans="1:8" x14ac:dyDescent="0.3">
      <c r="A20" s="32" t="s">
        <v>251</v>
      </c>
      <c r="B20" s="33" t="s">
        <v>260</v>
      </c>
      <c r="C20" s="34">
        <v>21178159.199999999</v>
      </c>
      <c r="D20" s="34">
        <v>7977513.04</v>
      </c>
      <c r="E20" s="34">
        <v>13763807.16</v>
      </c>
      <c r="F20" s="34">
        <v>4305865.75</v>
      </c>
      <c r="G20" s="34">
        <v>43935819.189999998</v>
      </c>
      <c r="H20" s="1">
        <f t="shared" si="0"/>
        <v>39629953.439999998</v>
      </c>
    </row>
    <row r="21" spans="1:8" x14ac:dyDescent="0.3">
      <c r="A21" s="35" t="s">
        <v>264</v>
      </c>
      <c r="B21" s="36" t="s">
        <v>260</v>
      </c>
      <c r="C21" s="94">
        <f>SUM(C11:C20)</f>
        <v>3781269237.48</v>
      </c>
      <c r="D21" s="94">
        <f t="shared" ref="D21:E21" si="4">SUM(D11:D20)</f>
        <v>3712410888.9499998</v>
      </c>
      <c r="E21" s="94">
        <f t="shared" si="4"/>
        <v>3700656469.2399998</v>
      </c>
      <c r="F21" s="94">
        <f t="shared" ref="F21:G21" si="5">SUM(F11:F20)</f>
        <v>3747537900.1900001</v>
      </c>
      <c r="G21" s="94">
        <f t="shared" si="5"/>
        <v>4155140179.9500008</v>
      </c>
      <c r="H21" s="11">
        <f t="shared" si="0"/>
        <v>407602279.76000071</v>
      </c>
    </row>
    <row r="22" spans="1:8" x14ac:dyDescent="0.3">
      <c r="A22" t="s">
        <v>252</v>
      </c>
      <c r="B22" s="26" t="s">
        <v>259</v>
      </c>
      <c r="C22" s="1">
        <v>15105424.67</v>
      </c>
      <c r="D22" s="1">
        <v>13627930.539999999</v>
      </c>
      <c r="E22" s="1">
        <v>12449254.15</v>
      </c>
      <c r="F22" s="1">
        <v>11560892.67</v>
      </c>
      <c r="G22" s="1">
        <v>6636697.8399999999</v>
      </c>
      <c r="H22" s="1">
        <f t="shared" si="0"/>
        <v>-4924194.83</v>
      </c>
    </row>
    <row r="23" spans="1:8" x14ac:dyDescent="0.3">
      <c r="A23" t="s">
        <v>253</v>
      </c>
      <c r="B23" s="26" t="s">
        <v>260</v>
      </c>
      <c r="C23" s="1">
        <v>41705071.909999996</v>
      </c>
      <c r="D23" s="1">
        <v>38276769.270000003</v>
      </c>
      <c r="E23" s="1">
        <v>35172433.490000002</v>
      </c>
      <c r="F23" s="1">
        <v>33679515.969999999</v>
      </c>
      <c r="G23" s="1">
        <v>27693727.920000002</v>
      </c>
      <c r="H23" s="1">
        <f t="shared" si="0"/>
        <v>-5985788.049999997</v>
      </c>
    </row>
    <row r="24" spans="1:8" x14ac:dyDescent="0.3">
      <c r="A24" t="s">
        <v>254</v>
      </c>
      <c r="B24" s="26" t="s">
        <v>259</v>
      </c>
      <c r="C24" s="1">
        <v>-2687149.73</v>
      </c>
      <c r="D24" s="1">
        <v>-410959.5</v>
      </c>
      <c r="E24" s="1">
        <v>635147.56999999995</v>
      </c>
      <c r="F24" s="1">
        <v>-170193.83</v>
      </c>
      <c r="G24" s="1">
        <v>5810031.04</v>
      </c>
      <c r="H24" s="1">
        <f t="shared" si="0"/>
        <v>5980224.8700000001</v>
      </c>
    </row>
    <row r="25" spans="1:8" x14ac:dyDescent="0.3">
      <c r="A25" t="s">
        <v>255</v>
      </c>
      <c r="B25" s="26" t="s">
        <v>259</v>
      </c>
      <c r="C25" s="1">
        <v>93638623.959999993</v>
      </c>
      <c r="D25" s="1">
        <v>66915336.649999999</v>
      </c>
      <c r="E25" s="1">
        <v>46392301.689999998</v>
      </c>
      <c r="F25" s="1">
        <v>38334099.969999999</v>
      </c>
      <c r="G25" s="1">
        <v>81830059.340000004</v>
      </c>
      <c r="H25" s="1">
        <f t="shared" si="0"/>
        <v>43495959.370000005</v>
      </c>
    </row>
    <row r="26" spans="1:8" x14ac:dyDescent="0.3">
      <c r="A26" t="s">
        <v>256</v>
      </c>
      <c r="B26" s="26" t="s">
        <v>260</v>
      </c>
      <c r="C26" s="1">
        <v>34080882.390000001</v>
      </c>
      <c r="D26" s="1">
        <v>19686820.510000002</v>
      </c>
      <c r="E26" s="1">
        <v>18617493.93</v>
      </c>
      <c r="F26" s="1">
        <v>42195035.75</v>
      </c>
      <c r="G26" s="1">
        <v>3330981.42</v>
      </c>
      <c r="H26" s="1">
        <f t="shared" si="0"/>
        <v>-38864054.329999998</v>
      </c>
    </row>
    <row r="27" spans="1:8" x14ac:dyDescent="0.3">
      <c r="A27" t="s">
        <v>257</v>
      </c>
      <c r="B27" s="26" t="s">
        <v>260</v>
      </c>
      <c r="C27" s="1">
        <v>4611591.91</v>
      </c>
      <c r="D27" s="1">
        <v>5208193.5</v>
      </c>
      <c r="E27" s="1">
        <v>5583568.4900000002</v>
      </c>
      <c r="F27" s="1">
        <v>5634596.0099999998</v>
      </c>
      <c r="G27" s="1">
        <v>5981256.2999999998</v>
      </c>
      <c r="H27" s="1">
        <f t="shared" si="0"/>
        <v>346660.29000000004</v>
      </c>
    </row>
    <row r="28" spans="1:8" x14ac:dyDescent="0.3">
      <c r="A28" s="10" t="s">
        <v>258</v>
      </c>
      <c r="B28" s="36" t="s">
        <v>261</v>
      </c>
      <c r="C28" s="37">
        <f>C10-C21+C22-C23+C24+C25-C26-C27</f>
        <v>-119252265.75000054</v>
      </c>
      <c r="D28" s="37">
        <f t="shared" ref="D28:E28" si="6">D10-D21+D22-D23+D24+D25-D26-D27</f>
        <v>183349703.2400004</v>
      </c>
      <c r="E28" s="37">
        <f t="shared" si="6"/>
        <v>121762149.41000031</v>
      </c>
      <c r="F28" s="37">
        <f t="shared" ref="F28:G28" si="7">F10-F21+F22-F23+F24+F25-F26-F27</f>
        <v>54903590.790000044</v>
      </c>
      <c r="G28" s="37">
        <f t="shared" si="7"/>
        <v>-97605712.000000864</v>
      </c>
      <c r="H28" s="37">
        <f t="shared" si="0"/>
        <v>-152509302.79000092</v>
      </c>
    </row>
  </sheetData>
  <conditionalFormatting sqref="C28:E28 G28:H28">
    <cfRule type="cellIs" dxfId="55" priority="16" operator="greaterThan">
      <formula>0</formula>
    </cfRule>
  </conditionalFormatting>
  <conditionalFormatting sqref="C28:E28 G28">
    <cfRule type="cellIs" dxfId="54" priority="13" operator="greaterThan">
      <formula>0</formula>
    </cfRule>
  </conditionalFormatting>
  <conditionalFormatting sqref="F28">
    <cfRule type="cellIs" dxfId="53" priority="2" operator="greaterThan">
      <formula>0</formula>
    </cfRule>
  </conditionalFormatting>
  <conditionalFormatting sqref="F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G3" sqref="G3:G15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</row>
    <row r="2" spans="1:7" x14ac:dyDescent="0.3">
      <c r="A2" s="71" t="s">
        <v>342</v>
      </c>
      <c r="B2" s="64">
        <f>Conto_economico!C10</f>
        <v>3636357619.0399995</v>
      </c>
      <c r="C2" s="64">
        <f>Conto_economico!D10</f>
        <v>3878800067.7800002</v>
      </c>
      <c r="D2" s="64">
        <f>Conto_economico!E10</f>
        <v>3822315411.1500001</v>
      </c>
      <c r="E2" s="64">
        <f>Conto_economico!F10</f>
        <v>3834225839.9000001</v>
      </c>
      <c r="F2" s="64">
        <f>Conto_economico!G10</f>
        <v>4000263645.3699999</v>
      </c>
      <c r="G2" s="64">
        <f>F2-E2</f>
        <v>166037805.46999979</v>
      </c>
    </row>
    <row r="3" spans="1:7" x14ac:dyDescent="0.3">
      <c r="A3" s="71" t="s">
        <v>337</v>
      </c>
      <c r="B3" s="64">
        <f>Conto_economico!C2</f>
        <v>3256934204.9899998</v>
      </c>
      <c r="C3" s="64">
        <f>Conto_economico!D2</f>
        <v>3167508325.4000001</v>
      </c>
      <c r="D3" s="64">
        <f>Conto_economico!E2</f>
        <v>3190667834.5599999</v>
      </c>
      <c r="E3" s="64">
        <f>Conto_economico!F2</f>
        <v>3198621871.1100001</v>
      </c>
      <c r="F3" s="64">
        <f>Conto_economico!G2</f>
        <v>3255614707.1799998</v>
      </c>
      <c r="G3" s="64">
        <f t="shared" ref="G3:G15" si="0">F3-E3</f>
        <v>56992836.069999695</v>
      </c>
    </row>
    <row r="4" spans="1:7" x14ac:dyDescent="0.3">
      <c r="A4" s="71" t="s">
        <v>338</v>
      </c>
      <c r="B4" s="64">
        <f>Conto_economico!C4</f>
        <v>236444409.94</v>
      </c>
      <c r="C4" s="64">
        <f>Conto_economico!D4</f>
        <v>404112867.56</v>
      </c>
      <c r="D4" s="64">
        <f>Conto_economico!E4</f>
        <v>468008578.05000001</v>
      </c>
      <c r="E4" s="64">
        <f>Conto_economico!F4</f>
        <v>451471708.56</v>
      </c>
      <c r="F4" s="64">
        <f>Conto_economico!G4</f>
        <v>586158873.99000001</v>
      </c>
      <c r="G4" s="64">
        <f t="shared" si="0"/>
        <v>134687165.43000001</v>
      </c>
    </row>
    <row r="5" spans="1:7" x14ac:dyDescent="0.3">
      <c r="A5" s="71" t="s">
        <v>343</v>
      </c>
      <c r="B5" s="65">
        <f>Conto_economico!C21</f>
        <v>3781269237.48</v>
      </c>
      <c r="C5" s="65">
        <f>Conto_economico!D21</f>
        <v>3712410888.9499998</v>
      </c>
      <c r="D5" s="65">
        <f>Conto_economico!E21</f>
        <v>3700656469.2399998</v>
      </c>
      <c r="E5" s="65">
        <f>Conto_economico!F21</f>
        <v>3747537900.1900001</v>
      </c>
      <c r="F5" s="65">
        <f>Conto_economico!G21</f>
        <v>4155140179.9500008</v>
      </c>
      <c r="G5" s="64">
        <f t="shared" si="0"/>
        <v>407602279.76000071</v>
      </c>
    </row>
    <row r="6" spans="1:7" x14ac:dyDescent="0.3">
      <c r="A6" s="71" t="s">
        <v>339</v>
      </c>
      <c r="B6" s="64">
        <f>Conto_economico!C12</f>
        <v>257494850.09999999</v>
      </c>
      <c r="C6" s="64">
        <f>Conto_economico!D12</f>
        <v>284738952.31</v>
      </c>
      <c r="D6" s="64">
        <f>Conto_economico!E12</f>
        <v>324277629.11000001</v>
      </c>
      <c r="E6" s="64">
        <f>Conto_economico!F12</f>
        <v>325748212.27999997</v>
      </c>
      <c r="F6" s="64">
        <f>Conto_economico!G12</f>
        <v>326279596.75999999</v>
      </c>
      <c r="G6" s="64">
        <f t="shared" si="0"/>
        <v>531384.48000001907</v>
      </c>
    </row>
    <row r="7" spans="1:7" x14ac:dyDescent="0.3">
      <c r="A7" s="71" t="s">
        <v>340</v>
      </c>
      <c r="B7" s="64">
        <f>Conto_economico!C15</f>
        <v>74851541.540000007</v>
      </c>
      <c r="C7" s="64">
        <f>Conto_economico!D15</f>
        <v>75245716.099999994</v>
      </c>
      <c r="D7" s="64">
        <f>Conto_economico!E15</f>
        <v>87098741.280000001</v>
      </c>
      <c r="E7" s="64">
        <f>Conto_economico!F15</f>
        <v>88020417.909999996</v>
      </c>
      <c r="F7" s="64">
        <f>Conto_economico!G15</f>
        <v>84482753.790000007</v>
      </c>
      <c r="G7" s="64">
        <f t="shared" si="0"/>
        <v>-3537664.1199999899</v>
      </c>
    </row>
    <row r="8" spans="1:7" x14ac:dyDescent="0.3">
      <c r="A8" s="71" t="s">
        <v>341</v>
      </c>
      <c r="B8" s="64">
        <f>Conto_economico!C16</f>
        <v>5667914.8200000003</v>
      </c>
      <c r="C8" s="64">
        <f>Conto_economico!D16</f>
        <v>11035519.73</v>
      </c>
      <c r="D8" s="64">
        <f>Conto_economico!E16</f>
        <v>82635071.060000002</v>
      </c>
      <c r="E8" s="64">
        <f>Conto_economico!F16</f>
        <v>33981260.049999997</v>
      </c>
      <c r="F8" s="64">
        <f>Conto_economico!G16</f>
        <v>40884294.509999998</v>
      </c>
      <c r="G8" s="64">
        <f t="shared" si="0"/>
        <v>6903034.4600000009</v>
      </c>
    </row>
    <row r="9" spans="1:7" x14ac:dyDescent="0.3">
      <c r="A9" s="47" t="s">
        <v>305</v>
      </c>
      <c r="B9" s="66">
        <f t="shared" ref="B9:D9" si="1">B2-B5</f>
        <v>-144911618.44000053</v>
      </c>
      <c r="C9" s="66">
        <f t="shared" si="1"/>
        <v>166389178.8300004</v>
      </c>
      <c r="D9" s="66">
        <f t="shared" si="1"/>
        <v>121658941.91000032</v>
      </c>
      <c r="E9" s="66">
        <f t="shared" ref="E9:F9" si="2">E2-E5</f>
        <v>86687939.710000038</v>
      </c>
      <c r="F9" s="66">
        <f t="shared" si="2"/>
        <v>-154876534.58000088</v>
      </c>
      <c r="G9" s="66">
        <f t="shared" si="0"/>
        <v>-241564474.29000092</v>
      </c>
    </row>
    <row r="10" spans="1:7" x14ac:dyDescent="0.3">
      <c r="A10" s="71" t="s">
        <v>306</v>
      </c>
      <c r="B10" s="64">
        <f>Conto_economico!C22-Conto_economico!C23</f>
        <v>-26599647.239999995</v>
      </c>
      <c r="C10" s="64">
        <f>Conto_economico!D22-Conto_economico!D23</f>
        <v>-24648838.730000004</v>
      </c>
      <c r="D10" s="64">
        <f>Conto_economico!E22-Conto_economico!E23</f>
        <v>-22723179.340000004</v>
      </c>
      <c r="E10" s="64">
        <f>Conto_economico!F22-Conto_economico!F23</f>
        <v>-22118623.299999997</v>
      </c>
      <c r="F10" s="64">
        <f>Conto_economico!G22-Conto_economico!G23</f>
        <v>-21057030.080000002</v>
      </c>
      <c r="G10" s="64">
        <f t="shared" si="0"/>
        <v>1061593.2199999951</v>
      </c>
    </row>
    <row r="11" spans="1:7" x14ac:dyDescent="0.3">
      <c r="A11" s="71" t="s">
        <v>307</v>
      </c>
      <c r="B11" s="65">
        <f>Conto_economico!C25-Conto_economico!C26</f>
        <v>59557741.569999993</v>
      </c>
      <c r="C11" s="65">
        <f>Conto_economico!D25-Conto_economico!D26</f>
        <v>47228516.140000001</v>
      </c>
      <c r="D11" s="65">
        <f>Conto_economico!E25-Conto_economico!E26</f>
        <v>27774807.759999998</v>
      </c>
      <c r="E11" s="65">
        <f>Conto_economico!F25-Conto_economico!F26</f>
        <v>-3860935.7800000012</v>
      </c>
      <c r="F11" s="65">
        <f>Conto_economico!G25-Conto_economico!G26</f>
        <v>78499077.920000002</v>
      </c>
      <c r="G11" s="64">
        <f t="shared" si="0"/>
        <v>82360013.700000003</v>
      </c>
    </row>
    <row r="12" spans="1:7" x14ac:dyDescent="0.3">
      <c r="A12" s="71" t="s">
        <v>254</v>
      </c>
      <c r="B12" s="65">
        <f>Conto_economico!C24</f>
        <v>-2687149.73</v>
      </c>
      <c r="C12" s="65">
        <f>Conto_economico!D24</f>
        <v>-410959.5</v>
      </c>
      <c r="D12" s="65">
        <f>Conto_economico!E24</f>
        <v>635147.56999999995</v>
      </c>
      <c r="E12" s="65">
        <f>Conto_economico!F24</f>
        <v>-170193.83</v>
      </c>
      <c r="F12" s="65">
        <f>Conto_economico!G24</f>
        <v>5810031.04</v>
      </c>
      <c r="G12" s="64">
        <f t="shared" si="0"/>
        <v>5980224.8700000001</v>
      </c>
    </row>
    <row r="13" spans="1:7" x14ac:dyDescent="0.3">
      <c r="A13" s="47" t="s">
        <v>308</v>
      </c>
      <c r="B13" s="66">
        <f t="shared" ref="B13:D13" si="3">SUM(B9:B12)</f>
        <v>-114640673.84000055</v>
      </c>
      <c r="C13" s="66">
        <f t="shared" si="3"/>
        <v>188557896.74000037</v>
      </c>
      <c r="D13" s="66">
        <f t="shared" si="3"/>
        <v>127345717.9000003</v>
      </c>
      <c r="E13" s="66">
        <f t="shared" ref="E13:F13" si="4">SUM(E9:E12)</f>
        <v>60538186.800000042</v>
      </c>
      <c r="F13" s="66">
        <f t="shared" si="4"/>
        <v>-91624455.700000882</v>
      </c>
      <c r="G13" s="66">
        <f t="shared" si="0"/>
        <v>-152162642.50000092</v>
      </c>
    </row>
    <row r="14" spans="1:7" x14ac:dyDescent="0.3">
      <c r="A14" s="71" t="s">
        <v>257</v>
      </c>
      <c r="B14" s="64">
        <f>Conto_economico!C27</f>
        <v>4611591.91</v>
      </c>
      <c r="C14" s="64">
        <f>Conto_economico!D27</f>
        <v>5208193.5</v>
      </c>
      <c r="D14" s="64">
        <f>Conto_economico!E27</f>
        <v>5583568.4900000002</v>
      </c>
      <c r="E14" s="64">
        <f>Conto_economico!F27</f>
        <v>5634596.0099999998</v>
      </c>
      <c r="F14" s="64">
        <f>Conto_economico!G27</f>
        <v>5981256.2999999998</v>
      </c>
      <c r="G14" s="64">
        <f t="shared" si="0"/>
        <v>346660.29000000004</v>
      </c>
    </row>
    <row r="15" spans="1:7" x14ac:dyDescent="0.3">
      <c r="A15" s="70" t="s">
        <v>258</v>
      </c>
      <c r="B15" s="67">
        <f t="shared" ref="B15:D15" si="5">B13-B14</f>
        <v>-119252265.75000055</v>
      </c>
      <c r="C15" s="67">
        <f t="shared" si="5"/>
        <v>183349703.24000037</v>
      </c>
      <c r="D15" s="67">
        <f t="shared" si="5"/>
        <v>121762149.41000031</v>
      </c>
      <c r="E15" s="67">
        <f t="shared" ref="E15:F15" si="6">E13-E14</f>
        <v>54903590.790000044</v>
      </c>
      <c r="F15" s="67">
        <f t="shared" si="6"/>
        <v>-97605712.000000879</v>
      </c>
      <c r="G15" s="67">
        <f t="shared" si="0"/>
        <v>-152509302.79000092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3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8" x14ac:dyDescent="0.3">
      <c r="A1" s="73"/>
      <c r="B1" s="100">
        <v>2015</v>
      </c>
      <c r="C1" s="100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8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8" x14ac:dyDescent="0.3">
      <c r="A3" s="32" t="s">
        <v>213</v>
      </c>
      <c r="B3" s="1">
        <v>0</v>
      </c>
      <c r="C3" s="1">
        <v>2178968.98</v>
      </c>
      <c r="D3" s="1">
        <v>24091244.43</v>
      </c>
      <c r="E3" s="1">
        <v>24279316.079999998</v>
      </c>
      <c r="F3" s="1">
        <v>23070381.239999998</v>
      </c>
      <c r="G3" s="1">
        <v>22420342.809999999</v>
      </c>
      <c r="H3" s="97"/>
    </row>
    <row r="4" spans="1:8" x14ac:dyDescent="0.3">
      <c r="A4" s="32" t="s">
        <v>214</v>
      </c>
      <c r="B4" s="1">
        <v>273853951.08999997</v>
      </c>
      <c r="C4" s="1">
        <v>310172904.16000003</v>
      </c>
      <c r="D4" s="1">
        <v>470880876.49000001</v>
      </c>
      <c r="E4" s="1">
        <v>423750740.92000002</v>
      </c>
      <c r="F4" s="1">
        <v>415704790.85000002</v>
      </c>
      <c r="G4" s="1">
        <v>432796146.89999998</v>
      </c>
      <c r="H4" s="97"/>
    </row>
    <row r="5" spans="1:8" x14ac:dyDescent="0.3">
      <c r="A5" s="32" t="s">
        <v>228</v>
      </c>
      <c r="B5" s="1">
        <f>14982692.38+4564230</f>
        <v>19546922.380000003</v>
      </c>
      <c r="C5" s="1">
        <v>22833522.649999999</v>
      </c>
      <c r="D5" s="1">
        <v>341143204.06</v>
      </c>
      <c r="E5" s="1">
        <v>341778349.63</v>
      </c>
      <c r="F5" s="1">
        <v>377390867.85000002</v>
      </c>
      <c r="G5" s="1">
        <v>383641658.39999998</v>
      </c>
    </row>
    <row r="6" spans="1:8" x14ac:dyDescent="0.3">
      <c r="A6" s="32" t="s">
        <v>229</v>
      </c>
      <c r="B6" s="1">
        <v>157855497.75999999</v>
      </c>
      <c r="C6" s="1">
        <v>157489617.81</v>
      </c>
      <c r="D6" s="1">
        <v>157361919.44</v>
      </c>
      <c r="E6" s="1">
        <v>157687341</v>
      </c>
      <c r="F6" s="1">
        <v>136932522.37</v>
      </c>
      <c r="G6" s="1">
        <v>67332927.409999996</v>
      </c>
    </row>
    <row r="7" spans="1:8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8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8" x14ac:dyDescent="0.3">
      <c r="A9" s="32" t="s">
        <v>215</v>
      </c>
      <c r="B9" s="1">
        <v>2183954646.4899998</v>
      </c>
      <c r="C9" s="1">
        <v>2740116148.5999999</v>
      </c>
      <c r="D9" s="1">
        <v>1964326827.51</v>
      </c>
      <c r="E9" s="1">
        <v>1655949284.4300001</v>
      </c>
      <c r="F9" s="1">
        <v>1423052375.6900001</v>
      </c>
      <c r="G9" s="1">
        <v>1179013146.46</v>
      </c>
    </row>
    <row r="10" spans="1:8" x14ac:dyDescent="0.3">
      <c r="A10" s="98" t="s">
        <v>359</v>
      </c>
      <c r="B10" s="1">
        <v>1273274358.27</v>
      </c>
      <c r="C10" s="1">
        <v>1145078503.95</v>
      </c>
      <c r="D10" s="1">
        <v>1067474019.46</v>
      </c>
      <c r="E10" s="1">
        <v>968953479.72000003</v>
      </c>
      <c r="F10" s="1">
        <v>623634082.71000004</v>
      </c>
      <c r="G10" s="1">
        <v>491427920.08999997</v>
      </c>
    </row>
    <row r="11" spans="1:8" x14ac:dyDescent="0.3">
      <c r="A11" s="98" t="s">
        <v>365</v>
      </c>
      <c r="B11" s="1">
        <v>443174859.79000002</v>
      </c>
      <c r="C11" s="1">
        <v>566460487.38999999</v>
      </c>
      <c r="D11" s="1">
        <v>562941383.59000003</v>
      </c>
      <c r="E11" s="1">
        <v>455182407.86000001</v>
      </c>
      <c r="F11" s="1">
        <v>579738112.10000002</v>
      </c>
      <c r="G11" s="1">
        <v>492109228.74000001</v>
      </c>
    </row>
    <row r="12" spans="1:8" x14ac:dyDescent="0.3">
      <c r="A12" s="32" t="s">
        <v>232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8" x14ac:dyDescent="0.3">
      <c r="A13" s="32" t="s">
        <v>216</v>
      </c>
      <c r="B13" s="1">
        <v>618574313.37</v>
      </c>
      <c r="C13" s="1">
        <v>612132505.13</v>
      </c>
      <c r="D13" s="1">
        <v>566371116.54999995</v>
      </c>
      <c r="E13" s="1">
        <v>768812021.11000001</v>
      </c>
      <c r="F13" s="1">
        <v>829663571.91999996</v>
      </c>
      <c r="G13" s="1">
        <v>897346728.05999994</v>
      </c>
    </row>
    <row r="14" spans="1:8" x14ac:dyDescent="0.3">
      <c r="A14" s="32" t="s">
        <v>217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8" x14ac:dyDescent="0.3">
      <c r="A15" s="10" t="s">
        <v>218</v>
      </c>
      <c r="B15" s="11">
        <f t="shared" ref="B15:D15" si="0">SUM(B2:B9)+SUM(B12:B14)</f>
        <v>3253785331.0899997</v>
      </c>
      <c r="C15" s="11">
        <f t="shared" si="0"/>
        <v>3844923667.3299999</v>
      </c>
      <c r="D15" s="11">
        <f t="shared" si="0"/>
        <v>3524175188.4800005</v>
      </c>
      <c r="E15" s="11">
        <f>SUM(E2:E9)+SUM(E12:E14)</f>
        <v>3372257053.1700001</v>
      </c>
      <c r="F15" s="11">
        <f>SUM(F2:F9)+SUM(F12:F14)</f>
        <v>3205814509.9200001</v>
      </c>
      <c r="G15" s="11">
        <f>SUM(G2:G9)+SUM(G12:G14)</f>
        <v>2982550950.04</v>
      </c>
    </row>
    <row r="16" spans="1:8" x14ac:dyDescent="0.3">
      <c r="A16" s="32" t="s">
        <v>219</v>
      </c>
      <c r="B16" s="1">
        <v>24632661.329999998</v>
      </c>
      <c r="C16" s="1">
        <v>-784258912.09000003</v>
      </c>
      <c r="D16" s="1">
        <v>-490943839.97000003</v>
      </c>
      <c r="E16" s="1">
        <v>-490943839.97000003</v>
      </c>
      <c r="F16" s="1">
        <v>-460903305.97000003</v>
      </c>
      <c r="G16" s="1">
        <v>-460903305.97000003</v>
      </c>
    </row>
    <row r="17" spans="1:9" x14ac:dyDescent="0.3">
      <c r="A17" s="32" t="s">
        <v>220</v>
      </c>
      <c r="B17" s="1">
        <v>0</v>
      </c>
      <c r="C17" s="1">
        <v>808891573.41999996</v>
      </c>
      <c r="D17" s="1">
        <v>822202683.92999995</v>
      </c>
      <c r="E17" s="1">
        <v>938586899.41999996</v>
      </c>
      <c r="F17" s="1">
        <v>1060411001.1</v>
      </c>
      <c r="G17" s="1">
        <v>1120542857.53</v>
      </c>
    </row>
    <row r="18" spans="1:9" x14ac:dyDescent="0.3">
      <c r="A18" s="32" t="s">
        <v>221</v>
      </c>
      <c r="B18" s="1">
        <v>0</v>
      </c>
      <c r="C18" s="1">
        <v>-119252265.75</v>
      </c>
      <c r="D18" s="1">
        <v>183349703.24000001</v>
      </c>
      <c r="E18" s="1">
        <v>121762147.41</v>
      </c>
      <c r="F18" s="1">
        <v>54903590.789999999</v>
      </c>
      <c r="G18" s="1">
        <v>-97605712</v>
      </c>
    </row>
    <row r="19" spans="1:9" x14ac:dyDescent="0.3">
      <c r="A19" s="32" t="s">
        <v>222</v>
      </c>
      <c r="B19" s="1">
        <v>15547840.67</v>
      </c>
      <c r="C19" s="1">
        <v>88004075.700000003</v>
      </c>
      <c r="D19" s="1">
        <v>117997642.92</v>
      </c>
      <c r="E19" s="1">
        <v>96906242.290000007</v>
      </c>
      <c r="F19" s="1">
        <v>117396322.34999999</v>
      </c>
      <c r="G19" s="1">
        <v>124084799.38</v>
      </c>
    </row>
    <row r="20" spans="1:9" x14ac:dyDescent="0.3">
      <c r="A20" s="32" t="s">
        <v>209</v>
      </c>
      <c r="B20" s="1">
        <v>1992490144.5599999</v>
      </c>
      <c r="C20" s="1">
        <v>2464552478.8800001</v>
      </c>
      <c r="D20" s="1">
        <v>1754313067.48</v>
      </c>
      <c r="E20" s="1">
        <v>1574731382.1199999</v>
      </c>
      <c r="F20" s="1">
        <v>1312086632.55</v>
      </c>
      <c r="G20" s="1">
        <v>1280679595.1600001</v>
      </c>
    </row>
    <row r="21" spans="1:9" x14ac:dyDescent="0.3">
      <c r="A21" s="32" t="s">
        <v>223</v>
      </c>
      <c r="B21" s="1">
        <v>26917835.449999999</v>
      </c>
      <c r="C21" s="1">
        <v>69599524.670000002</v>
      </c>
      <c r="D21" s="1">
        <v>161233210.53</v>
      </c>
      <c r="E21" s="1">
        <v>189343077.86000001</v>
      </c>
      <c r="F21" s="1">
        <v>179399801.94</v>
      </c>
      <c r="G21" s="1">
        <v>126989249.78</v>
      </c>
    </row>
    <row r="22" spans="1:9" x14ac:dyDescent="0.3">
      <c r="A22" s="32" t="s">
        <v>224</v>
      </c>
      <c r="B22" s="1">
        <v>715392323.02999997</v>
      </c>
      <c r="C22" s="1">
        <v>730441265.25</v>
      </c>
      <c r="D22" s="1">
        <v>575379807.79999995</v>
      </c>
      <c r="E22" s="1">
        <v>509690457.56</v>
      </c>
      <c r="F22" s="1">
        <v>503591707.74000001</v>
      </c>
      <c r="G22" s="1">
        <v>570397150.27999997</v>
      </c>
    </row>
    <row r="23" spans="1:9" x14ac:dyDescent="0.3">
      <c r="A23" s="98" t="s">
        <v>360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98" t="s">
        <v>361</v>
      </c>
      <c r="B24" s="1">
        <v>690629290.21000004</v>
      </c>
      <c r="C24" s="1">
        <v>701074488.13999999</v>
      </c>
      <c r="D24" s="1">
        <v>535312116.12</v>
      </c>
      <c r="E24" s="1">
        <v>454331769.67000002</v>
      </c>
      <c r="F24" s="1">
        <v>464874161.85000002</v>
      </c>
      <c r="G24" s="1">
        <v>511846844.81</v>
      </c>
    </row>
    <row r="25" spans="1:9" x14ac:dyDescent="0.3">
      <c r="A25" s="32" t="s">
        <v>225</v>
      </c>
      <c r="B25" s="1">
        <v>394565873.94</v>
      </c>
      <c r="C25" s="1">
        <v>503892478.00999999</v>
      </c>
      <c r="D25" s="1">
        <v>297730045.43000001</v>
      </c>
      <c r="E25" s="1">
        <v>327482712.81</v>
      </c>
      <c r="F25" s="1">
        <v>337542326.56999999</v>
      </c>
      <c r="G25" s="1">
        <v>176402246.21000001</v>
      </c>
      <c r="H25" s="1"/>
      <c r="I25" s="1"/>
    </row>
    <row r="26" spans="1:9" x14ac:dyDescent="0.3">
      <c r="A26" s="32" t="s">
        <v>226</v>
      </c>
      <c r="B26" s="1">
        <v>84238652.109999999</v>
      </c>
      <c r="C26" s="1">
        <v>83053449.239999995</v>
      </c>
      <c r="D26" s="1">
        <v>102912867.12</v>
      </c>
      <c r="E26" s="1">
        <v>104697973.67</v>
      </c>
      <c r="F26" s="1">
        <v>101386432.84999999</v>
      </c>
      <c r="G26" s="1">
        <v>141964069.66999999</v>
      </c>
    </row>
    <row r="27" spans="1:9" x14ac:dyDescent="0.3">
      <c r="A27" s="72" t="s">
        <v>227</v>
      </c>
      <c r="B27" s="3">
        <f t="shared" ref="B27:D27" si="1">SUM(B16:B26)-B23-B24</f>
        <v>3253785331.0900002</v>
      </c>
      <c r="C27" s="3">
        <f t="shared" si="1"/>
        <v>3844923667.3299994</v>
      </c>
      <c r="D27" s="3">
        <f t="shared" si="1"/>
        <v>3524175188.48</v>
      </c>
      <c r="E27" s="3">
        <f>SUM(E16:E26)-E23-E24</f>
        <v>3372257053.1699996</v>
      </c>
      <c r="F27" s="3">
        <f>SUM(F16:F26)-F23-F24</f>
        <v>3205814509.9200001</v>
      </c>
      <c r="G27" s="3">
        <f>SUM(G16:G26)-G23-G24</f>
        <v>2982550950.04</v>
      </c>
    </row>
    <row r="28" spans="1:9" x14ac:dyDescent="0.3">
      <c r="A28" s="10" t="s">
        <v>266</v>
      </c>
      <c r="B28" s="11">
        <f>B16+B17+B18</f>
        <v>24632661.329999998</v>
      </c>
      <c r="C28" s="11">
        <f>C16+C17+C18</f>
        <v>-94619604.420000076</v>
      </c>
      <c r="D28" s="11">
        <f>D16+D17+D18</f>
        <v>514608547.19999993</v>
      </c>
      <c r="E28" s="11">
        <f>E16+E17+E18</f>
        <v>569405206.8599999</v>
      </c>
      <c r="F28" s="11">
        <f>F16+F17+F18</f>
        <v>654411285.91999996</v>
      </c>
      <c r="G28" s="11">
        <f>G16+G17+G18</f>
        <v>562033839.55999994</v>
      </c>
    </row>
    <row r="29" spans="1:9" x14ac:dyDescent="0.3">
      <c r="B29" s="6"/>
      <c r="C29" s="6"/>
      <c r="D29" s="6">
        <f t="shared" ref="B29:D29" si="2">D28/D27*100</f>
        <v>14.602240798986896</v>
      </c>
      <c r="E29" s="6">
        <f>E28/E27*100</f>
        <v>16.884988240286898</v>
      </c>
      <c r="F29" s="6">
        <f>F28/F27*100</f>
        <v>20.413261088406845</v>
      </c>
      <c r="G29" s="6">
        <f>G28/G27*100</f>
        <v>18.844064995854044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3" workbookViewId="0">
      <selection activeCell="H92" sqref="H92:H95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7" t="s">
        <v>210</v>
      </c>
      <c r="B1" s="117"/>
      <c r="C1" s="2" t="s">
        <v>211</v>
      </c>
      <c r="D1" s="96">
        <v>2016</v>
      </c>
      <c r="E1" s="96">
        <v>2017</v>
      </c>
      <c r="F1" s="96">
        <v>2018</v>
      </c>
      <c r="G1" s="96">
        <v>2019</v>
      </c>
      <c r="H1" s="96">
        <v>2020</v>
      </c>
    </row>
    <row r="2" spans="1:8" x14ac:dyDescent="0.3">
      <c r="A2" t="s">
        <v>77</v>
      </c>
    </row>
    <row r="3" spans="1:8" x14ac:dyDescent="0.3">
      <c r="A3" s="8" t="s">
        <v>78</v>
      </c>
      <c r="B3" s="8" t="s">
        <v>79</v>
      </c>
      <c r="C3" s="9">
        <v>48</v>
      </c>
      <c r="D3" s="7">
        <v>8.4499999999999993</v>
      </c>
      <c r="E3" s="7">
        <v>4.71</v>
      </c>
      <c r="F3" s="7">
        <v>5.1100000000000003</v>
      </c>
      <c r="G3" s="7">
        <v>4.83</v>
      </c>
      <c r="H3" s="7">
        <v>7.65</v>
      </c>
    </row>
    <row r="4" spans="1:8" x14ac:dyDescent="0.3">
      <c r="A4" t="s">
        <v>80</v>
      </c>
      <c r="D4" s="7"/>
      <c r="E4" s="7"/>
      <c r="F4" s="7"/>
      <c r="G4" s="7"/>
      <c r="H4" s="7"/>
    </row>
    <row r="5" spans="1:8" x14ac:dyDescent="0.3">
      <c r="A5" t="s">
        <v>81</v>
      </c>
      <c r="B5" t="s">
        <v>82</v>
      </c>
      <c r="D5" s="7">
        <v>102.52</v>
      </c>
      <c r="E5" s="7">
        <v>102.27</v>
      </c>
      <c r="F5" s="7">
        <v>102.41</v>
      </c>
      <c r="G5" s="7">
        <v>100.73</v>
      </c>
      <c r="H5" s="7">
        <v>104.24</v>
      </c>
    </row>
    <row r="6" spans="1:8" x14ac:dyDescent="0.3">
      <c r="A6" t="s">
        <v>83</v>
      </c>
      <c r="B6" t="s">
        <v>84</v>
      </c>
      <c r="D6" s="7">
        <v>97.03</v>
      </c>
      <c r="E6" s="7">
        <v>94.34</v>
      </c>
      <c r="F6" s="7">
        <v>98.45</v>
      </c>
      <c r="G6" s="7">
        <v>98.11</v>
      </c>
      <c r="H6" s="7">
        <v>95.65</v>
      </c>
    </row>
    <row r="7" spans="1:8" x14ac:dyDescent="0.3">
      <c r="A7" t="s">
        <v>85</v>
      </c>
      <c r="B7" t="s">
        <v>86</v>
      </c>
      <c r="D7" s="7">
        <v>94.29</v>
      </c>
      <c r="E7" s="7">
        <v>93.37</v>
      </c>
      <c r="F7" s="7">
        <v>93.26</v>
      </c>
      <c r="G7" s="7">
        <v>91.3</v>
      </c>
      <c r="H7" s="7">
        <v>91.45</v>
      </c>
    </row>
    <row r="8" spans="1:8" x14ac:dyDescent="0.3">
      <c r="A8" t="s">
        <v>87</v>
      </c>
      <c r="B8" t="s">
        <v>88</v>
      </c>
      <c r="D8" s="7">
        <v>89.24</v>
      </c>
      <c r="E8" s="7">
        <v>88.87</v>
      </c>
      <c r="F8" s="7">
        <v>89.64</v>
      </c>
      <c r="G8" s="7">
        <v>88.92</v>
      </c>
      <c r="H8" s="7">
        <v>83.92</v>
      </c>
    </row>
    <row r="9" spans="1:8" x14ac:dyDescent="0.3">
      <c r="A9" t="s">
        <v>89</v>
      </c>
      <c r="B9" t="s">
        <v>90</v>
      </c>
      <c r="D9" s="7">
        <v>129.59</v>
      </c>
      <c r="E9" s="7">
        <v>60.39</v>
      </c>
      <c r="F9" s="7">
        <v>70.16</v>
      </c>
      <c r="G9" s="7">
        <v>70.16</v>
      </c>
      <c r="H9" s="7">
        <v>70.88</v>
      </c>
    </row>
    <row r="10" spans="1:8" x14ac:dyDescent="0.3">
      <c r="A10" t="s">
        <v>91</v>
      </c>
      <c r="B10" t="s">
        <v>92</v>
      </c>
      <c r="D10" s="7">
        <v>112.3</v>
      </c>
      <c r="E10" s="7">
        <v>69.09</v>
      </c>
      <c r="F10" s="7">
        <v>73.62</v>
      </c>
      <c r="G10" s="7">
        <v>77.41</v>
      </c>
      <c r="H10" s="7">
        <v>79.17</v>
      </c>
    </row>
    <row r="11" spans="1:8" x14ac:dyDescent="0.3">
      <c r="A11" t="s">
        <v>93</v>
      </c>
      <c r="B11" t="s">
        <v>94</v>
      </c>
      <c r="D11" s="7">
        <v>118.25</v>
      </c>
      <c r="E11" s="7">
        <v>54.47</v>
      </c>
      <c r="F11" s="7">
        <v>62.21</v>
      </c>
      <c r="G11" s="7">
        <v>63.48</v>
      </c>
      <c r="H11" s="7">
        <v>61.86</v>
      </c>
    </row>
    <row r="12" spans="1:8" x14ac:dyDescent="0.3">
      <c r="A12" s="8" t="s">
        <v>95</v>
      </c>
      <c r="B12" s="8" t="s">
        <v>96</v>
      </c>
      <c r="C12" s="9">
        <v>22</v>
      </c>
      <c r="D12" s="7">
        <v>102.47</v>
      </c>
      <c r="E12" s="7">
        <v>62.32</v>
      </c>
      <c r="F12" s="7">
        <v>65.28</v>
      </c>
      <c r="G12" s="7">
        <v>70.040000000000006</v>
      </c>
      <c r="H12" s="7">
        <v>69.09</v>
      </c>
    </row>
    <row r="13" spans="1:8" x14ac:dyDescent="0.3">
      <c r="A13" t="s">
        <v>97</v>
      </c>
      <c r="D13" s="7"/>
      <c r="E13" s="7"/>
      <c r="F13" s="7"/>
      <c r="G13" s="7"/>
      <c r="H13" s="7"/>
    </row>
    <row r="14" spans="1:8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102</v>
      </c>
      <c r="D16" s="7"/>
      <c r="E16" s="7"/>
      <c r="F16" s="7"/>
      <c r="G16" s="7"/>
      <c r="H16" s="7"/>
    </row>
    <row r="17" spans="1:8" x14ac:dyDescent="0.3">
      <c r="A17" t="s">
        <v>103</v>
      </c>
      <c r="B17" t="s">
        <v>104</v>
      </c>
      <c r="D17" s="7">
        <v>2.3199999999999998</v>
      </c>
      <c r="E17" s="7">
        <v>2.52</v>
      </c>
      <c r="F17" s="7">
        <v>2.81</v>
      </c>
      <c r="G17" s="7">
        <v>2.91</v>
      </c>
      <c r="H17" s="7">
        <v>2.62</v>
      </c>
    </row>
    <row r="18" spans="1:8" x14ac:dyDescent="0.3">
      <c r="A18" t="s">
        <v>105</v>
      </c>
      <c r="B18" t="s">
        <v>106</v>
      </c>
      <c r="D18" s="7">
        <v>6.46</v>
      </c>
      <c r="E18" s="7">
        <v>5.79</v>
      </c>
      <c r="F18" s="7">
        <v>9.25</v>
      </c>
      <c r="G18" s="7">
        <v>10.43</v>
      </c>
      <c r="H18" s="7">
        <v>8.77</v>
      </c>
    </row>
    <row r="19" spans="1:8" x14ac:dyDescent="0.3">
      <c r="A19" t="s">
        <v>107</v>
      </c>
      <c r="B19" t="s">
        <v>108</v>
      </c>
      <c r="D19" s="7">
        <v>8.23</v>
      </c>
      <c r="E19" s="7">
        <v>6.6</v>
      </c>
      <c r="F19" s="7">
        <v>10.130000000000001</v>
      </c>
      <c r="G19" s="7">
        <v>11.77</v>
      </c>
      <c r="H19" s="7">
        <v>10.039999999999999</v>
      </c>
    </row>
    <row r="20" spans="1:8" x14ac:dyDescent="0.3">
      <c r="A20" t="s">
        <v>109</v>
      </c>
      <c r="B20" t="s">
        <v>110</v>
      </c>
      <c r="D20" s="7">
        <v>52.58</v>
      </c>
      <c r="E20" s="7">
        <v>56.27</v>
      </c>
      <c r="F20" s="7">
        <v>64.61</v>
      </c>
      <c r="G20" s="7">
        <v>67.7</v>
      </c>
      <c r="H20" s="7">
        <v>67.28</v>
      </c>
    </row>
    <row r="21" spans="1:8" x14ac:dyDescent="0.3">
      <c r="A21" t="s">
        <v>111</v>
      </c>
      <c r="D21" s="7"/>
      <c r="E21" s="7"/>
      <c r="F21" s="7"/>
      <c r="G21" s="7"/>
      <c r="H21" s="7"/>
    </row>
    <row r="22" spans="1:8" x14ac:dyDescent="0.3">
      <c r="A22" t="s">
        <v>112</v>
      </c>
      <c r="B22" t="s">
        <v>113</v>
      </c>
      <c r="D22" s="7">
        <v>2.5</v>
      </c>
      <c r="E22" s="7">
        <v>2.61</v>
      </c>
      <c r="F22" s="7">
        <v>2.5499999999999998</v>
      </c>
      <c r="G22" s="7">
        <v>2.4900000000000002</v>
      </c>
      <c r="H22" s="7">
        <v>2.5099999999999998</v>
      </c>
    </row>
    <row r="23" spans="1:8" x14ac:dyDescent="0.3">
      <c r="A23" t="s">
        <v>114</v>
      </c>
      <c r="D23" s="7"/>
      <c r="E23" s="7"/>
      <c r="F23" s="7"/>
      <c r="G23" s="7"/>
      <c r="H23" s="7"/>
    </row>
    <row r="24" spans="1:8" x14ac:dyDescent="0.3">
      <c r="A24" t="s">
        <v>115</v>
      </c>
      <c r="B24" t="s">
        <v>116</v>
      </c>
      <c r="D24" s="7">
        <v>1.17</v>
      </c>
      <c r="E24" s="7">
        <v>1.05</v>
      </c>
      <c r="F24" s="7">
        <v>0.95</v>
      </c>
      <c r="G24" s="7">
        <v>0.91</v>
      </c>
      <c r="H24" s="7">
        <v>0.7</v>
      </c>
    </row>
    <row r="25" spans="1:8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119</v>
      </c>
      <c r="B26" t="s">
        <v>120</v>
      </c>
      <c r="D26" s="7">
        <v>0</v>
      </c>
      <c r="E26" s="7">
        <v>0</v>
      </c>
      <c r="F26" s="7">
        <v>0.01</v>
      </c>
      <c r="G26" s="7">
        <v>0.01</v>
      </c>
      <c r="H26" s="7">
        <v>0.01</v>
      </c>
    </row>
    <row r="27" spans="1:8" x14ac:dyDescent="0.3">
      <c r="A27" t="s">
        <v>121</v>
      </c>
      <c r="D27" s="7"/>
      <c r="E27" s="7"/>
      <c r="F27" s="7"/>
      <c r="G27" s="7"/>
      <c r="H27" s="7"/>
    </row>
    <row r="28" spans="1:8" x14ac:dyDescent="0.3">
      <c r="A28" t="s">
        <v>122</v>
      </c>
      <c r="B28" t="s">
        <v>123</v>
      </c>
      <c r="D28" s="7">
        <v>5.57</v>
      </c>
      <c r="E28" s="7">
        <v>8.2100000000000009</v>
      </c>
      <c r="F28" s="7">
        <v>5.23</v>
      </c>
      <c r="G28" s="7">
        <v>5.48</v>
      </c>
      <c r="H28" s="7">
        <v>7.63</v>
      </c>
    </row>
    <row r="29" spans="1:8" x14ac:dyDescent="0.3">
      <c r="A29" t="s">
        <v>124</v>
      </c>
      <c r="B29" t="s">
        <v>125</v>
      </c>
      <c r="D29" s="7">
        <v>31.53</v>
      </c>
      <c r="E29" s="7">
        <v>68.88</v>
      </c>
      <c r="F29" s="7">
        <v>27.83</v>
      </c>
      <c r="G29" s="7">
        <v>8.19</v>
      </c>
      <c r="H29" s="7">
        <v>20.41</v>
      </c>
    </row>
    <row r="30" spans="1:8" x14ac:dyDescent="0.3">
      <c r="A30" t="s">
        <v>126</v>
      </c>
      <c r="B30" t="s">
        <v>127</v>
      </c>
      <c r="D30" s="7">
        <v>102.26</v>
      </c>
      <c r="E30" s="7">
        <v>131.85</v>
      </c>
      <c r="F30" s="7">
        <v>98.99</v>
      </c>
      <c r="G30" s="7">
        <v>126.5</v>
      </c>
      <c r="H30" s="7">
        <v>191.69</v>
      </c>
    </row>
    <row r="31" spans="1:8" x14ac:dyDescent="0.3">
      <c r="A31" t="s">
        <v>128</v>
      </c>
      <c r="B31" t="s">
        <v>129</v>
      </c>
      <c r="D31" s="7">
        <v>133.79</v>
      </c>
      <c r="E31" s="7">
        <v>200.73</v>
      </c>
      <c r="F31" s="7">
        <v>126.82</v>
      </c>
      <c r="G31" s="7">
        <v>134.69</v>
      </c>
      <c r="H31" s="7">
        <v>212.1</v>
      </c>
    </row>
    <row r="32" spans="1:8" x14ac:dyDescent="0.3">
      <c r="A32" t="s">
        <v>130</v>
      </c>
      <c r="B32" t="s">
        <v>131</v>
      </c>
      <c r="D32" s="7">
        <v>31.47</v>
      </c>
      <c r="E32" s="7">
        <v>62.33</v>
      </c>
      <c r="F32" s="7">
        <v>70.7</v>
      </c>
      <c r="G32" s="7">
        <v>72.959999999999994</v>
      </c>
      <c r="H32" s="7">
        <v>22.69</v>
      </c>
    </row>
    <row r="33" spans="1:8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x14ac:dyDescent="0.3">
      <c r="A34" t="s">
        <v>134</v>
      </c>
      <c r="B34" t="s">
        <v>135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3">
      <c r="A35" t="s">
        <v>136</v>
      </c>
      <c r="D35" s="7"/>
      <c r="E35" s="7"/>
      <c r="F35" s="7"/>
      <c r="G35" s="7"/>
      <c r="H35" s="7"/>
    </row>
    <row r="36" spans="1:8" x14ac:dyDescent="0.3">
      <c r="A36" t="s">
        <v>137</v>
      </c>
      <c r="B36" t="s">
        <v>138</v>
      </c>
      <c r="D36" s="7">
        <v>52.52</v>
      </c>
      <c r="E36" s="7">
        <v>46.57</v>
      </c>
      <c r="F36" s="7">
        <v>67.44</v>
      </c>
      <c r="G36" s="7">
        <v>62.33</v>
      </c>
      <c r="H36" s="7">
        <v>72.790000000000006</v>
      </c>
    </row>
    <row r="37" spans="1:8" x14ac:dyDescent="0.3">
      <c r="A37" t="s">
        <v>139</v>
      </c>
      <c r="B37" t="s">
        <v>140</v>
      </c>
      <c r="D37" s="7">
        <v>81.47</v>
      </c>
      <c r="E37" s="7">
        <v>76.319999999999993</v>
      </c>
      <c r="F37" s="7">
        <v>30.03</v>
      </c>
      <c r="G37" s="7">
        <v>23.5</v>
      </c>
      <c r="H37" s="7">
        <v>43.31</v>
      </c>
    </row>
    <row r="38" spans="1:8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x14ac:dyDescent="0.3">
      <c r="A39" t="s">
        <v>143</v>
      </c>
      <c r="B39" t="s">
        <v>144</v>
      </c>
      <c r="D39" s="7">
        <v>40.24</v>
      </c>
      <c r="E39" s="7">
        <v>39.31</v>
      </c>
      <c r="F39" s="7">
        <v>42.11</v>
      </c>
      <c r="G39" s="7">
        <v>40.03</v>
      </c>
      <c r="H39" s="7">
        <v>48.53</v>
      </c>
    </row>
    <row r="40" spans="1:8" x14ac:dyDescent="0.3">
      <c r="A40" t="s">
        <v>145</v>
      </c>
      <c r="B40" t="s">
        <v>146</v>
      </c>
      <c r="D40" s="7">
        <v>13.77</v>
      </c>
      <c r="E40" s="7">
        <v>19.489999999999998</v>
      </c>
      <c r="F40" s="7">
        <v>25.62</v>
      </c>
      <c r="G40" s="7">
        <v>19.89</v>
      </c>
      <c r="H40" s="7">
        <v>21.23</v>
      </c>
    </row>
    <row r="41" spans="1:8" x14ac:dyDescent="0.3">
      <c r="A41" t="s">
        <v>147</v>
      </c>
      <c r="B41" t="s">
        <v>148</v>
      </c>
      <c r="D41" s="7">
        <v>1.28</v>
      </c>
      <c r="E41" s="7">
        <v>1.28</v>
      </c>
      <c r="F41" s="7">
        <v>42.23</v>
      </c>
      <c r="G41" s="7">
        <v>17.98</v>
      </c>
      <c r="H41" s="7">
        <v>28.31</v>
      </c>
    </row>
    <row r="42" spans="1:8" x14ac:dyDescent="0.3">
      <c r="A42" t="s">
        <v>149</v>
      </c>
      <c r="D42" s="7"/>
      <c r="E42" s="7"/>
      <c r="F42" s="7"/>
      <c r="G42" s="7"/>
      <c r="H42" s="7"/>
    </row>
    <row r="43" spans="1:8" x14ac:dyDescent="0.3">
      <c r="A43" t="s">
        <v>150</v>
      </c>
      <c r="B43" t="s">
        <v>151</v>
      </c>
      <c r="D43" s="7">
        <v>77.91</v>
      </c>
      <c r="E43" s="7">
        <v>66.760000000000005</v>
      </c>
      <c r="F43" s="7">
        <v>80.680000000000007</v>
      </c>
      <c r="G43" s="7">
        <v>89.06</v>
      </c>
      <c r="H43" s="7">
        <v>86.52</v>
      </c>
    </row>
    <row r="44" spans="1:8" x14ac:dyDescent="0.3">
      <c r="A44" t="s">
        <v>152</v>
      </c>
      <c r="B44" t="s">
        <v>153</v>
      </c>
      <c r="D44" s="7">
        <v>58.02</v>
      </c>
      <c r="E44" s="7">
        <v>35.619999999999997</v>
      </c>
      <c r="F44" s="7">
        <v>22.07</v>
      </c>
      <c r="G44" s="7">
        <v>21.35</v>
      </c>
      <c r="H44" s="7">
        <v>51.36</v>
      </c>
    </row>
    <row r="45" spans="1:8" x14ac:dyDescent="0.3">
      <c r="A45" t="s">
        <v>154</v>
      </c>
      <c r="B45" t="s">
        <v>155</v>
      </c>
      <c r="D45" s="7">
        <v>88.66</v>
      </c>
      <c r="E45" s="7">
        <v>91.56</v>
      </c>
      <c r="F45" s="7">
        <v>91.56</v>
      </c>
      <c r="G45" s="7">
        <v>91.37</v>
      </c>
      <c r="H45" s="7">
        <v>90.07</v>
      </c>
    </row>
    <row r="46" spans="1:8" x14ac:dyDescent="0.3">
      <c r="A46" t="s">
        <v>156</v>
      </c>
      <c r="B46" t="s">
        <v>157</v>
      </c>
      <c r="D46" s="7">
        <v>49.49</v>
      </c>
      <c r="E46" s="7">
        <v>60.85</v>
      </c>
      <c r="F46" s="7">
        <v>63.43</v>
      </c>
      <c r="G46" s="7">
        <v>56.98</v>
      </c>
      <c r="H46" s="7">
        <v>61.63</v>
      </c>
    </row>
    <row r="47" spans="1:8" x14ac:dyDescent="0.3">
      <c r="A47" t="s">
        <v>158</v>
      </c>
      <c r="B47" t="s">
        <v>159</v>
      </c>
      <c r="D47" s="7">
        <v>-2.06</v>
      </c>
      <c r="E47" s="7">
        <v>-0.85</v>
      </c>
      <c r="F47" s="7">
        <v>-0.85</v>
      </c>
      <c r="G47" s="7">
        <v>-19.5</v>
      </c>
      <c r="H47" s="7">
        <v>-15.53</v>
      </c>
    </row>
    <row r="48" spans="1:8" x14ac:dyDescent="0.3">
      <c r="A48" t="s">
        <v>160</v>
      </c>
      <c r="D48" s="7"/>
      <c r="E48" s="7"/>
      <c r="F48" s="7"/>
      <c r="G48" s="7"/>
      <c r="H48" s="7"/>
    </row>
    <row r="49" spans="1:8" x14ac:dyDescent="0.3">
      <c r="A49" t="s">
        <v>161</v>
      </c>
      <c r="B49" t="s">
        <v>162</v>
      </c>
      <c r="D49" s="7">
        <v>19.68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163</v>
      </c>
      <c r="B50" t="s">
        <v>164</v>
      </c>
      <c r="D50" s="7">
        <v>8.0399999999999991</v>
      </c>
      <c r="E50" s="7">
        <v>8.68</v>
      </c>
      <c r="F50" s="7">
        <v>10.64</v>
      </c>
      <c r="G50" s="7">
        <v>9.51</v>
      </c>
      <c r="H50" s="7">
        <v>37.18</v>
      </c>
    </row>
    <row r="51" spans="1:8" x14ac:dyDescent="0.3">
      <c r="A51" s="8" t="s">
        <v>165</v>
      </c>
      <c r="B51" s="8" t="s">
        <v>166</v>
      </c>
      <c r="C51" s="9">
        <v>16</v>
      </c>
      <c r="D51" s="7">
        <v>2.21</v>
      </c>
      <c r="E51" s="7">
        <v>2.13</v>
      </c>
      <c r="F51" s="7">
        <v>2.77</v>
      </c>
      <c r="G51" s="7">
        <v>2.72</v>
      </c>
      <c r="H51" s="7">
        <v>7.73</v>
      </c>
    </row>
    <row r="52" spans="1:8" x14ac:dyDescent="0.3">
      <c r="A52" t="s">
        <v>167</v>
      </c>
      <c r="B52" t="s">
        <v>168</v>
      </c>
      <c r="D52" s="7">
        <v>357.32</v>
      </c>
      <c r="E52" s="7">
        <v>338.25</v>
      </c>
      <c r="F52" s="7">
        <v>328.31</v>
      </c>
      <c r="G52" s="7">
        <v>860.23180965874258</v>
      </c>
      <c r="H52" s="7">
        <v>846.63403246705172</v>
      </c>
    </row>
    <row r="53" spans="1:8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170</v>
      </c>
      <c r="B54" t="s">
        <v>171</v>
      </c>
      <c r="D54" s="7">
        <v>0</v>
      </c>
      <c r="E54" s="7">
        <v>0</v>
      </c>
      <c r="F54" s="7">
        <v>0</v>
      </c>
      <c r="G54" s="7">
        <v>-23.142677620229339</v>
      </c>
      <c r="H54" s="7">
        <v>-22.108033950770814</v>
      </c>
    </row>
    <row r="55" spans="1:8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174</v>
      </c>
      <c r="B56" t="s">
        <v>175</v>
      </c>
      <c r="D56" s="7">
        <v>0</v>
      </c>
      <c r="E56" s="7">
        <v>0</v>
      </c>
      <c r="F56" s="7">
        <v>0</v>
      </c>
      <c r="G56" s="7">
        <v>50.604260877892138</v>
      </c>
      <c r="H56" s="7">
        <v>68.453276251041089</v>
      </c>
    </row>
    <row r="57" spans="1:8" x14ac:dyDescent="0.3">
      <c r="A57" t="s">
        <v>176</v>
      </c>
      <c r="B57" t="s">
        <v>177</v>
      </c>
      <c r="D57" s="7">
        <v>0</v>
      </c>
      <c r="E57" s="7">
        <v>0</v>
      </c>
      <c r="F57" s="7">
        <v>0</v>
      </c>
      <c r="G57" s="7">
        <v>72.538416742337191</v>
      </c>
      <c r="H57" s="7">
        <v>53.654757699729736</v>
      </c>
    </row>
    <row r="58" spans="1:8" x14ac:dyDescent="0.3">
      <c r="A58" t="s">
        <v>178</v>
      </c>
      <c r="D58" s="7"/>
      <c r="E58" s="7"/>
      <c r="F58" s="7"/>
      <c r="G58" s="7"/>
      <c r="H58" s="7"/>
    </row>
    <row r="59" spans="1:8" x14ac:dyDescent="0.3">
      <c r="A59" t="s">
        <v>179</v>
      </c>
      <c r="B59" t="s">
        <v>180</v>
      </c>
      <c r="D59" s="7">
        <v>0</v>
      </c>
      <c r="E59" s="7">
        <v>0</v>
      </c>
      <c r="F59" s="7">
        <v>0</v>
      </c>
      <c r="G59" s="7">
        <v>2.7953080233399699</v>
      </c>
      <c r="H59" s="7">
        <v>31.192535767110837</v>
      </c>
    </row>
    <row r="60" spans="1:8" x14ac:dyDescent="0.3">
      <c r="A60" t="s">
        <v>181</v>
      </c>
      <c r="B60" t="s">
        <v>182</v>
      </c>
      <c r="D60" s="7"/>
      <c r="E60" s="7"/>
      <c r="F60" s="7"/>
      <c r="G60" s="7">
        <v>-2.7953080233399699</v>
      </c>
      <c r="H60" s="7">
        <v>-31.192535767110837</v>
      </c>
    </row>
    <row r="61" spans="1:8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23.158939517208633</v>
      </c>
      <c r="H61" s="7">
        <v>18.554212970813037</v>
      </c>
    </row>
    <row r="62" spans="1:8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4.1907458462663261</v>
      </c>
      <c r="H62" s="7">
        <v>3.8428945140189144</v>
      </c>
    </row>
    <row r="63" spans="1:8" x14ac:dyDescent="0.3">
      <c r="A63" t="s">
        <v>353</v>
      </c>
      <c r="B63" t="s">
        <v>354</v>
      </c>
      <c r="C63" s="7"/>
      <c r="D63" s="7">
        <v>100</v>
      </c>
      <c r="E63" s="7">
        <v>100</v>
      </c>
      <c r="F63" s="7">
        <v>100</v>
      </c>
      <c r="G63" s="7">
        <v>100</v>
      </c>
      <c r="H63" s="7">
        <v>100</v>
      </c>
    </row>
    <row r="64" spans="1:8" x14ac:dyDescent="0.3">
      <c r="A64" t="s">
        <v>187</v>
      </c>
      <c r="D64" s="7"/>
      <c r="E64" s="7"/>
      <c r="F64" s="7"/>
      <c r="G64" s="7"/>
      <c r="H64" s="7"/>
    </row>
    <row r="65" spans="1:8" x14ac:dyDescent="0.3">
      <c r="A65" s="8" t="s">
        <v>188</v>
      </c>
      <c r="B65" s="8" t="s">
        <v>189</v>
      </c>
      <c r="C65" s="9">
        <v>1</v>
      </c>
      <c r="D65" s="7">
        <v>0</v>
      </c>
      <c r="E65" s="7">
        <v>0</v>
      </c>
      <c r="F65" s="7">
        <v>0.06</v>
      </c>
      <c r="G65" s="7">
        <v>7.0000000000000007E-2</v>
      </c>
      <c r="H65" s="7">
        <v>0.04</v>
      </c>
    </row>
    <row r="66" spans="1:8" x14ac:dyDescent="0.3">
      <c r="A66" s="8" t="s">
        <v>190</v>
      </c>
      <c r="B66" s="8" t="s">
        <v>191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192</v>
      </c>
      <c r="B67" s="8" t="s">
        <v>193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194</v>
      </c>
      <c r="D68" s="7"/>
      <c r="E68" s="7"/>
      <c r="F68" s="7"/>
      <c r="G68" s="7"/>
      <c r="H68" s="7"/>
    </row>
    <row r="69" spans="1:8" x14ac:dyDescent="0.3">
      <c r="A69" t="s">
        <v>195</v>
      </c>
      <c r="B69" t="s">
        <v>196</v>
      </c>
      <c r="D69" s="7">
        <v>33.93</v>
      </c>
      <c r="E69" s="7">
        <v>46.48</v>
      </c>
      <c r="F69" s="30">
        <v>48.42</v>
      </c>
      <c r="G69" s="30">
        <v>58.37</v>
      </c>
      <c r="H69" s="30">
        <v>48.38</v>
      </c>
    </row>
    <row r="70" spans="1:8" x14ac:dyDescent="0.3">
      <c r="A70" t="s">
        <v>197</v>
      </c>
      <c r="D70" s="7"/>
      <c r="E70" s="7"/>
      <c r="F70" s="7"/>
      <c r="G70" s="7"/>
      <c r="H70" s="7"/>
    </row>
    <row r="71" spans="1:8" x14ac:dyDescent="0.3">
      <c r="A71" t="s">
        <v>198</v>
      </c>
      <c r="B71" t="s">
        <v>199</v>
      </c>
      <c r="D71" s="7">
        <v>6.61</v>
      </c>
      <c r="E71" s="30">
        <v>5.94</v>
      </c>
      <c r="F71" s="7">
        <v>1.83</v>
      </c>
      <c r="G71" s="7">
        <v>2.0699999999999998</v>
      </c>
      <c r="H71" s="7">
        <v>1.88</v>
      </c>
    </row>
    <row r="72" spans="1:8" x14ac:dyDescent="0.3">
      <c r="A72" t="s">
        <v>200</v>
      </c>
      <c r="B72" t="s">
        <v>201</v>
      </c>
      <c r="D72" s="7">
        <v>6.76</v>
      </c>
      <c r="E72" s="30">
        <v>6.36</v>
      </c>
      <c r="F72" s="7">
        <v>1.97</v>
      </c>
      <c r="G72" s="7">
        <v>2.19</v>
      </c>
      <c r="H72" s="7">
        <v>1.93</v>
      </c>
    </row>
    <row r="73" spans="1:8" x14ac:dyDescent="0.3">
      <c r="A73" t="s">
        <v>304</v>
      </c>
      <c r="D73" s="7"/>
      <c r="E73" s="7"/>
      <c r="F73" s="7"/>
      <c r="G73" s="7"/>
      <c r="H73" s="7"/>
    </row>
    <row r="74" spans="1:8" x14ac:dyDescent="0.3">
      <c r="B74" t="s">
        <v>202</v>
      </c>
      <c r="D74" s="7">
        <v>73.849999999999994</v>
      </c>
      <c r="E74" s="7">
        <v>71.63</v>
      </c>
      <c r="F74" s="7">
        <v>74.290000000000006</v>
      </c>
      <c r="G74" s="7">
        <v>80.98</v>
      </c>
      <c r="H74" s="7">
        <v>83.76</v>
      </c>
    </row>
    <row r="75" spans="1:8" x14ac:dyDescent="0.3">
      <c r="B75" t="s">
        <v>203</v>
      </c>
      <c r="D75" s="7">
        <v>83.28</v>
      </c>
      <c r="E75" s="7">
        <v>85.14</v>
      </c>
      <c r="F75" s="7">
        <v>84.72</v>
      </c>
      <c r="G75" s="7">
        <v>88.68</v>
      </c>
      <c r="H75" s="7">
        <v>88.37</v>
      </c>
    </row>
    <row r="76" spans="1:8" x14ac:dyDescent="0.3">
      <c r="B76" t="s">
        <v>204</v>
      </c>
      <c r="D76" s="7">
        <v>50.85</v>
      </c>
      <c r="E76" s="7">
        <v>32.630000000000003</v>
      </c>
      <c r="F76" s="7">
        <v>46.06</v>
      </c>
      <c r="G76" s="7">
        <v>56</v>
      </c>
      <c r="H76" s="7">
        <v>64.7</v>
      </c>
    </row>
    <row r="77" spans="1:8" x14ac:dyDescent="0.3">
      <c r="A77" s="8" t="s">
        <v>36</v>
      </c>
      <c r="B77" s="8"/>
      <c r="C77" s="9">
        <v>47</v>
      </c>
      <c r="D77" s="7">
        <v>70.612465854862862</v>
      </c>
      <c r="E77" s="7">
        <v>67.63870595586414</v>
      </c>
      <c r="F77" s="30">
        <v>69.733517587299431</v>
      </c>
      <c r="G77" s="30">
        <v>70.946753235603026</v>
      </c>
      <c r="H77" s="30">
        <v>75.877778324205906</v>
      </c>
    </row>
    <row r="78" spans="1:8" x14ac:dyDescent="0.3">
      <c r="A78" s="31" t="s">
        <v>334</v>
      </c>
      <c r="B78" s="31"/>
      <c r="C78" s="63"/>
      <c r="D78" s="30">
        <v>66.716757184156549</v>
      </c>
      <c r="E78" s="30">
        <v>65.012508852312578</v>
      </c>
      <c r="F78" s="30">
        <v>65.924269129482951</v>
      </c>
      <c r="G78" s="30">
        <v>68.466904968649828</v>
      </c>
      <c r="H78" s="30">
        <v>72.663853080900608</v>
      </c>
    </row>
    <row r="79" spans="1:8" x14ac:dyDescent="0.3">
      <c r="A79" t="s">
        <v>267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205</v>
      </c>
      <c r="D80" s="7">
        <v>1.3728231854582433</v>
      </c>
      <c r="E80" s="7">
        <v>1.5308582449373191</v>
      </c>
      <c r="F80" s="30">
        <v>1.3227513227513228</v>
      </c>
      <c r="G80" s="30">
        <v>0.99300383660573233</v>
      </c>
      <c r="H80" s="30">
        <v>0.94573826693462593</v>
      </c>
    </row>
    <row r="81" spans="1:8" x14ac:dyDescent="0.3">
      <c r="A81">
        <v>9</v>
      </c>
      <c r="B81" t="s">
        <v>346</v>
      </c>
      <c r="D81" s="7">
        <v>0.58472098639888148</v>
      </c>
      <c r="E81" s="7">
        <v>1.2777242044358725</v>
      </c>
      <c r="F81" s="30">
        <v>1.0121923165401427</v>
      </c>
      <c r="G81" s="30">
        <v>1.0832769126607988</v>
      </c>
      <c r="H81" s="30">
        <v>1.3831422153918902</v>
      </c>
    </row>
    <row r="82" spans="1:8" x14ac:dyDescent="0.3">
      <c r="A82">
        <v>10</v>
      </c>
      <c r="B82" t="s">
        <v>206</v>
      </c>
      <c r="D82" s="7">
        <v>4.5125206559044102</v>
      </c>
      <c r="E82" s="7">
        <v>4.9541947926711671</v>
      </c>
      <c r="F82" s="30">
        <v>4.4973544973544977</v>
      </c>
      <c r="G82" s="30">
        <v>6.5109456104716763</v>
      </c>
      <c r="H82" s="30">
        <v>6.5728809551956493</v>
      </c>
    </row>
    <row r="83" spans="1:8" x14ac:dyDescent="0.3">
      <c r="A83">
        <v>12</v>
      </c>
      <c r="B83" t="s">
        <v>207</v>
      </c>
      <c r="D83" s="7">
        <v>0.61014363798144144</v>
      </c>
      <c r="E83" s="7">
        <v>1.1210221793635486</v>
      </c>
      <c r="F83" s="30">
        <v>1.2882447665056362</v>
      </c>
      <c r="G83" s="30">
        <v>1.1735499887158656</v>
      </c>
      <c r="H83" s="30">
        <v>1.7377940654923749</v>
      </c>
    </row>
    <row r="84" spans="1:8" x14ac:dyDescent="0.3">
      <c r="A84">
        <v>13</v>
      </c>
      <c r="B84" t="s">
        <v>355</v>
      </c>
      <c r="D84" s="7">
        <v>79.661878733951951</v>
      </c>
      <c r="E84" s="7">
        <v>80.038572806171643</v>
      </c>
      <c r="F84" s="30">
        <v>73.867034736599962</v>
      </c>
      <c r="G84" s="30">
        <v>76.991649740464908</v>
      </c>
      <c r="H84" s="30">
        <v>70.965835205106984</v>
      </c>
    </row>
    <row r="85" spans="1:8" x14ac:dyDescent="0.3">
      <c r="A85" t="s">
        <v>208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205</v>
      </c>
      <c r="D86" s="7">
        <v>89.11</v>
      </c>
      <c r="E86" s="7">
        <v>73.17</v>
      </c>
      <c r="F86" s="7">
        <v>75.27</v>
      </c>
      <c r="G86" s="7">
        <v>73.58</v>
      </c>
      <c r="H86" s="7">
        <v>75.150000000000006</v>
      </c>
    </row>
    <row r="87" spans="1:8" x14ac:dyDescent="0.3">
      <c r="A87">
        <v>9</v>
      </c>
      <c r="B87" t="s">
        <v>346</v>
      </c>
      <c r="D87" s="7">
        <v>73.81</v>
      </c>
      <c r="E87" s="7">
        <v>64.05</v>
      </c>
      <c r="F87" s="7">
        <v>82.9</v>
      </c>
      <c r="G87" s="7">
        <v>91.79</v>
      </c>
      <c r="H87" s="7">
        <v>81.95</v>
      </c>
    </row>
    <row r="88" spans="1:8" x14ac:dyDescent="0.3">
      <c r="A88">
        <v>10</v>
      </c>
      <c r="B88" t="s">
        <v>206</v>
      </c>
      <c r="D88" s="7">
        <v>77.78</v>
      </c>
      <c r="E88" s="7">
        <v>81.040000000000006</v>
      </c>
      <c r="F88" s="7">
        <v>80.37</v>
      </c>
      <c r="G88" s="7">
        <v>88.22</v>
      </c>
      <c r="H88" s="7">
        <v>86.5</v>
      </c>
    </row>
    <row r="89" spans="1:8" x14ac:dyDescent="0.3">
      <c r="A89">
        <v>12</v>
      </c>
      <c r="B89" t="s">
        <v>207</v>
      </c>
      <c r="D89" s="7">
        <v>73.760000000000005</v>
      </c>
      <c r="E89" s="7">
        <v>77.25</v>
      </c>
      <c r="F89" s="7">
        <v>74.12</v>
      </c>
      <c r="G89" s="7">
        <v>98.93</v>
      </c>
      <c r="H89" s="7">
        <v>93.75</v>
      </c>
    </row>
    <row r="90" spans="1:8" x14ac:dyDescent="0.3">
      <c r="A90">
        <v>13</v>
      </c>
      <c r="B90" t="s">
        <v>355</v>
      </c>
      <c r="D90" s="7">
        <v>81.67</v>
      </c>
      <c r="E90" s="7">
        <v>84.56</v>
      </c>
      <c r="F90" s="7">
        <v>85.37</v>
      </c>
      <c r="G90" s="7">
        <v>84.92</v>
      </c>
      <c r="H90" s="7">
        <v>86.75</v>
      </c>
    </row>
    <row r="91" spans="1:8" x14ac:dyDescent="0.3">
      <c r="B91" s="68" t="s">
        <v>358</v>
      </c>
      <c r="D91" s="7"/>
      <c r="E91" s="7"/>
      <c r="F91" s="7"/>
      <c r="G91" s="7"/>
      <c r="H91" s="7"/>
    </row>
    <row r="92" spans="1:8" x14ac:dyDescent="0.3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302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303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159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168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301</v>
      </c>
    </row>
    <row r="182" spans="2:8" x14ac:dyDescent="0.3">
      <c r="E182" s="31"/>
    </row>
    <row r="202" spans="2:2" x14ac:dyDescent="0.3">
      <c r="B202" s="39" t="s">
        <v>267</v>
      </c>
    </row>
    <row r="221" spans="2:2" x14ac:dyDescent="0.3">
      <c r="B221" s="39" t="s">
        <v>208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2022-06-11T16:02:49Z</dcterms:modified>
</cp:coreProperties>
</file>