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14916" windowHeight="4836" firstSheet="6" activeTab="10"/>
  </bookViews>
  <sheets>
    <sheet name="Entrate_Uscite" sheetId="2" r:id="rId1"/>
    <sheet name="Tav_Entrate" sheetId="7" r:id="rId2"/>
    <sheet name="Tav_Uscite" sheetId="8" r:id="rId3"/>
    <sheet name="Spese_missione" sheetId="14" r:id="rId4"/>
    <sheet name="Tav_Saldi" sheetId="9" r:id="rId5"/>
    <sheet name="Risultato_amministrazione" sheetId="1" r:id="rId6"/>
    <sheet name="Conto_economico" sheetId="6" r:id="rId7"/>
    <sheet name="Tav_contoeconomico" sheetId="10" r:id="rId8"/>
    <sheet name="Stato_patrimoniale" sheetId="5" r:id="rId9"/>
    <sheet name="Piano_indicatori" sheetId="4" r:id="rId10"/>
    <sheet name="Tav_indicatori" sheetId="12" r:id="rId11"/>
    <sheet name="Popolazione" sheetId="13" r:id="rId12"/>
  </sheets>
  <calcPr calcId="152511"/>
</workbook>
</file>

<file path=xl/calcChain.xml><?xml version="1.0" encoding="utf-8"?>
<calcChain xmlns="http://schemas.openxmlformats.org/spreadsheetml/2006/main">
  <c r="I9" i="12" l="1"/>
  <c r="I8" i="12"/>
  <c r="I7" i="12"/>
  <c r="I6" i="12"/>
  <c r="I5" i="12"/>
  <c r="I4" i="12"/>
  <c r="I3" i="12"/>
  <c r="I2" i="12"/>
  <c r="J7" i="10" l="1"/>
  <c r="K7" i="10" s="1"/>
  <c r="I7" i="10"/>
  <c r="H7" i="10"/>
  <c r="G7" i="10"/>
  <c r="F7" i="10"/>
  <c r="E7" i="10"/>
  <c r="D7" i="10"/>
  <c r="C7" i="10"/>
  <c r="B7" i="10"/>
  <c r="C15" i="10"/>
  <c r="C13" i="10"/>
  <c r="C12" i="10"/>
  <c r="C11" i="10"/>
  <c r="C9" i="10"/>
  <c r="C8" i="10"/>
  <c r="C6" i="10"/>
  <c r="C5" i="10"/>
  <c r="C4" i="10"/>
  <c r="C3" i="10"/>
  <c r="C2" i="10"/>
  <c r="C10" i="10" l="1"/>
  <c r="C14" i="10" s="1"/>
  <c r="C16" i="10" s="1"/>
  <c r="E45" i="14"/>
  <c r="F45" i="14"/>
  <c r="G45" i="14"/>
  <c r="H45" i="14"/>
  <c r="I45" i="14"/>
  <c r="J45" i="14"/>
  <c r="K45" i="14"/>
  <c r="L45" i="14"/>
  <c r="D45" i="14"/>
  <c r="E37" i="14"/>
  <c r="F37" i="14"/>
  <c r="G37" i="14"/>
  <c r="G38" i="14" s="1"/>
  <c r="H37" i="14"/>
  <c r="I37" i="14"/>
  <c r="J37" i="14"/>
  <c r="J38" i="14" s="1"/>
  <c r="K37" i="14"/>
  <c r="L37" i="14"/>
  <c r="E38" i="14"/>
  <c r="F38" i="14"/>
  <c r="H38" i="14"/>
  <c r="I38" i="14"/>
  <c r="K38" i="14"/>
  <c r="L38" i="14"/>
  <c r="D38" i="14"/>
  <c r="D37" i="14"/>
  <c r="C54" i="14"/>
  <c r="C51" i="14"/>
  <c r="C52" i="14"/>
  <c r="C53" i="14"/>
  <c r="C50" i="14"/>
  <c r="C49" i="14"/>
  <c r="C48" i="14"/>
  <c r="C47" i="14"/>
  <c r="B6" i="1" l="1"/>
  <c r="C16" i="6"/>
  <c r="C14" i="6"/>
  <c r="C4" i="6"/>
  <c r="D21" i="6"/>
  <c r="D10" i="6"/>
  <c r="D28" i="6" s="1"/>
  <c r="B22" i="5"/>
  <c r="B27" i="5"/>
  <c r="B24" i="5"/>
  <c r="B21" i="5"/>
  <c r="B13" i="5"/>
  <c r="B6" i="5"/>
  <c r="B5" i="5"/>
  <c r="C30" i="5"/>
  <c r="C27" i="5"/>
  <c r="C21" i="5"/>
  <c r="C29" i="5" s="1"/>
  <c r="C6" i="5"/>
  <c r="C5" i="5"/>
  <c r="C15" i="5" s="1"/>
  <c r="C52" i="1"/>
  <c r="C24" i="1"/>
  <c r="C20" i="1"/>
  <c r="C14" i="1"/>
  <c r="C7" i="1"/>
  <c r="C22" i="1" s="1"/>
  <c r="C6" i="1"/>
  <c r="D43" i="14"/>
  <c r="D44" i="14" s="1"/>
  <c r="E40" i="14" s="1"/>
  <c r="E43" i="14" s="1"/>
  <c r="E44" i="14" s="1"/>
  <c r="F40" i="14" s="1"/>
  <c r="F43" i="14" s="1"/>
  <c r="F44" i="14" s="1"/>
  <c r="G43" i="14" s="1"/>
  <c r="G44" i="14" s="1"/>
  <c r="H40" i="14" s="1"/>
  <c r="H43" i="14" s="1"/>
  <c r="H44" i="14" s="1"/>
  <c r="I40" i="14" s="1"/>
  <c r="I43" i="14" s="1"/>
  <c r="I44" i="14" s="1"/>
  <c r="J40" i="14" s="1"/>
  <c r="J43" i="14" s="1"/>
  <c r="J44" i="14" s="1"/>
  <c r="K40" i="14" s="1"/>
  <c r="D25" i="14"/>
  <c r="D26" i="14" s="1"/>
  <c r="E25" i="14"/>
  <c r="E26" i="14" s="1"/>
  <c r="F25" i="14"/>
  <c r="K43" i="14" l="1"/>
  <c r="K44" i="14" s="1"/>
  <c r="L40" i="14" s="1"/>
  <c r="L43" i="14" s="1"/>
  <c r="L44" i="14" s="1"/>
  <c r="F26" i="14"/>
  <c r="L25" i="14" l="1"/>
  <c r="K25" i="14"/>
  <c r="J25" i="14"/>
  <c r="I25" i="14"/>
  <c r="H25" i="14"/>
  <c r="H26" i="14" s="1"/>
  <c r="G25" i="14"/>
  <c r="G26" i="14" s="1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N2" i="14"/>
  <c r="I26" i="14" l="1"/>
  <c r="J26" i="14"/>
  <c r="N25" i="14"/>
  <c r="L26" i="14"/>
  <c r="K26" i="14"/>
  <c r="G4" i="13"/>
  <c r="G5" i="13"/>
  <c r="G3" i="13"/>
  <c r="C2" i="13"/>
  <c r="M4" i="14" l="1"/>
  <c r="M12" i="14"/>
  <c r="M20" i="14"/>
  <c r="M5" i="14"/>
  <c r="D48" i="14" s="1"/>
  <c r="M13" i="14"/>
  <c r="D51" i="14" s="1"/>
  <c r="M21" i="14"/>
  <c r="M14" i="14"/>
  <c r="D52" i="14" s="1"/>
  <c r="M7" i="14"/>
  <c r="M15" i="14"/>
  <c r="D53" i="14" s="1"/>
  <c r="M26" i="14"/>
  <c r="M8" i="14"/>
  <c r="M16" i="14"/>
  <c r="M2" i="14"/>
  <c r="D47" i="14" s="1"/>
  <c r="M9" i="14"/>
  <c r="M17" i="14"/>
  <c r="M10" i="14"/>
  <c r="D49" i="14" s="1"/>
  <c r="M18" i="14"/>
  <c r="M3" i="14"/>
  <c r="M11" i="14"/>
  <c r="D50" i="14" s="1"/>
  <c r="M19" i="14"/>
  <c r="D54" i="14" s="1"/>
  <c r="M6" i="14"/>
  <c r="M22" i="14"/>
  <c r="N26" i="14"/>
  <c r="I52" i="4"/>
  <c r="I81" i="4" l="1"/>
  <c r="I82" i="4"/>
  <c r="I83" i="4"/>
  <c r="I84" i="4"/>
  <c r="I80" i="4"/>
  <c r="J21" i="5" l="1"/>
  <c r="D30" i="5"/>
  <c r="E30" i="5"/>
  <c r="F30" i="5"/>
  <c r="G30" i="5"/>
  <c r="H30" i="5"/>
  <c r="I30" i="5"/>
  <c r="J30" i="5"/>
  <c r="B30" i="5"/>
  <c r="I21" i="5" l="1"/>
  <c r="I29" i="5" s="1"/>
  <c r="I15" i="5"/>
  <c r="I15" i="10"/>
  <c r="I13" i="10"/>
  <c r="I12" i="10"/>
  <c r="I11" i="10"/>
  <c r="I9" i="10"/>
  <c r="I8" i="10"/>
  <c r="I6" i="10"/>
  <c r="I4" i="10"/>
  <c r="I3" i="10"/>
  <c r="I31" i="5" l="1"/>
  <c r="L27" i="6"/>
  <c r="L26" i="6"/>
  <c r="L25" i="6"/>
  <c r="L24" i="6"/>
  <c r="L23" i="6"/>
  <c r="L22" i="6"/>
  <c r="L20" i="6"/>
  <c r="L19" i="6"/>
  <c r="L18" i="6"/>
  <c r="L17" i="6"/>
  <c r="L16" i="6"/>
  <c r="L15" i="6"/>
  <c r="L14" i="6"/>
  <c r="L13" i="6"/>
  <c r="L12" i="6"/>
  <c r="L11" i="6"/>
  <c r="L9" i="6"/>
  <c r="L8" i="6"/>
  <c r="L7" i="6"/>
  <c r="L6" i="6"/>
  <c r="L5" i="6"/>
  <c r="L4" i="6"/>
  <c r="L3" i="6"/>
  <c r="L2" i="6"/>
  <c r="K21" i="6"/>
  <c r="K10" i="6"/>
  <c r="L10" i="6" s="1"/>
  <c r="J21" i="6"/>
  <c r="I5" i="10" s="1"/>
  <c r="J10" i="6"/>
  <c r="J6" i="1"/>
  <c r="I52" i="1"/>
  <c r="I24" i="1"/>
  <c r="I20" i="1"/>
  <c r="I14" i="1"/>
  <c r="I6" i="1"/>
  <c r="I7" i="1" s="1"/>
  <c r="L21" i="6" l="1"/>
  <c r="I22" i="1"/>
  <c r="J28" i="6"/>
  <c r="I2" i="10"/>
  <c r="I10" i="10" s="1"/>
  <c r="I14" i="10" s="1"/>
  <c r="I16" i="10" s="1"/>
  <c r="K28" i="6"/>
  <c r="L28" i="6" s="1"/>
  <c r="J29" i="8"/>
  <c r="J26" i="8"/>
  <c r="J25" i="8"/>
  <c r="J24" i="8"/>
  <c r="J23" i="8"/>
  <c r="J22" i="8"/>
  <c r="J19" i="8"/>
  <c r="J18" i="8"/>
  <c r="J17" i="8"/>
  <c r="J16" i="8"/>
  <c r="J14" i="8"/>
  <c r="J13" i="8"/>
  <c r="J12" i="8"/>
  <c r="J11" i="8"/>
  <c r="J9" i="8"/>
  <c r="J8" i="8"/>
  <c r="J7" i="8"/>
  <c r="J6" i="8"/>
  <c r="J5" i="8"/>
  <c r="J4" i="8"/>
  <c r="J3" i="8"/>
  <c r="J2" i="8"/>
  <c r="K22" i="8"/>
  <c r="K18" i="8"/>
  <c r="K13" i="8"/>
  <c r="G26" i="8"/>
  <c r="K26" i="8" s="1"/>
  <c r="G25" i="8"/>
  <c r="K25" i="8" s="1"/>
  <c r="G24" i="8"/>
  <c r="G23" i="8"/>
  <c r="G22" i="8"/>
  <c r="G19" i="8"/>
  <c r="G18" i="8"/>
  <c r="G17" i="8"/>
  <c r="G16" i="8"/>
  <c r="G14" i="8"/>
  <c r="G13" i="8"/>
  <c r="G12" i="8"/>
  <c r="G11" i="8"/>
  <c r="G9" i="8"/>
  <c r="K9" i="8" s="1"/>
  <c r="G8" i="8"/>
  <c r="K8" i="8" s="1"/>
  <c r="G7" i="8"/>
  <c r="K7" i="8" s="1"/>
  <c r="G6" i="8"/>
  <c r="K6" i="8" s="1"/>
  <c r="G5" i="8"/>
  <c r="G4" i="8"/>
  <c r="G3" i="8"/>
  <c r="G2" i="8"/>
  <c r="K19" i="7"/>
  <c r="K9" i="7"/>
  <c r="K7" i="7"/>
  <c r="K3" i="7"/>
  <c r="J19" i="7"/>
  <c r="J18" i="7"/>
  <c r="J17" i="7"/>
  <c r="J14" i="7"/>
  <c r="J12" i="7"/>
  <c r="J10" i="7"/>
  <c r="J9" i="7"/>
  <c r="J8" i="7"/>
  <c r="J7" i="7"/>
  <c r="J6" i="7"/>
  <c r="J4" i="7"/>
  <c r="J3" i="7"/>
  <c r="J2" i="7"/>
  <c r="G19" i="7"/>
  <c r="G18" i="7"/>
  <c r="G17" i="7"/>
  <c r="G14" i="7"/>
  <c r="G12" i="7"/>
  <c r="G10" i="7"/>
  <c r="G9" i="7"/>
  <c r="G8" i="7"/>
  <c r="G7" i="7"/>
  <c r="G6" i="7"/>
  <c r="G4" i="7"/>
  <c r="G3" i="7"/>
  <c r="G2" i="7"/>
  <c r="K14" i="8" l="1"/>
  <c r="K17" i="8"/>
  <c r="K19" i="8"/>
  <c r="K6" i="7"/>
  <c r="K8" i="7"/>
  <c r="K10" i="7"/>
  <c r="K17" i="7"/>
  <c r="K23" i="8"/>
  <c r="K3" i="8"/>
  <c r="K5" i="8"/>
  <c r="K12" i="8"/>
  <c r="G5" i="7"/>
  <c r="K2" i="7"/>
  <c r="K4" i="7"/>
  <c r="K12" i="7"/>
  <c r="K14" i="7"/>
  <c r="K18" i="7"/>
  <c r="G10" i="8"/>
  <c r="G21" i="8" s="1"/>
  <c r="G15" i="8"/>
  <c r="G20" i="8"/>
  <c r="K2" i="8"/>
  <c r="K4" i="8"/>
  <c r="K11" i="8"/>
  <c r="K16" i="8"/>
  <c r="K24" i="8"/>
  <c r="G27" i="8"/>
  <c r="G11" i="7"/>
  <c r="S23" i="2"/>
  <c r="R12" i="2"/>
  <c r="J13" i="7" s="1"/>
  <c r="R16" i="2"/>
  <c r="Q12" i="2"/>
  <c r="G13" i="7" s="1"/>
  <c r="U55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19" i="2"/>
  <c r="T19" i="2"/>
  <c r="U18" i="2"/>
  <c r="T18" i="2"/>
  <c r="U17" i="2"/>
  <c r="T17" i="2"/>
  <c r="U13" i="2"/>
  <c r="T13" i="2"/>
  <c r="U11" i="2"/>
  <c r="T11" i="2"/>
  <c r="U10" i="2"/>
  <c r="T10" i="2"/>
  <c r="U9" i="2"/>
  <c r="T9" i="2"/>
  <c r="U8" i="2"/>
  <c r="T8" i="2"/>
  <c r="U7" i="2"/>
  <c r="T7" i="2"/>
  <c r="U6" i="2"/>
  <c r="T6" i="2"/>
  <c r="U5" i="2"/>
  <c r="T5" i="2"/>
  <c r="U4" i="2"/>
  <c r="T4" i="2"/>
  <c r="U3" i="2"/>
  <c r="T3" i="2"/>
  <c r="Q55" i="2"/>
  <c r="R54" i="2"/>
  <c r="J28" i="8" s="1"/>
  <c r="Q54" i="2"/>
  <c r="G28" i="8" s="1"/>
  <c r="R53" i="2"/>
  <c r="Q53" i="2"/>
  <c r="R52" i="2"/>
  <c r="Q52" i="2"/>
  <c r="R51" i="2"/>
  <c r="Q51" i="2"/>
  <c r="S51" i="2" s="1"/>
  <c r="R50" i="2"/>
  <c r="Q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6" i="2"/>
  <c r="S25" i="2"/>
  <c r="S24" i="2"/>
  <c r="S19" i="2"/>
  <c r="S18" i="2"/>
  <c r="S17" i="2"/>
  <c r="R15" i="2"/>
  <c r="Q15" i="2"/>
  <c r="R14" i="2"/>
  <c r="Q14" i="2"/>
  <c r="S13" i="2"/>
  <c r="Q16" i="2"/>
  <c r="S11" i="2"/>
  <c r="S10" i="2"/>
  <c r="S9" i="2"/>
  <c r="S8" i="2"/>
  <c r="S7" i="2"/>
  <c r="S6" i="2"/>
  <c r="S5" i="2"/>
  <c r="S4" i="2"/>
  <c r="S3" i="2"/>
  <c r="K28" i="8" l="1"/>
  <c r="S54" i="2"/>
  <c r="K13" i="7"/>
  <c r="G15" i="7"/>
  <c r="G4" i="9"/>
  <c r="S55" i="2"/>
  <c r="G29" i="8"/>
  <c r="K29" i="8" s="1"/>
  <c r="I4" i="9"/>
  <c r="G30" i="8"/>
  <c r="G31" i="8" s="1"/>
  <c r="H10" i="8"/>
  <c r="S53" i="2"/>
  <c r="R58" i="2"/>
  <c r="S52" i="2"/>
  <c r="Q59" i="2"/>
  <c r="G3" i="9" s="1"/>
  <c r="Q58" i="2"/>
  <c r="R63" i="2"/>
  <c r="S15" i="2"/>
  <c r="S16" i="2"/>
  <c r="Q20" i="2"/>
  <c r="Q56" i="2"/>
  <c r="R20" i="2"/>
  <c r="S50" i="2"/>
  <c r="R56" i="2"/>
  <c r="R59" i="2"/>
  <c r="I3" i="9" s="1"/>
  <c r="S12" i="2"/>
  <c r="Q60" i="2"/>
  <c r="R60" i="2"/>
  <c r="S14" i="2"/>
  <c r="R62" i="2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2" i="7"/>
  <c r="E10" i="7"/>
  <c r="E9" i="7"/>
  <c r="E8" i="7"/>
  <c r="E7" i="7"/>
  <c r="E6" i="7"/>
  <c r="E4" i="7"/>
  <c r="E3" i="7"/>
  <c r="E2" i="7"/>
  <c r="N55" i="2"/>
  <c r="T55" i="2" s="1"/>
  <c r="O54" i="2"/>
  <c r="U54" i="2" s="1"/>
  <c r="N54" i="2"/>
  <c r="T54" i="2" s="1"/>
  <c r="O53" i="2"/>
  <c r="U53" i="2" s="1"/>
  <c r="N53" i="2"/>
  <c r="T53" i="2" s="1"/>
  <c r="O52" i="2"/>
  <c r="U52" i="2" s="1"/>
  <c r="N52" i="2"/>
  <c r="T52" i="2" s="1"/>
  <c r="O51" i="2"/>
  <c r="U51" i="2" s="1"/>
  <c r="N51" i="2"/>
  <c r="T51" i="2" s="1"/>
  <c r="O50" i="2"/>
  <c r="U50" i="2" s="1"/>
  <c r="N50" i="2"/>
  <c r="T50" i="2" s="1"/>
  <c r="O15" i="2"/>
  <c r="U15" i="2" s="1"/>
  <c r="N15" i="2"/>
  <c r="T15" i="2" s="1"/>
  <c r="O14" i="2"/>
  <c r="U14" i="2" s="1"/>
  <c r="N14" i="2"/>
  <c r="T14" i="2" s="1"/>
  <c r="O12" i="2"/>
  <c r="N12" i="2"/>
  <c r="T12" i="2" s="1"/>
  <c r="N16" i="2" l="1"/>
  <c r="T16" i="2" s="1"/>
  <c r="I5" i="9"/>
  <c r="I2" i="9"/>
  <c r="H26" i="8"/>
  <c r="H16" i="8"/>
  <c r="H8" i="8"/>
  <c r="H6" i="8"/>
  <c r="H2" i="8"/>
  <c r="H31" i="8"/>
  <c r="H4" i="8"/>
  <c r="H3" i="8"/>
  <c r="H14" i="8"/>
  <c r="H19" i="8"/>
  <c r="H7" i="8"/>
  <c r="H18" i="8"/>
  <c r="H24" i="8"/>
  <c r="H12" i="8"/>
  <c r="H5" i="8"/>
  <c r="H17" i="8"/>
  <c r="H23" i="8"/>
  <c r="H9" i="8"/>
  <c r="H25" i="8"/>
  <c r="H13" i="8"/>
  <c r="H22" i="8"/>
  <c r="H11" i="8"/>
  <c r="H15" i="8"/>
  <c r="G20" i="7"/>
  <c r="G16" i="7"/>
  <c r="O16" i="2"/>
  <c r="U16" i="2" s="1"/>
  <c r="U12" i="2"/>
  <c r="G5" i="9"/>
  <c r="L27" i="14"/>
  <c r="G2" i="9"/>
  <c r="H20" i="8"/>
  <c r="H27" i="8"/>
  <c r="H28" i="8"/>
  <c r="H21" i="8"/>
  <c r="R57" i="2"/>
  <c r="R21" i="2"/>
  <c r="E5" i="7"/>
  <c r="E15" i="8"/>
  <c r="Q57" i="2"/>
  <c r="S56" i="2"/>
  <c r="Q21" i="2"/>
  <c r="S20" i="2"/>
  <c r="E20" i="8"/>
  <c r="E27" i="8"/>
  <c r="E10" i="8"/>
  <c r="E11" i="7"/>
  <c r="O20" i="2"/>
  <c r="U20" i="2" s="1"/>
  <c r="N20" i="2"/>
  <c r="T20" i="2" s="1"/>
  <c r="G21" i="7" l="1"/>
  <c r="H16" i="7" s="1"/>
  <c r="S57" i="2"/>
  <c r="R61" i="2"/>
  <c r="E21" i="8"/>
  <c r="S21" i="2"/>
  <c r="Q61" i="2"/>
  <c r="N21" i="2"/>
  <c r="T21" i="2" s="1"/>
  <c r="O21" i="2"/>
  <c r="U21" i="2" s="1"/>
  <c r="I6" i="9" l="1"/>
  <c r="H9" i="7"/>
  <c r="H21" i="7"/>
  <c r="H7" i="7"/>
  <c r="H3" i="7"/>
  <c r="H17" i="7"/>
  <c r="H4" i="7"/>
  <c r="H14" i="7"/>
  <c r="H6" i="7"/>
  <c r="H8" i="7"/>
  <c r="H10" i="7"/>
  <c r="H12" i="7"/>
  <c r="H18" i="7"/>
  <c r="H2" i="7"/>
  <c r="H5" i="7"/>
  <c r="H13" i="7"/>
  <c r="H11" i="7"/>
  <c r="H15" i="7"/>
  <c r="G6" i="9"/>
  <c r="K55" i="2"/>
  <c r="L54" i="2"/>
  <c r="K54" i="2"/>
  <c r="L53" i="2"/>
  <c r="K53" i="2"/>
  <c r="M53" i="2" s="1"/>
  <c r="L52" i="2"/>
  <c r="K52" i="2"/>
  <c r="M52" i="2" s="1"/>
  <c r="L51" i="2"/>
  <c r="K51" i="2"/>
  <c r="M51" i="2" s="1"/>
  <c r="L50" i="2"/>
  <c r="K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L15" i="2"/>
  <c r="L59" i="2" s="1"/>
  <c r="K15" i="2"/>
  <c r="K59" i="2" s="1"/>
  <c r="E3" i="9" s="1"/>
  <c r="L14" i="2"/>
  <c r="L58" i="2" s="1"/>
  <c r="K14" i="2"/>
  <c r="K58" i="2" s="1"/>
  <c r="E2" i="9" s="1"/>
  <c r="M13" i="2"/>
  <c r="L12" i="2"/>
  <c r="L16" i="2" s="1"/>
  <c r="K12" i="2"/>
  <c r="M11" i="2"/>
  <c r="M10" i="2"/>
  <c r="M9" i="2"/>
  <c r="M8" i="2"/>
  <c r="M7" i="2"/>
  <c r="M6" i="2"/>
  <c r="M5" i="2"/>
  <c r="M4" i="2"/>
  <c r="M3" i="2"/>
  <c r="H21" i="5"/>
  <c r="H29" i="5" s="1"/>
  <c r="H15" i="5"/>
  <c r="H15" i="10"/>
  <c r="H13" i="10"/>
  <c r="H12" i="10"/>
  <c r="H11" i="10"/>
  <c r="H9" i="10"/>
  <c r="H8" i="10"/>
  <c r="H6" i="10"/>
  <c r="H4" i="10"/>
  <c r="H3" i="10"/>
  <c r="I21" i="6"/>
  <c r="H5" i="10" s="1"/>
  <c r="I10" i="6"/>
  <c r="H52" i="1"/>
  <c r="H24" i="1"/>
  <c r="H20" i="1"/>
  <c r="H14" i="1"/>
  <c r="H6" i="1"/>
  <c r="H7" i="1" s="1"/>
  <c r="H22" i="1" s="1"/>
  <c r="M54" i="2" l="1"/>
  <c r="E28" i="8"/>
  <c r="M55" i="2"/>
  <c r="E29" i="8"/>
  <c r="I28" i="6"/>
  <c r="M12" i="2"/>
  <c r="E13" i="7"/>
  <c r="E15" i="7" s="1"/>
  <c r="L63" i="2"/>
  <c r="H31" i="5"/>
  <c r="H2" i="10"/>
  <c r="H10" i="10" s="1"/>
  <c r="H14" i="10" s="1"/>
  <c r="H16" i="10" s="1"/>
  <c r="K56" i="2"/>
  <c r="J27" i="14" s="1"/>
  <c r="L20" i="2"/>
  <c r="L21" i="2" s="1"/>
  <c r="L56" i="2"/>
  <c r="L57" i="2" s="1"/>
  <c r="K16" i="2"/>
  <c r="E4" i="9" s="1"/>
  <c r="L60" i="2"/>
  <c r="M50" i="2"/>
  <c r="M14" i="2"/>
  <c r="L62" i="2"/>
  <c r="M15" i="2"/>
  <c r="C3" i="13"/>
  <c r="E20" i="7" l="1"/>
  <c r="E21" i="7" s="1"/>
  <c r="E16" i="7"/>
  <c r="E30" i="8"/>
  <c r="E31" i="8" s="1"/>
  <c r="L61" i="2"/>
  <c r="K20" i="2"/>
  <c r="M16" i="2"/>
  <c r="K60" i="2"/>
  <c r="E5" i="9" s="1"/>
  <c r="M56" i="2"/>
  <c r="K57" i="2"/>
  <c r="M57" i="2" s="1"/>
  <c r="G9" i="12"/>
  <c r="G8" i="12"/>
  <c r="G7" i="12"/>
  <c r="G6" i="12"/>
  <c r="G5" i="12"/>
  <c r="G4" i="12"/>
  <c r="G3" i="12"/>
  <c r="G2" i="12"/>
  <c r="M20" i="2" l="1"/>
  <c r="K21" i="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2" i="7"/>
  <c r="D10" i="7"/>
  <c r="D9" i="7"/>
  <c r="D8" i="7"/>
  <c r="D7" i="7"/>
  <c r="D6" i="7"/>
  <c r="D4" i="7"/>
  <c r="D3" i="7"/>
  <c r="D2" i="7"/>
  <c r="O59" i="2"/>
  <c r="U59" i="2" s="1"/>
  <c r="F4" i="9"/>
  <c r="H4" i="9" s="1"/>
  <c r="H55" i="2"/>
  <c r="I54" i="2"/>
  <c r="H54" i="2"/>
  <c r="J54" i="2" s="1"/>
  <c r="I53" i="2"/>
  <c r="H53" i="2"/>
  <c r="J53" i="2" s="1"/>
  <c r="I52" i="2"/>
  <c r="H52" i="2"/>
  <c r="J52" i="2" s="1"/>
  <c r="I51" i="2"/>
  <c r="H51" i="2"/>
  <c r="I50" i="2"/>
  <c r="H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5" i="2"/>
  <c r="I59" i="2" s="1"/>
  <c r="H15" i="2"/>
  <c r="I14" i="2"/>
  <c r="H14" i="2"/>
  <c r="J13" i="2"/>
  <c r="I12" i="2"/>
  <c r="I16" i="2" s="1"/>
  <c r="H12" i="2"/>
  <c r="H16" i="2" s="1"/>
  <c r="D4" i="9" s="1"/>
  <c r="J11" i="2"/>
  <c r="J10" i="2"/>
  <c r="J9" i="2"/>
  <c r="J8" i="2"/>
  <c r="J7" i="2"/>
  <c r="J6" i="2"/>
  <c r="J5" i="2"/>
  <c r="J4" i="2"/>
  <c r="J3" i="2"/>
  <c r="C4" i="13"/>
  <c r="I62" i="2" l="1"/>
  <c r="M21" i="2"/>
  <c r="K61" i="2"/>
  <c r="E6" i="9" s="1"/>
  <c r="J15" i="2"/>
  <c r="O63" i="2"/>
  <c r="H59" i="2"/>
  <c r="D27" i="8"/>
  <c r="O60" i="2"/>
  <c r="U60" i="2" s="1"/>
  <c r="N59" i="2"/>
  <c r="O62" i="2"/>
  <c r="H58" i="2"/>
  <c r="I58" i="2"/>
  <c r="I60" i="2"/>
  <c r="H56" i="2"/>
  <c r="I56" i="2"/>
  <c r="N58" i="2"/>
  <c r="T58" i="2" s="1"/>
  <c r="N60" i="2"/>
  <c r="T60" i="2" s="1"/>
  <c r="I63" i="2"/>
  <c r="H60" i="2"/>
  <c r="J51" i="2"/>
  <c r="O58" i="2"/>
  <c r="U58" i="2" s="1"/>
  <c r="D28" i="8"/>
  <c r="D29" i="8"/>
  <c r="J16" i="2"/>
  <c r="J55" i="2"/>
  <c r="D13" i="7"/>
  <c r="D15" i="7" s="1"/>
  <c r="D10" i="8"/>
  <c r="D20" i="8"/>
  <c r="D15" i="8"/>
  <c r="D5" i="7"/>
  <c r="D11" i="7"/>
  <c r="J56" i="2"/>
  <c r="J12" i="2"/>
  <c r="J14" i="2"/>
  <c r="I20" i="2"/>
  <c r="J50" i="2"/>
  <c r="H20" i="2"/>
  <c r="H57" i="2" l="1"/>
  <c r="I27" i="14"/>
  <c r="F3" i="9"/>
  <c r="H3" i="9" s="1"/>
  <c r="T59" i="2"/>
  <c r="F2" i="9"/>
  <c r="H2" i="9" s="1"/>
  <c r="F5" i="9"/>
  <c r="H5" i="9" s="1"/>
  <c r="D3" i="9"/>
  <c r="D16" i="7"/>
  <c r="I21" i="2"/>
  <c r="D2" i="9"/>
  <c r="D21" i="8"/>
  <c r="D30" i="8"/>
  <c r="D5" i="9"/>
  <c r="I57" i="2"/>
  <c r="D20" i="7"/>
  <c r="J20" i="2"/>
  <c r="H21" i="2"/>
  <c r="I61" i="2" l="1"/>
  <c r="H61" i="2"/>
  <c r="D6" i="9" s="1"/>
  <c r="D21" i="7"/>
  <c r="J57" i="2"/>
  <c r="D31" i="8"/>
  <c r="J21" i="2"/>
  <c r="J29" i="5" l="1"/>
  <c r="J15" i="5"/>
  <c r="J15" i="10"/>
  <c r="K15" i="10" s="1"/>
  <c r="J13" i="10"/>
  <c r="K13" i="10" s="1"/>
  <c r="J12" i="10"/>
  <c r="K12" i="10" s="1"/>
  <c r="J11" i="10"/>
  <c r="K11" i="10" s="1"/>
  <c r="J9" i="10"/>
  <c r="K9" i="10" s="1"/>
  <c r="J8" i="10"/>
  <c r="K8" i="10" s="1"/>
  <c r="J6" i="10"/>
  <c r="K6" i="10" s="1"/>
  <c r="J4" i="10"/>
  <c r="K4" i="10" s="1"/>
  <c r="J3" i="10"/>
  <c r="K3" i="10" s="1"/>
  <c r="J7" i="1"/>
  <c r="J52" i="1"/>
  <c r="J24" i="1"/>
  <c r="J20" i="1"/>
  <c r="J14" i="1"/>
  <c r="G52" i="1"/>
  <c r="F52" i="1"/>
  <c r="E52" i="1"/>
  <c r="B52" i="1"/>
  <c r="G24" i="1"/>
  <c r="F24" i="1"/>
  <c r="E24" i="1"/>
  <c r="D24" i="1"/>
  <c r="B24" i="1"/>
  <c r="G9" i="13"/>
  <c r="G8" i="13"/>
  <c r="C8" i="13"/>
  <c r="G7" i="13"/>
  <c r="C7" i="13"/>
  <c r="G6" i="13"/>
  <c r="C6" i="13"/>
  <c r="C5" i="13"/>
  <c r="D13" i="1"/>
  <c r="D52" i="1" s="1"/>
  <c r="B55" i="2"/>
  <c r="C54" i="2"/>
  <c r="B54" i="2"/>
  <c r="C53" i="2"/>
  <c r="B53" i="2"/>
  <c r="C52" i="2"/>
  <c r="B52" i="2"/>
  <c r="C51" i="2"/>
  <c r="B51" i="2"/>
  <c r="C50" i="2"/>
  <c r="B50" i="2"/>
  <c r="C15" i="2"/>
  <c r="B15" i="2"/>
  <c r="B59" i="2" s="1"/>
  <c r="B3" i="9" s="1"/>
  <c r="C14" i="2"/>
  <c r="B14" i="2"/>
  <c r="C12" i="2"/>
  <c r="C16" i="2" s="1"/>
  <c r="B12" i="2"/>
  <c r="B16" i="2" s="1"/>
  <c r="J2" i="10" l="1"/>
  <c r="K2" i="10" s="1"/>
  <c r="B60" i="2"/>
  <c r="B5" i="9" s="1"/>
  <c r="B58" i="2"/>
  <c r="B2" i="9" s="1"/>
  <c r="C60" i="2"/>
  <c r="C58" i="2"/>
  <c r="C62" i="2"/>
  <c r="J5" i="10"/>
  <c r="K5" i="10" s="1"/>
  <c r="C59" i="2"/>
  <c r="C63" i="2"/>
  <c r="B4" i="9"/>
  <c r="B29" i="5"/>
  <c r="J31" i="5"/>
  <c r="J22" i="1"/>
  <c r="C20" i="2"/>
  <c r="C21" i="2" s="1"/>
  <c r="B20" i="2"/>
  <c r="B21" i="2" s="1"/>
  <c r="J10" i="10" l="1"/>
  <c r="K10" i="10" s="1"/>
  <c r="E6" i="1"/>
  <c r="D27" i="5"/>
  <c r="D21" i="5"/>
  <c r="D29" i="5" s="1"/>
  <c r="D6" i="5"/>
  <c r="D5" i="5"/>
  <c r="E55" i="2"/>
  <c r="F54" i="2"/>
  <c r="E54" i="2"/>
  <c r="F53" i="2"/>
  <c r="E53" i="2"/>
  <c r="F52" i="2"/>
  <c r="E52" i="2"/>
  <c r="F51" i="2"/>
  <c r="E51" i="2"/>
  <c r="F50" i="2"/>
  <c r="E50" i="2"/>
  <c r="F15" i="2"/>
  <c r="E15" i="2"/>
  <c r="F14" i="2"/>
  <c r="E14" i="2"/>
  <c r="F12" i="2"/>
  <c r="F16" i="2" s="1"/>
  <c r="E12" i="2"/>
  <c r="E16" i="2" s="1"/>
  <c r="C4" i="9" s="1"/>
  <c r="E21" i="5"/>
  <c r="E27" i="5"/>
  <c r="E15" i="5"/>
  <c r="F15" i="5"/>
  <c r="G15" i="5"/>
  <c r="F59" i="2" l="1"/>
  <c r="E59" i="2"/>
  <c r="C3" i="9" s="1"/>
  <c r="E29" i="5"/>
  <c r="J14" i="10"/>
  <c r="K14" i="10" s="1"/>
  <c r="F63" i="2"/>
  <c r="E20" i="2"/>
  <c r="E21" i="2" s="1"/>
  <c r="E60" i="2"/>
  <c r="C5" i="9" s="1"/>
  <c r="E58" i="2"/>
  <c r="C2" i="9" s="1"/>
  <c r="F20" i="2"/>
  <c r="F21" i="2" s="1"/>
  <c r="F60" i="2"/>
  <c r="F62" i="2"/>
  <c r="F58" i="2"/>
  <c r="D15" i="5"/>
  <c r="G21" i="5"/>
  <c r="G29" i="5" s="1"/>
  <c r="F21" i="5"/>
  <c r="F29" i="5" s="1"/>
  <c r="H21" i="6"/>
  <c r="G21" i="6"/>
  <c r="H10" i="6"/>
  <c r="G10" i="6"/>
  <c r="G28" i="6" s="1"/>
  <c r="G20" i="1"/>
  <c r="G14" i="1"/>
  <c r="G7" i="1"/>
  <c r="G22" i="1" s="1"/>
  <c r="F56" i="2"/>
  <c r="F57" i="2" s="1"/>
  <c r="E56" i="2"/>
  <c r="E57" i="2" l="1"/>
  <c r="E61" i="2" s="1"/>
  <c r="C6" i="9" s="1"/>
  <c r="H27" i="14"/>
  <c r="F61" i="2"/>
  <c r="H28" i="6"/>
  <c r="J16" i="10"/>
  <c r="K16" i="10" s="1"/>
  <c r="G31" i="5"/>
  <c r="B15" i="10"/>
  <c r="B13" i="10"/>
  <c r="B12" i="10"/>
  <c r="B11" i="10"/>
  <c r="B9" i="10"/>
  <c r="B8" i="10"/>
  <c r="B6" i="10"/>
  <c r="B4" i="10"/>
  <c r="B3" i="10"/>
  <c r="D15" i="10"/>
  <c r="D13" i="10"/>
  <c r="D12" i="10"/>
  <c r="D11" i="10"/>
  <c r="D9" i="10"/>
  <c r="D8" i="10"/>
  <c r="D6" i="10"/>
  <c r="D4" i="10"/>
  <c r="D3" i="10"/>
  <c r="B20" i="1" l="1"/>
  <c r="B15" i="5"/>
  <c r="C10" i="6"/>
  <c r="B2" i="10" s="1"/>
  <c r="C21" i="6"/>
  <c r="B5" i="10" s="1"/>
  <c r="B10" i="10" l="1"/>
  <c r="B14" i="10" s="1"/>
  <c r="B16" i="10" s="1"/>
  <c r="C28" i="6"/>
  <c r="D14" i="1"/>
  <c r="D20" i="1"/>
  <c r="E21" i="6"/>
  <c r="D5" i="10" s="1"/>
  <c r="E10" i="6"/>
  <c r="D2" i="10" s="1"/>
  <c r="D10" i="10" l="1"/>
  <c r="D14" i="10" s="1"/>
  <c r="D16" i="10" s="1"/>
  <c r="E28" i="6"/>
  <c r="B14" i="1" l="1"/>
  <c r="B7" i="1"/>
  <c r="D7" i="1"/>
  <c r="B22" i="1" l="1"/>
  <c r="D22" i="1"/>
  <c r="F21" i="6" l="1"/>
  <c r="F10" i="6"/>
  <c r="F20" i="1" l="1"/>
  <c r="E20" i="1"/>
  <c r="E14" i="1"/>
  <c r="F14" i="1"/>
  <c r="E7" i="1"/>
  <c r="F7" i="1"/>
  <c r="F28" i="6" l="1"/>
  <c r="E22" i="1" l="1"/>
  <c r="F22" i="1"/>
  <c r="E6" i="10" l="1"/>
  <c r="F6" i="10"/>
  <c r="G6" i="10"/>
  <c r="E8" i="10"/>
  <c r="F8" i="10"/>
  <c r="G8" i="10"/>
  <c r="E9" i="10"/>
  <c r="F9" i="10"/>
  <c r="G9" i="10"/>
  <c r="E3" i="10"/>
  <c r="F3" i="10"/>
  <c r="G3" i="10"/>
  <c r="E4" i="10"/>
  <c r="F4" i="10"/>
  <c r="G4" i="10"/>
  <c r="J6" i="12" l="1"/>
  <c r="F2" i="12"/>
  <c r="J2" i="12"/>
  <c r="F3" i="12"/>
  <c r="J3" i="12"/>
  <c r="F4" i="12"/>
  <c r="J4" i="12"/>
  <c r="F5" i="12"/>
  <c r="J5" i="12"/>
  <c r="F6" i="12"/>
  <c r="F7" i="12"/>
  <c r="J7" i="12"/>
  <c r="F8" i="12"/>
  <c r="J8" i="12"/>
  <c r="F9" i="12"/>
  <c r="J9" i="12"/>
  <c r="E9" i="12"/>
  <c r="E8" i="12"/>
  <c r="E7" i="12"/>
  <c r="E6" i="12"/>
  <c r="E5" i="12"/>
  <c r="E4" i="12"/>
  <c r="E3" i="12"/>
  <c r="E2" i="12"/>
  <c r="E11" i="10"/>
  <c r="F11" i="10"/>
  <c r="G11" i="10"/>
  <c r="E12" i="10"/>
  <c r="F12" i="10"/>
  <c r="G12" i="10"/>
  <c r="E13" i="10"/>
  <c r="F13" i="10"/>
  <c r="G13" i="10"/>
  <c r="E15" i="10"/>
  <c r="F15" i="10"/>
  <c r="G15" i="10"/>
  <c r="F26" i="8" l="1"/>
  <c r="I26" i="8" s="1"/>
  <c r="F25" i="8"/>
  <c r="I25" i="8" s="1"/>
  <c r="F24" i="8"/>
  <c r="I24" i="8" s="1"/>
  <c r="F23" i="8"/>
  <c r="I23" i="8" s="1"/>
  <c r="F22" i="8"/>
  <c r="I22" i="8" s="1"/>
  <c r="F19" i="8"/>
  <c r="I19" i="8" s="1"/>
  <c r="F18" i="8"/>
  <c r="I18" i="8" s="1"/>
  <c r="F17" i="8"/>
  <c r="I17" i="8" s="1"/>
  <c r="F16" i="8"/>
  <c r="I16" i="8" s="1"/>
  <c r="F14" i="8"/>
  <c r="I14" i="8" s="1"/>
  <c r="F13" i="8"/>
  <c r="I13" i="8" s="1"/>
  <c r="F12" i="8"/>
  <c r="I12" i="8" s="1"/>
  <c r="F11" i="8"/>
  <c r="I11" i="8" s="1"/>
  <c r="F9" i="8"/>
  <c r="I9" i="8" s="1"/>
  <c r="F8" i="8"/>
  <c r="I8" i="8" s="1"/>
  <c r="F7" i="8"/>
  <c r="I7" i="8" s="1"/>
  <c r="F6" i="8"/>
  <c r="I6" i="8" s="1"/>
  <c r="F5" i="8"/>
  <c r="I5" i="8" s="1"/>
  <c r="F4" i="8"/>
  <c r="I4" i="8" s="1"/>
  <c r="F3" i="8"/>
  <c r="I3" i="8" s="1"/>
  <c r="F2" i="8"/>
  <c r="I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F19" i="7"/>
  <c r="I19" i="7" s="1"/>
  <c r="F18" i="7"/>
  <c r="I18" i="7" s="1"/>
  <c r="F17" i="7"/>
  <c r="I17" i="7" s="1"/>
  <c r="F14" i="7"/>
  <c r="I14" i="7" s="1"/>
  <c r="F13" i="7"/>
  <c r="I13" i="7" s="1"/>
  <c r="F12" i="7"/>
  <c r="I12" i="7" s="1"/>
  <c r="F10" i="7"/>
  <c r="I10" i="7" s="1"/>
  <c r="F9" i="7"/>
  <c r="I9" i="7" s="1"/>
  <c r="F8" i="7"/>
  <c r="I8" i="7" s="1"/>
  <c r="F7" i="7"/>
  <c r="I7" i="7" s="1"/>
  <c r="F6" i="7"/>
  <c r="I6" i="7" s="1"/>
  <c r="F4" i="7"/>
  <c r="I4" i="7" s="1"/>
  <c r="F3" i="7"/>
  <c r="I3" i="7" s="1"/>
  <c r="F2" i="7"/>
  <c r="I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20" i="8" l="1"/>
  <c r="K20" i="8" s="1"/>
  <c r="J11" i="7"/>
  <c r="K11" i="7" s="1"/>
  <c r="F15" i="8"/>
  <c r="I15" i="8" s="1"/>
  <c r="B5" i="7"/>
  <c r="J15" i="7"/>
  <c r="K15" i="7" s="1"/>
  <c r="B11" i="7"/>
  <c r="B27" i="8"/>
  <c r="B15" i="7"/>
  <c r="F27" i="8"/>
  <c r="I27" i="8" s="1"/>
  <c r="J27" i="8"/>
  <c r="K27" i="8" s="1"/>
  <c r="J15" i="8"/>
  <c r="K15" i="8" s="1"/>
  <c r="C27" i="8"/>
  <c r="J10" i="8"/>
  <c r="K10" i="8" s="1"/>
  <c r="F10" i="8"/>
  <c r="I10" i="8" s="1"/>
  <c r="F20" i="8"/>
  <c r="I20" i="8" s="1"/>
  <c r="C10" i="8"/>
  <c r="C15" i="8"/>
  <c r="C20" i="8"/>
  <c r="B20" i="8"/>
  <c r="B15" i="8"/>
  <c r="B10" i="8"/>
  <c r="J5" i="7"/>
  <c r="K5" i="7" s="1"/>
  <c r="C15" i="7"/>
  <c r="C11" i="7"/>
  <c r="F11" i="7"/>
  <c r="I11" i="7" s="1"/>
  <c r="F5" i="7"/>
  <c r="I5" i="7" s="1"/>
  <c r="F15" i="7"/>
  <c r="I15" i="7" s="1"/>
  <c r="C5" i="7"/>
  <c r="F21" i="8" l="1"/>
  <c r="I21" i="8" s="1"/>
  <c r="B21" i="8"/>
  <c r="C21" i="8"/>
  <c r="J21" i="8"/>
  <c r="K21" i="8" s="1"/>
  <c r="C16" i="7"/>
  <c r="J16" i="7"/>
  <c r="K16" i="7" s="1"/>
  <c r="F16" i="7"/>
  <c r="I16" i="7" s="1"/>
  <c r="B16" i="7"/>
  <c r="B20" i="7"/>
  <c r="B21" i="7" s="1"/>
  <c r="J20" i="7"/>
  <c r="C30" i="8"/>
  <c r="C31" i="8" s="1"/>
  <c r="B30" i="8"/>
  <c r="B31" i="8" s="1"/>
  <c r="C20" i="7"/>
  <c r="F20" i="7"/>
  <c r="I20" i="7" s="1"/>
  <c r="J21" i="7" l="1"/>
  <c r="K21" i="7" s="1"/>
  <c r="K20" i="7"/>
  <c r="C21" i="7"/>
  <c r="F21" i="7"/>
  <c r="I21" i="7" s="1"/>
  <c r="J30" i="8"/>
  <c r="J31" i="8" l="1"/>
  <c r="K31" i="8" s="1"/>
  <c r="K30" i="8"/>
  <c r="F5" i="10"/>
  <c r="G5" i="10"/>
  <c r="E5" i="10"/>
  <c r="F2" i="10"/>
  <c r="G2" i="10"/>
  <c r="E2" i="10"/>
  <c r="F10" i="10" l="1"/>
  <c r="F14" i="10" s="1"/>
  <c r="F16" i="10" s="1"/>
  <c r="E10" i="10"/>
  <c r="E14" i="10" s="1"/>
  <c r="E16" i="10" s="1"/>
  <c r="G10" i="10"/>
  <c r="G14" i="10" l="1"/>
  <c r="G16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I28" i="8" s="1"/>
  <c r="P55" i="2" l="1"/>
  <c r="F29" i="8"/>
  <c r="I29" i="8" s="1"/>
  <c r="P51" i="2"/>
  <c r="P54" i="2"/>
  <c r="P53" i="2"/>
  <c r="P52" i="2"/>
  <c r="P50" i="2"/>
  <c r="P16" i="2"/>
  <c r="P14" i="2"/>
  <c r="P15" i="2"/>
  <c r="O56" i="2"/>
  <c r="U56" i="2" s="1"/>
  <c r="N56" i="2"/>
  <c r="K27" i="14" l="1"/>
  <c r="T56" i="2"/>
  <c r="F30" i="8"/>
  <c r="I30" i="8" s="1"/>
  <c r="O57" i="2"/>
  <c r="U57" i="2" s="1"/>
  <c r="P21" i="2"/>
  <c r="P20" i="2"/>
  <c r="N57" i="2"/>
  <c r="T57" i="2" s="1"/>
  <c r="P56" i="2"/>
  <c r="G12" i="2"/>
  <c r="D55" i="2"/>
  <c r="D54" i="2"/>
  <c r="F31" i="8" l="1"/>
  <c r="I31" i="8" s="1"/>
  <c r="O61" i="2"/>
  <c r="U61" i="2" s="1"/>
  <c r="P57" i="2"/>
  <c r="N61" i="2"/>
  <c r="G14" i="2"/>
  <c r="G15" i="2"/>
  <c r="G50" i="2"/>
  <c r="G51" i="2"/>
  <c r="G52" i="2"/>
  <c r="G53" i="2"/>
  <c r="G54" i="2"/>
  <c r="G55" i="2"/>
  <c r="D14" i="2"/>
  <c r="D16" i="2"/>
  <c r="D12" i="2"/>
  <c r="D51" i="2"/>
  <c r="D53" i="2"/>
  <c r="D15" i="2"/>
  <c r="D50" i="2"/>
  <c r="D52" i="2"/>
  <c r="C56" i="2"/>
  <c r="C57" i="2" s="1"/>
  <c r="C61" i="2" s="1"/>
  <c r="B56" i="2"/>
  <c r="G27" i="14" s="1"/>
  <c r="F6" i="9" l="1"/>
  <c r="H6" i="9" s="1"/>
  <c r="T61" i="2"/>
  <c r="G20" i="2"/>
  <c r="G56" i="2"/>
  <c r="G16" i="2"/>
  <c r="D21" i="2"/>
  <c r="D20" i="2"/>
  <c r="B57" i="2"/>
  <c r="D56" i="2"/>
  <c r="D57" i="2" l="1"/>
  <c r="B61" i="2"/>
  <c r="B6" i="9" s="1"/>
  <c r="G21" i="2"/>
  <c r="G57" i="2"/>
  <c r="D55" i="14" l="1"/>
</calcChain>
</file>

<file path=xl/sharedStrings.xml><?xml version="1.0" encoding="utf-8"?>
<sst xmlns="http://schemas.openxmlformats.org/spreadsheetml/2006/main" count="538" uniqueCount="421">
  <si>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</si>
  <si>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</si>
  <si>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</si>
  <si>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</si>
  <si>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</si>
  <si>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</si>
  <si>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</si>
  <si>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</si>
  <si>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</si>
  <si>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</si>
  <si>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</si>
  <si>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</si>
  <si>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</si>
  <si>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</si>
  <si>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</si>
  <si>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</si>
  <si>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</si>
  <si>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</si>
  <si>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</si>
  <si>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</si>
  <si>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</si>
  <si>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</si>
  <si>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</si>
  <si>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</si>
  <si>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</si>
  <si>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</si>
  <si>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</si>
  <si>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</si>
  <si>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</si>
  <si>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</si>
  <si>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</si>
  <si>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</si>
  <si>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</si>
  <si>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</si>
  <si>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</si>
  <si>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</si>
  <si>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</si>
  <si>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</si>
  <si>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</si>
  <si>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</si>
  <si>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</si>
  <si>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</si>
  <si>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</si>
  <si>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</si>
  <si>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</si>
  <si>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</si>
  <si>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</si>
  <si>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</si>
  <si>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</si>
  <si>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</si>
  <si>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</si>
  <si>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</si>
  <si>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</si>
  <si>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</si>
  <si>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</si>
  <si>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</si>
  <si>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</si>
  <si>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</si>
  <si>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</si>
  <si>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</si>
  <si>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</si>
  <si>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</si>
  <si>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</si>
  <si>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</si>
  <si>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</si>
  <si>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</si>
  <si>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</si>
  <si>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</si>
  <si>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</si>
  <si>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</si>
  <si>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</si>
  <si>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</si>
  <si>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</si>
  <si>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</si>
  <si>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</si>
  <si>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</si>
  <si>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</si>
  <si>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</si>
  <si>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</si>
  <si>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</si>
  <si>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</si>
  <si>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</si>
  <si>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</si>
  <si>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</si>
  <si>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</si>
  <si>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</si>
  <si>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</si>
  <si>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</si>
  <si>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</si>
  <si>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</si>
  <si>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</si>
  <si>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</si>
  <si>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</si>
  <si>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</si>
  <si>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</si>
  <si>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</si>
  <si>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</si>
  <si>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</si>
  <si>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</si>
  <si>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</si>
  <si>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</si>
  <si>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</si>
  <si>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</si>
  <si>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</si>
  <si>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</si>
  <si>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</si>
  <si>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</si>
  <si>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</si>
  <si>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</si>
  <si>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</si>
  <si>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</si>
  <si>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</si>
  <si>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</si>
  <si>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</si>
  <si>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</si>
  <si>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</si>
  <si>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</si>
  <si>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</si>
  <si>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</si>
  <si>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</si>
  <si>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</si>
  <si>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</si>
  <si>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</si>
  <si>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</si>
  <si>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</si>
  <si>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</si>
  <si>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</si>
  <si>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</si>
  <si>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</si>
  <si>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</si>
  <si>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</si>
  <si>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</si>
  <si>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</si>
  <si>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</si>
  <si>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</si>
  <si>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</si>
  <si>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</si>
  <si>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</si>
  <si>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</si>
  <si>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</si>
  <si>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</si>
  <si>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</si>
  <si>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</si>
  <si>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</si>
  <si>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</si>
  <si>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</si>
  <si>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</si>
  <si>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</si>
  <si>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</si>
  <si>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</si>
  <si>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</si>
  <si>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</si>
  <si>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</si>
  <si>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</si>
  <si>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</si>
  <si>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</si>
  <si>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</si>
  <si>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</si>
  <si>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</si>
  <si>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</si>
  <si>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</si>
  <si>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</si>
  <si>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</si>
  <si>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</si>
  <si>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</si>
  <si>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</si>
  <si>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</si>
  <si>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</si>
  <si>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</si>
  <si>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</si>
  <si>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</si>
  <si>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</si>
  <si>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</si>
  <si>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</si>
  <si>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</si>
  <si>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</si>
  <si>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</si>
  <si>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</si>
  <si>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</si>
  <si>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</si>
  <si>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</si>
  <si>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</si>
  <si>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</si>
  <si>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</si>
  <si>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</si>
  <si>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</si>
  <si>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</si>
  <si>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</si>
  <si>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</si>
  <si>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</si>
  <si>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</si>
  <si>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</si>
  <si>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</si>
  <si>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</si>
  <si>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</si>
  <si>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</si>
  <si>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</si>
  <si>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</si>
  <si>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</si>
  <si>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</si>
  <si>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</si>
  <si>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</si>
  <si>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</si>
  <si>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</si>
  <si>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</si>
  <si>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</si>
  <si>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</si>
  <si>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</si>
  <si>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</si>
  <si>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</si>
  <si>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</si>
  <si>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</si>
  <si>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</si>
  <si>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</si>
  <si>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</si>
  <si>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</si>
  <si>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</si>
  <si>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</si>
  <si>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</si>
  <si>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</si>
  <si>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</si>
  <si>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</si>
  <si>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</si>
  <si>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</si>
  <si>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</si>
  <si>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</si>
  <si>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</si>
  <si>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</si>
  <si>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</si>
  <si>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</si>
  <si>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</si>
  <si>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</si>
  <si>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</si>
  <si>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</si>
  <si>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</si>
  <si>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</si>
  <si>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</si>
  <si>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</si>
  <si>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</si>
  <si>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</si>
  <si>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</si>
  <si>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</si>
  <si>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</si>
  <si>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</si>
  <si>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</si>
  <si>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</si>
  <si>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</si>
  <si>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</si>
  <si>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</si>
  <si>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</si>
  <si>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</si>
  <si>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</si>
  <si>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</si>
  <si>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</si>
  <si>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</si>
  <si>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</si>
  <si>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</si>
  <si>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</si>
  <si>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</si>
  <si>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</si>
  <si>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</si>
  <si>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</si>
  <si>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</si>
  <si>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</si>
  <si>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</si>
  <si>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</si>
  <si>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</si>
  <si>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</si>
  <si>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</si>
  <si>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</si>
  <si>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</si>
  <si>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</si>
  <si>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</si>
  <si>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</si>
  <si>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</si>
  <si>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</si>
  <si>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</si>
  <si>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</si>
  <si>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</si>
  <si>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</si>
  <si>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</si>
  <si>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</si>
  <si>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</si>
  <si>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</si>
  <si>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</si>
  <si>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</si>
  <si>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</si>
  <si>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</si>
  <si>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</si>
  <si>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</si>
  <si>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</si>
  <si>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</si>
  <si>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</si>
  <si>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</si>
  <si>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</si>
  <si>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</si>
  <si>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</si>
  <si>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</si>
  <si>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</si>
  <si>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</si>
  <si>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</si>
  <si>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</si>
  <si>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</si>
  <si>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</si>
  <si>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</si>
  <si>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</si>
  <si>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</si>
  <si>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</si>
  <si>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</si>
  <si>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</si>
  <si>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</si>
  <si>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</si>
  <si>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</si>
  <si>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</si>
  <si>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</si>
  <si>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</si>
  <si>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</si>
  <si>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</si>
  <si>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</si>
  <si>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</si>
  <si>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</si>
  <si>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</si>
  <si>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</si>
  <si>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</si>
  <si>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</si>
  <si>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</si>
  <si>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</si>
  <si>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</si>
  <si>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</si>
  <si>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</si>
  <si>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</si>
  <si>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</si>
  <si>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</si>
  <si>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</si>
  <si>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</si>
  <si>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</si>
  <si>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</si>
  <si>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</si>
  <si>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</si>
  <si>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</si>
  <si>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</si>
  <si>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</si>
  <si>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</si>
  <si>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</si>
  <si>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</si>
  <si>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</si>
  <si>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</si>
  <si>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</si>
  <si>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</si>
  <si>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</si>
  <si>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</si>
  <si>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</si>
  <si>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</si>
  <si>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</si>
  <si>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</si>
  <si>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</si>
  <si>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</si>
  <si>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</si>
  <si>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</si>
  <si>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Media Regioni</t>
  </si>
  <si>
    <t xml:space="preserve">     di cui da trasferimenti e contributi da amm.ni pubbliche</t>
  </si>
  <si>
    <t>Anno</t>
  </si>
  <si>
    <t>Regione</t>
  </si>
  <si>
    <t>Popolazione al 1° gennaio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</si>
  <si>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</si>
  <si>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</si>
  <si>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</si>
  <si>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</si>
  <si>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</si>
  <si>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/>
  </si>
  <si>
    <t>Riscossioni 2021</t>
  </si>
  <si>
    <t>Pagamenti 2021</t>
  </si>
  <si>
    <t>Risultato economico di esercizi precedenti (A4)</t>
  </si>
  <si>
    <t>Riserve negative per beni indisponibili (A5)</t>
  </si>
  <si>
    <t>Saldo censuario</t>
  </si>
  <si>
    <t>Titolo</t>
  </si>
  <si>
    <t>Denominazione</t>
  </si>
  <si>
    <t xml:space="preserve">Var% </t>
  </si>
  <si>
    <t>Servizi istituzionali, generali e di gestione</t>
  </si>
  <si>
    <t>Giustizia</t>
  </si>
  <si>
    <t>Ordine pubblico e sicurezza</t>
  </si>
  <si>
    <t>Tutela e valorizzazione dei beni e attività culturali</t>
  </si>
  <si>
    <t>Politiche giovanili, sport e tempo libero</t>
  </si>
  <si>
    <t>Turismo</t>
  </si>
  <si>
    <t>Assetto del territorio ed edilizia abitativa</t>
  </si>
  <si>
    <t>Sviluppo sostenibile e tutela del territorio e dell'ambiente</t>
  </si>
  <si>
    <t>Soccorso civile</t>
  </si>
  <si>
    <t>Tutela della salute</t>
  </si>
  <si>
    <t>Sviluppo economico e competitività</t>
  </si>
  <si>
    <t>Politiche per il lavoro e la formazione professionale</t>
  </si>
  <si>
    <t>Agricoltura, politiche agroalimentari e pesca</t>
  </si>
  <si>
    <t>Energia e diversificazione delle fonti energetiche</t>
  </si>
  <si>
    <t>Relazioni con le altre autonomie territoriali e locali</t>
  </si>
  <si>
    <t>Relazioni internazionali</t>
  </si>
  <si>
    <t>Fondi ed accantonamenti</t>
  </si>
  <si>
    <t>Debito pubblico</t>
  </si>
  <si>
    <t>Anticipazioni finanziarie</t>
  </si>
  <si>
    <t>Servizi per conto terzi</t>
  </si>
  <si>
    <t>Impegni di spesa totali</t>
  </si>
  <si>
    <t>Impegni di spesa al netto delle missioni 60 e 99</t>
  </si>
  <si>
    <t>Comp.%</t>
  </si>
  <si>
    <t>Codice</t>
  </si>
  <si>
    <t>SSR - finanziamento ordinario corrente per la garanzia dei LEA</t>
  </si>
  <si>
    <t>13.4</t>
  </si>
  <si>
    <t>SSR - ripiano di disavanzi sanitari relativi ad esercizi pregressi</t>
  </si>
  <si>
    <t>13.5</t>
  </si>
  <si>
    <t>13.6</t>
  </si>
  <si>
    <t>13.7</t>
  </si>
  <si>
    <t>SSR - investimenti sanitari</t>
  </si>
  <si>
    <t>SSR - restituzione maggiori gettiti Ssn</t>
  </si>
  <si>
    <t>Ulteriori spese in materia sanitaria</t>
  </si>
  <si>
    <t>Residui passivi al 1 gennaio</t>
  </si>
  <si>
    <t>Pagamenti in conto residui</t>
  </si>
  <si>
    <t>Riaccertamento residui</t>
  </si>
  <si>
    <t>Residui da esercizio precedenti</t>
  </si>
  <si>
    <t>Residui esercizio corrente</t>
  </si>
  <si>
    <t>Residui al 31 dicembre</t>
  </si>
  <si>
    <t>Altre missioni</t>
  </si>
  <si>
    <t>Impegni di spesa</t>
  </si>
  <si>
    <t>Pagamenti esercizio corrente</t>
  </si>
  <si>
    <t xml:space="preserve">  -- di cui trasferimenti e contributi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</si>
</sst>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2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2" xfId="0" applyBorder="1"/>
    <xf numFmtId="167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2" fontId="0" fillId="2" borderId="0" xfId="0" applyNumberFormat="1" applyFill="1"/>
    <xf numFmtId="0" fontId="0" fillId="0" borderId="0" xfId="0" applyNumberFormat="1"/>
    <xf numFmtId="4" fontId="0" fillId="0" borderId="0" xfId="0" applyNumberFormat="1"/>
    <xf numFmtId="0" fontId="0" fillId="0" borderId="0" xfId="0" applyFill="1" applyAlignment="1">
      <alignment horizontal="center"/>
    </xf>
    <xf numFmtId="0" fontId="1" fillId="0" borderId="6" xfId="0" applyNumberFormat="1" applyFont="1" applyBorder="1"/>
    <xf numFmtId="0" fontId="0" fillId="0" borderId="1" xfId="0" applyBorder="1"/>
    <xf numFmtId="3" fontId="0" fillId="0" borderId="1" xfId="0" applyNumberFormat="1" applyBorder="1"/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0" xfId="0" applyNumberFormat="1"/>
    <xf numFmtId="3" fontId="1" fillId="0" borderId="6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26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06368282912"/>
          <c:y val="3.2162233986963232E-2"/>
          <c:w val="0.44775231385550485"/>
          <c:h val="0.967837766013036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07882304185661E-2"/>
                  <c:y val="2.93894577171027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302113551595523E-2"/>
                  <c:y val="4.740235115661736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129783119215362E-2"/>
                  <c:y val="5.18311490927115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790164387346383E-2"/>
                  <c:y val="5.25227008739948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2423815444122089E-2"/>
                  <c:y val="-0.266607245766634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1411797209559E-2"/>
                  <c:y val="9.4804702313234731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9630059400469679E-2"/>
                  <c:y val="1.23246113007205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9994474374913658E-3"/>
                  <c:y val="9.4804702313234731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Spese_missione!$C$47:$C$55</c:f>
              <c:strCache>
                <c:ptCount val="9"/>
                <c:pt idx="0">
                  <c:v>Servizi istituzionali, generali e di gestione</c:v>
                </c:pt>
                <c:pt idx="1">
                  <c:v>Istruzione e diritto allo studio</c:v>
                </c:pt>
                <c:pt idx="2">
                  <c:v>Sviluppo sostenibile e tutela del territorio e dell'ambiente</c:v>
                </c:pt>
                <c:pt idx="3">
                  <c:v>Trasporti e diritto alla mobilità</c:v>
                </c:pt>
                <c:pt idx="4">
                  <c:v>Diritti sociali, politiche sociali e famiglia</c:v>
                </c:pt>
                <c:pt idx="5">
                  <c:v>Tutela della salute</c:v>
                </c:pt>
                <c:pt idx="6">
                  <c:v>Sviluppo economico e competitività</c:v>
                </c:pt>
                <c:pt idx="7">
                  <c:v>Relazioni con le altre autonomie territoriali e locali</c:v>
                </c:pt>
                <c:pt idx="8">
                  <c:v>Altre missioni</c:v>
                </c:pt>
              </c:strCache>
            </c:strRef>
          </c:cat>
          <c:val>
            <c:numRef>
              <c:f>Spese_missione!$D$47:$D$55</c:f>
              <c:numCache>
                <c:formatCode>#,##0.0</c:formatCode>
                <c:ptCount val="9"/>
                <c:pt idx="0">
                  <c:v>3.8114384813288575</c:v>
                </c:pt>
                <c:pt idx="1">
                  <c:v>1.629232513431117</c:v>
                </c:pt>
                <c:pt idx="2">
                  <c:v>1.1353004975394938</c:v>
                </c:pt>
                <c:pt idx="3">
                  <c:v>7.1316622765986519</c:v>
                </c:pt>
                <c:pt idx="4">
                  <c:v>1.7430064106605636</c:v>
                </c:pt>
                <c:pt idx="5">
                  <c:v>79.811205477850649</c:v>
                </c:pt>
                <c:pt idx="6">
                  <c:v>0.96574099424082227</c:v>
                </c:pt>
                <c:pt idx="7">
                  <c:v>1.2792323936025094</c:v>
                </c:pt>
                <c:pt idx="8">
                  <c:v>2.4931809547473307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444274071004284"/>
          <c:y val="5.0858915673083524E-2"/>
          <c:w val="0.3150309435004835"/>
          <c:h val="0.879321228191185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63672066764852E-3"/>
          <c:y val="5.170821791320411E-2"/>
          <c:w val="0.97643593519882221"/>
          <c:h val="0.75077889502039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Piano_indicatori!$D$20:$I$20</c:f>
              <c:numCache>
                <c:formatCode>0.00</c:formatCode>
                <c:ptCount val="6"/>
                <c:pt idx="0">
                  <c:v>17.190000000000001</c:v>
                </c:pt>
                <c:pt idx="1">
                  <c:v>17.2</c:v>
                </c:pt>
                <c:pt idx="2">
                  <c:v>17.399999999999999</c:v>
                </c:pt>
                <c:pt idx="3">
                  <c:v>16.93</c:v>
                </c:pt>
                <c:pt idx="4">
                  <c:v>16.100000000000001</c:v>
                </c:pt>
                <c:pt idx="5">
                  <c:v>16.489999999999998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Piano_indicatori!$D$92:$I$92</c:f>
              <c:numCache>
                <c:formatCode>0.00</c:formatCode>
                <c:ptCount val="6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00946704"/>
        <c:axId val="-1800947248"/>
      </c:barChart>
      <c:catAx>
        <c:axId val="-18009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800947248"/>
        <c:crosses val="autoZero"/>
        <c:auto val="1"/>
        <c:lblAlgn val="ctr"/>
        <c:lblOffset val="100"/>
        <c:noMultiLvlLbl val="0"/>
      </c:catAx>
      <c:valAx>
        <c:axId val="-1800947248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800946704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83603338242512E-3"/>
          <c:y val="1.4773776546629732E-2"/>
          <c:w val="0.9803632793323514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Piano_indicatori!$D$31:$I$31</c:f>
              <c:numCache>
                <c:formatCode>0.00</c:formatCode>
                <c:ptCount val="6"/>
                <c:pt idx="0">
                  <c:v>112</c:v>
                </c:pt>
                <c:pt idx="1">
                  <c:v>87.27</c:v>
                </c:pt>
                <c:pt idx="2">
                  <c:v>97.38</c:v>
                </c:pt>
                <c:pt idx="3">
                  <c:v>103.51</c:v>
                </c:pt>
                <c:pt idx="4">
                  <c:v>123.98</c:v>
                </c:pt>
                <c:pt idx="5">
                  <c:v>167.3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Piano_indicatori!$D$93:$I$93</c:f>
              <c:numCache>
                <c:formatCode>0.00</c:formatCode>
                <c:ptCount val="6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  <c:pt idx="4">
                  <c:v>263.17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00943984"/>
        <c:axId val="-1800943440"/>
      </c:barChart>
      <c:catAx>
        <c:axId val="-180094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800943440"/>
        <c:crosses val="autoZero"/>
        <c:auto val="1"/>
        <c:lblAlgn val="ctr"/>
        <c:lblOffset val="100"/>
        <c:noMultiLvlLbl val="0"/>
      </c:catAx>
      <c:valAx>
        <c:axId val="-180094344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800943984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1E-2"/>
          <c:y val="3.6934441366574546E-3"/>
          <c:w val="0.95679921453118733"/>
          <c:h val="0.89482321635003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Piano_indicatori!$D$47:$I$47</c:f>
              <c:numCache>
                <c:formatCode>0.00</c:formatCode>
                <c:ptCount val="6"/>
                <c:pt idx="0">
                  <c:v>-10.95</c:v>
                </c:pt>
                <c:pt idx="1">
                  <c:v>-14.28</c:v>
                </c:pt>
                <c:pt idx="2">
                  <c:v>-12.62</c:v>
                </c:pt>
                <c:pt idx="3">
                  <c:v>-12.51</c:v>
                </c:pt>
                <c:pt idx="4">
                  <c:v>-18.14</c:v>
                </c:pt>
                <c:pt idx="5">
                  <c:v>-18.329999999999998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Piano_indicatori!$D$94:$I$94</c:f>
              <c:numCache>
                <c:formatCode>0.00</c:formatCode>
                <c:ptCount val="6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00949424"/>
        <c:axId val="-1800937456"/>
      </c:barChart>
      <c:catAx>
        <c:axId val="-180094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800937456"/>
        <c:crosses val="autoZero"/>
        <c:auto val="1"/>
        <c:lblAlgn val="ctr"/>
        <c:lblOffset val="100"/>
        <c:noMultiLvlLbl val="0"/>
      </c:catAx>
      <c:valAx>
        <c:axId val="-1800937456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800949424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1E-2"/>
          <c:y val="3.6934441366574546E-3"/>
          <c:w val="0.95679921453118733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3360053440213765E-2"/>
                  <c:y val="-8.815696070181183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451474377326082E-2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360053440213761E-2"/>
                  <c:y val="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77211565989121E-2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Piano_indicatori!$D$52:$I$52</c:f>
              <c:numCache>
                <c:formatCode>0.00</c:formatCode>
                <c:ptCount val="6"/>
                <c:pt idx="0">
                  <c:v>1354.1287694903524</c:v>
                </c:pt>
                <c:pt idx="1">
                  <c:v>1208.1657390445473</c:v>
                </c:pt>
                <c:pt idx="2">
                  <c:v>1227.1239465944379</c:v>
                </c:pt>
                <c:pt idx="3">
                  <c:v>1085.3185066459919</c:v>
                </c:pt>
                <c:pt idx="4">
                  <c:v>495.93837031026959</c:v>
                </c:pt>
                <c:pt idx="5">
                  <c:v>178.22081952369339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Piano_indicatori!$D$95:$I$95</c:f>
              <c:numCache>
                <c:formatCode>0.00</c:formatCode>
                <c:ptCount val="6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  <c:pt idx="4">
                  <c:v>1283.5700238509917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00940176"/>
        <c:axId val="-1800948880"/>
      </c:barChart>
      <c:catAx>
        <c:axId val="-180094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800948880"/>
        <c:crosses val="autoZero"/>
        <c:auto val="1"/>
        <c:lblAlgn val="ctr"/>
        <c:lblOffset val="100"/>
        <c:noMultiLvlLbl val="0"/>
      </c:catAx>
      <c:valAx>
        <c:axId val="-1800948880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800940176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98932750483398E-2"/>
          <c:y val="7.7745360071207401E-3"/>
          <c:w val="0.79185291909901045"/>
          <c:h val="0.9777997766400130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Popolazione!$A$2:$A$9</c:f>
              <c:numCache>
                <c:formatCode>General</c:formatCode>
                <c:ptCount val="8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</c:numCache>
            </c:numRef>
          </c:cat>
          <c:val>
            <c:numRef>
              <c:f>Popolazione!$B$2:$B$9</c:f>
              <c:numCache>
                <c:formatCode>#,##0</c:formatCode>
                <c:ptCount val="8"/>
                <c:pt idx="0">
                  <c:v>9943004</c:v>
                </c:pt>
                <c:pt idx="1">
                  <c:v>9981554</c:v>
                </c:pt>
                <c:pt idx="2">
                  <c:v>10027602</c:v>
                </c:pt>
                <c:pt idx="3">
                  <c:v>10010833</c:v>
                </c:pt>
                <c:pt idx="4">
                  <c:v>9986962</c:v>
                </c:pt>
                <c:pt idx="5">
                  <c:v>9970419</c:v>
                </c:pt>
                <c:pt idx="6">
                  <c:v>9958447</c:v>
                </c:pt>
                <c:pt idx="7">
                  <c:v>9954769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00939632"/>
        <c:axId val="-1800934736"/>
      </c:barChart>
      <c:catAx>
        <c:axId val="-1800939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-1800934736"/>
        <c:crosses val="autoZero"/>
        <c:auto val="1"/>
        <c:lblAlgn val="ctr"/>
        <c:lblOffset val="100"/>
        <c:noMultiLvlLbl val="0"/>
      </c:catAx>
      <c:valAx>
        <c:axId val="-1800934736"/>
        <c:scaling>
          <c:orientation val="minMax"/>
          <c:max val="1025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-1800939632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101945441714"/>
          <c:y val="5.4234059497589075E-2"/>
          <c:w val="0.85836954240268037"/>
          <c:h val="0.78809201535758444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13573400865.41</c:v>
                </c:pt>
                <c:pt idx="1">
                  <c:v>17411428745.759998</c:v>
                </c:pt>
                <c:pt idx="2">
                  <c:v>16947804610.379999</c:v>
                </c:pt>
                <c:pt idx="3">
                  <c:v>17719351299.869999</c:v>
                </c:pt>
                <c:pt idx="4">
                  <c:v>19510510515.68</c:v>
                </c:pt>
                <c:pt idx="5">
                  <c:v>15598474045.58</c:v>
                </c:pt>
                <c:pt idx="6">
                  <c:v>12753501580.83</c:v>
                </c:pt>
                <c:pt idx="7">
                  <c:v>6945997125.2399998</c:v>
                </c:pt>
                <c:pt idx="8">
                  <c:v>7072286577.3299999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Risultato_amministrazione!$B$4:$J$4</c:f>
              <c:numCache>
                <c:formatCode>#,##0</c:formatCode>
                <c:ptCount val="9"/>
                <c:pt idx="0">
                  <c:v>11689900147.370001</c:v>
                </c:pt>
                <c:pt idx="1">
                  <c:v>17168656950.360001</c:v>
                </c:pt>
                <c:pt idx="2">
                  <c:v>18014921089.950001</c:v>
                </c:pt>
                <c:pt idx="3">
                  <c:v>20528683113.349998</c:v>
                </c:pt>
                <c:pt idx="4">
                  <c:v>23452545661.950001</c:v>
                </c:pt>
                <c:pt idx="5">
                  <c:v>21045086474.130001</c:v>
                </c:pt>
                <c:pt idx="6">
                  <c:v>19086256146.029999</c:v>
                </c:pt>
                <c:pt idx="7">
                  <c:v>14894399290.790001</c:v>
                </c:pt>
                <c:pt idx="8">
                  <c:v>16614886830.940001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7738480"/>
        <c:axId val="-1997736848"/>
      </c:lineChart>
      <c:catAx>
        <c:axId val="-199773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997736848"/>
        <c:crosses val="autoZero"/>
        <c:auto val="1"/>
        <c:lblAlgn val="ctr"/>
        <c:lblOffset val="100"/>
        <c:noMultiLvlLbl val="0"/>
      </c:catAx>
      <c:valAx>
        <c:axId val="-1997736848"/>
        <c:scaling>
          <c:orientation val="minMax"/>
          <c:max val="24000000000"/>
          <c:min val="6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997738480"/>
        <c:crosses val="autoZero"/>
        <c:crossBetween val="between"/>
        <c:majorUnit val="40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Risultato_amministrazione!$B$8:$J$8</c:f>
              <c:numCache>
                <c:formatCode>#,##0</c:formatCode>
                <c:ptCount val="9"/>
                <c:pt idx="0">
                  <c:v>47292482.57</c:v>
                </c:pt>
                <c:pt idx="1">
                  <c:v>67917788.939999998</c:v>
                </c:pt>
                <c:pt idx="2">
                  <c:v>60919885.649999999</c:v>
                </c:pt>
                <c:pt idx="3">
                  <c:v>63738242.649999999</c:v>
                </c:pt>
                <c:pt idx="4">
                  <c:v>99854311.650000006</c:v>
                </c:pt>
                <c:pt idx="5">
                  <c:v>191508099.65000001</c:v>
                </c:pt>
                <c:pt idx="6">
                  <c:v>196779583.21000001</c:v>
                </c:pt>
                <c:pt idx="7">
                  <c:v>229331548.93000001</c:v>
                </c:pt>
                <c:pt idx="8">
                  <c:v>252944011.86000001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Risultato_amministrazione!$B$9:$J$9</c:f>
              <c:numCache>
                <c:formatCode>#,##0</c:formatCode>
                <c:ptCount val="9"/>
                <c:pt idx="0">
                  <c:v>151208329.06</c:v>
                </c:pt>
                <c:pt idx="1">
                  <c:v>105169310</c:v>
                </c:pt>
                <c:pt idx="2">
                  <c:v>36376136</c:v>
                </c:pt>
                <c:pt idx="3">
                  <c:v>30647391.75</c:v>
                </c:pt>
                <c:pt idx="4">
                  <c:v>23812178.73</c:v>
                </c:pt>
                <c:pt idx="5">
                  <c:v>20423122.440000001</c:v>
                </c:pt>
                <c:pt idx="6">
                  <c:v>23849308.280000001</c:v>
                </c:pt>
                <c:pt idx="7">
                  <c:v>18928245.73</c:v>
                </c:pt>
                <c:pt idx="8">
                  <c:v>6122172.4900000002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AB-41C8-A483-59CB5A1B6D9B}"/>
            </c:ext>
          </c:extLst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Risultato_amministrazione!$B$52:$J$52</c:f>
              <c:numCache>
                <c:formatCode>#,##0</c:formatCode>
                <c:ptCount val="9"/>
                <c:pt idx="0">
                  <c:v>263284450</c:v>
                </c:pt>
                <c:pt idx="1">
                  <c:v>408147196.39999998</c:v>
                </c:pt>
                <c:pt idx="2">
                  <c:v>454199170</c:v>
                </c:pt>
                <c:pt idx="3">
                  <c:v>309637958.24000001</c:v>
                </c:pt>
                <c:pt idx="4">
                  <c:v>245950252.97</c:v>
                </c:pt>
                <c:pt idx="5">
                  <c:v>167482721.52000001</c:v>
                </c:pt>
                <c:pt idx="6">
                  <c:v>179442787.39999998</c:v>
                </c:pt>
                <c:pt idx="7">
                  <c:v>212554831.39999998</c:v>
                </c:pt>
                <c:pt idx="8">
                  <c:v>288290454.06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AB-41C8-A483-59CB5A1B6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97733040"/>
        <c:axId val="-1997746096"/>
      </c:barChart>
      <c:lineChart>
        <c:grouping val="standard"/>
        <c:varyColors val="0"/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marker>
            <c:symbol val="none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Risultato_amministrazione!$B$10:$J$10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AB-41C8-A483-59CB5A1B6D9B}"/>
            </c:ext>
          </c:extLst>
        </c:ser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1241830065359478E-2"/>
                  <c:y val="3.5010940919037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0AB-41C8-A483-59CB5A1B6D9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411764705882353E-2"/>
                  <c:y val="3.209336250911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0AB-41C8-A483-59CB5A1B6D9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777777777777811E-2"/>
                  <c:y val="3.5010940919037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0AB-41C8-A483-59CB5A1B6D9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339869281045763E-2"/>
                  <c:y val="3.5010940919037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0AB-41C8-A483-59CB5A1B6D9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437908496732031E-2"/>
                  <c:y val="4.3763676148796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0AB-41C8-A483-59CB5A1B6D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Risultato_amministrazione!$B$24:$J$24</c:f>
              <c:numCache>
                <c:formatCode>0.0</c:formatCode>
                <c:ptCount val="9"/>
                <c:pt idx="0">
                  <c:v>0.34842028935075942</c:v>
                </c:pt>
                <c:pt idx="1">
                  <c:v>0.39007590894307986</c:v>
                </c:pt>
                <c:pt idx="2">
                  <c:v>0.35945591214031625</c:v>
                </c:pt>
                <c:pt idx="3">
                  <c:v>0.35970979733590824</c:v>
                </c:pt>
                <c:pt idx="4">
                  <c:v>0.51179753379467008</c:v>
                </c:pt>
                <c:pt idx="5">
                  <c:v>1.2277361175868735</c:v>
                </c:pt>
                <c:pt idx="6">
                  <c:v>1.5429455350974564</c:v>
                </c:pt>
                <c:pt idx="7">
                  <c:v>3.3016361048677529</c:v>
                </c:pt>
                <c:pt idx="8">
                  <c:v>3.5765520683339442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00942896"/>
        <c:axId val="-1998674672"/>
      </c:lineChart>
      <c:catAx>
        <c:axId val="-199773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997746096"/>
        <c:crosses val="autoZero"/>
        <c:auto val="1"/>
        <c:lblAlgn val="ctr"/>
        <c:lblOffset val="100"/>
        <c:noMultiLvlLbl val="0"/>
      </c:catAx>
      <c:valAx>
        <c:axId val="-19977460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997733040"/>
        <c:crosses val="autoZero"/>
        <c:crossBetween val="between"/>
      </c:valAx>
      <c:valAx>
        <c:axId val="-1998674672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800942896"/>
        <c:crosses val="max"/>
        <c:crossBetween val="between"/>
        <c:majorUnit val="0.5"/>
      </c:valAx>
      <c:catAx>
        <c:axId val="-180094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9986746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99607529667338E-2"/>
          <c:y val="1.9227205294990453E-2"/>
          <c:w val="0.86837680927067207"/>
          <c:h val="0.95352002738788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FD4-4A29-BA4C-2B70176B64F5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805557135910907E-3"/>
                  <c:y val="-1.58715827389409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50080484971E-3"/>
                  <c:y val="-8.2053865173914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Conto_economico!$C$1:$K$1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Conto_economico!$C$28:$K$28</c:f>
              <c:numCache>
                <c:formatCode>#,##0</c:formatCode>
                <c:ptCount val="9"/>
                <c:pt idx="0">
                  <c:v>487003440</c:v>
                </c:pt>
                <c:pt idx="1">
                  <c:v>190170230</c:v>
                </c:pt>
                <c:pt idx="2">
                  <c:v>152884025</c:v>
                </c:pt>
                <c:pt idx="3">
                  <c:v>157386487</c:v>
                </c:pt>
                <c:pt idx="4">
                  <c:v>498245724</c:v>
                </c:pt>
                <c:pt idx="5">
                  <c:v>532951049</c:v>
                </c:pt>
                <c:pt idx="6">
                  <c:v>391743051</c:v>
                </c:pt>
                <c:pt idx="7">
                  <c:v>315131286</c:v>
                </c:pt>
                <c:pt idx="8">
                  <c:v>-727773665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00948336"/>
        <c:axId val="-1800941808"/>
      </c:barChart>
      <c:catAx>
        <c:axId val="-180094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-1800941808"/>
        <c:crosses val="autoZero"/>
        <c:auto val="1"/>
        <c:lblAlgn val="ctr"/>
        <c:lblOffset val="100"/>
        <c:noMultiLvlLbl val="0"/>
      </c:catAx>
      <c:valAx>
        <c:axId val="-180094180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-18009483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Stato_patrimoniale!$A$22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10405082017</c:v>
                </c:pt>
                <c:pt idx="1">
                  <c:v>11188163033</c:v>
                </c:pt>
                <c:pt idx="2">
                  <c:v>10362695747</c:v>
                </c:pt>
                <c:pt idx="3">
                  <c:v>13552593316</c:v>
                </c:pt>
                <c:pt idx="4">
                  <c:v>12104813095</c:v>
                </c:pt>
                <c:pt idx="5">
                  <c:v>12315732526</c:v>
                </c:pt>
                <c:pt idx="6">
                  <c:v>10918928235</c:v>
                </c:pt>
                <c:pt idx="7">
                  <c:v>4973072594</c:v>
                </c:pt>
                <c:pt idx="8">
                  <c:v>1778920734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Stato_patrimoniale!$A$23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14014265</c:v>
                </c:pt>
                <c:pt idx="1">
                  <c:v>70474075</c:v>
                </c:pt>
                <c:pt idx="2">
                  <c:v>471264320</c:v>
                </c:pt>
                <c:pt idx="3">
                  <c:v>111349328</c:v>
                </c:pt>
                <c:pt idx="4">
                  <c:v>99991747</c:v>
                </c:pt>
                <c:pt idx="5">
                  <c:v>115821074</c:v>
                </c:pt>
                <c:pt idx="6">
                  <c:v>116254481</c:v>
                </c:pt>
                <c:pt idx="7">
                  <c:v>475256227</c:v>
                </c:pt>
                <c:pt idx="8">
                  <c:v>308784720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Stato_patrimoniale!$A$24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2954122033</c:v>
                </c:pt>
                <c:pt idx="1">
                  <c:v>8066510833</c:v>
                </c:pt>
                <c:pt idx="2">
                  <c:v>7784576588</c:v>
                </c:pt>
                <c:pt idx="3">
                  <c:v>7567563901</c:v>
                </c:pt>
                <c:pt idx="4">
                  <c:v>10829778548</c:v>
                </c:pt>
                <c:pt idx="5">
                  <c:v>7734760751</c:v>
                </c:pt>
                <c:pt idx="6">
                  <c:v>8698164874</c:v>
                </c:pt>
                <c:pt idx="7">
                  <c:v>10196702210</c:v>
                </c:pt>
                <c:pt idx="8">
                  <c:v>11832235635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Stato_patrimoniale!$A$27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Stato_patrimoniale!$B$27:$J$27</c:f>
              <c:numCache>
                <c:formatCode>#,##0</c:formatCode>
                <c:ptCount val="9"/>
                <c:pt idx="0">
                  <c:v>1350205639</c:v>
                </c:pt>
                <c:pt idx="1">
                  <c:v>1631668325</c:v>
                </c:pt>
                <c:pt idx="2">
                  <c:v>2415742591</c:v>
                </c:pt>
                <c:pt idx="3">
                  <c:v>2029692142</c:v>
                </c:pt>
                <c:pt idx="4">
                  <c:v>2908271986</c:v>
                </c:pt>
                <c:pt idx="5">
                  <c:v>3348648928</c:v>
                </c:pt>
                <c:pt idx="6">
                  <c:v>1717395438</c:v>
                </c:pt>
                <c:pt idx="7">
                  <c:v>1805018609</c:v>
                </c:pt>
                <c:pt idx="8">
                  <c:v>5079872999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00946160"/>
        <c:axId val="-1800942352"/>
      </c:barChart>
      <c:catAx>
        <c:axId val="-180094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800942352"/>
        <c:crosses val="autoZero"/>
        <c:auto val="1"/>
        <c:lblAlgn val="ctr"/>
        <c:lblOffset val="100"/>
        <c:noMultiLvlLbl val="0"/>
      </c:catAx>
      <c:valAx>
        <c:axId val="-1800942352"/>
        <c:scaling>
          <c:orientation val="minMax"/>
          <c:max val="25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800946160"/>
        <c:crosses val="autoZero"/>
        <c:crossBetween val="between"/>
        <c:majorUnit val="5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81275972794676E-2"/>
          <c:y val="1.2121212121212118E-2"/>
          <c:w val="0.8812854788500275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Stato_patrimoniale!$B$16:$J$16</c:f>
              <c:numCache>
                <c:formatCode>#,##0</c:formatCode>
                <c:ptCount val="9"/>
                <c:pt idx="0">
                  <c:v>836300279</c:v>
                </c:pt>
                <c:pt idx="1">
                  <c:v>396068013</c:v>
                </c:pt>
                <c:pt idx="2">
                  <c:v>396068013</c:v>
                </c:pt>
                <c:pt idx="3">
                  <c:v>396068013</c:v>
                </c:pt>
                <c:pt idx="4">
                  <c:v>210621519</c:v>
                </c:pt>
                <c:pt idx="5">
                  <c:v>210621519</c:v>
                </c:pt>
                <c:pt idx="6">
                  <c:v>210621519</c:v>
                </c:pt>
                <c:pt idx="7">
                  <c:v>210621519</c:v>
                </c:pt>
                <c:pt idx="8">
                  <c:v>210621519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9073053</c:v>
                </c:pt>
                <c:pt idx="1">
                  <c:v>878385305</c:v>
                </c:pt>
                <c:pt idx="2">
                  <c:v>1145301758</c:v>
                </c:pt>
                <c:pt idx="3">
                  <c:v>1335849362</c:v>
                </c:pt>
                <c:pt idx="4">
                  <c:v>1527366779</c:v>
                </c:pt>
                <c:pt idx="5">
                  <c:v>2065930396</c:v>
                </c:pt>
                <c:pt idx="6">
                  <c:v>2544184348</c:v>
                </c:pt>
                <c:pt idx="7">
                  <c:v>1410601833</c:v>
                </c:pt>
                <c:pt idx="8">
                  <c:v>1588624166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0">
                  <c:v>487003441</c:v>
                </c:pt>
                <c:pt idx="1">
                  <c:v>190170230</c:v>
                </c:pt>
                <c:pt idx="2">
                  <c:v>152884025</c:v>
                </c:pt>
                <c:pt idx="3">
                  <c:v>157386491</c:v>
                </c:pt>
                <c:pt idx="4">
                  <c:v>498245724</c:v>
                </c:pt>
                <c:pt idx="5">
                  <c:v>532951049</c:v>
                </c:pt>
                <c:pt idx="6">
                  <c:v>391743051</c:v>
                </c:pt>
                <c:pt idx="7">
                  <c:v>315131286</c:v>
                </c:pt>
                <c:pt idx="8">
                  <c:v>-727773665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Stato_patrimoniale!$A$19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Stato_patrimoniale!$B$19:$J$19</c:f>
              <c:numCache>
                <c:formatCode>#,##0</c:formatCode>
                <c:ptCount val="9"/>
                <c:pt idx="7">
                  <c:v>1525271641</c:v>
                </c:pt>
                <c:pt idx="8">
                  <c:v>1701091423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DF-4519-AA9B-6FA163B4A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00936368"/>
        <c:axId val="-1800935824"/>
      </c:barChart>
      <c:catAx>
        <c:axId val="-180093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800935824"/>
        <c:crosses val="autoZero"/>
        <c:auto val="1"/>
        <c:lblAlgn val="ctr"/>
        <c:lblOffset val="100"/>
        <c:noMultiLvlLbl val="0"/>
      </c:catAx>
      <c:valAx>
        <c:axId val="-1800935824"/>
        <c:scaling>
          <c:orientation val="minMax"/>
          <c:max val="3500000000"/>
          <c:min val="-10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-1800936368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82E-2"/>
          <c:w val="0.91226637907374486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Piano_indicatori!$D$74:$I$74</c:f>
              <c:numCache>
                <c:formatCode>0.00</c:formatCode>
                <c:ptCount val="6"/>
                <c:pt idx="0">
                  <c:v>61.08</c:v>
                </c:pt>
                <c:pt idx="1">
                  <c:v>68.73</c:v>
                </c:pt>
                <c:pt idx="2">
                  <c:v>69.41</c:v>
                </c:pt>
                <c:pt idx="3">
                  <c:v>76.680000000000007</c:v>
                </c:pt>
                <c:pt idx="4">
                  <c:v>90.08</c:v>
                </c:pt>
                <c:pt idx="5">
                  <c:v>87.66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Piano_indicatori!$D$77:$I$77</c:f>
              <c:numCache>
                <c:formatCode>0.00</c:formatCode>
                <c:ptCount val="6"/>
                <c:pt idx="0">
                  <c:v>64.444580496681553</c:v>
                </c:pt>
                <c:pt idx="1">
                  <c:v>61.655881412616431</c:v>
                </c:pt>
                <c:pt idx="2">
                  <c:v>69.05239581489036</c:v>
                </c:pt>
                <c:pt idx="3">
                  <c:v>71.713148312169466</c:v>
                </c:pt>
                <c:pt idx="4">
                  <c:v>84.375517411034849</c:v>
                </c:pt>
                <c:pt idx="5">
                  <c:v>81.48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Piano_indicatori!$D$78:$I$78</c:f>
              <c:numCache>
                <c:formatCode>0.00</c:formatCode>
                <c:ptCount val="6"/>
                <c:pt idx="0">
                  <c:v>59.58188773056284</c:v>
                </c:pt>
                <c:pt idx="1">
                  <c:v>62.868168364394606</c:v>
                </c:pt>
                <c:pt idx="2">
                  <c:v>64.743646046522557</c:v>
                </c:pt>
                <c:pt idx="3">
                  <c:v>69.786282757770508</c:v>
                </c:pt>
                <c:pt idx="4">
                  <c:v>84.047188388322084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00934192"/>
        <c:axId val="-1800945616"/>
      </c:lineChart>
      <c:catAx>
        <c:axId val="-180093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800945616"/>
        <c:crosses val="autoZero"/>
        <c:auto val="1"/>
        <c:lblAlgn val="ctr"/>
        <c:lblOffset val="100"/>
        <c:noMultiLvlLbl val="0"/>
      </c:catAx>
      <c:valAx>
        <c:axId val="-1800945616"/>
        <c:scaling>
          <c:orientation val="minMax"/>
          <c:max val="91"/>
          <c:min val="5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80093419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77"/>
          <c:w val="0.96177967444791546"/>
          <c:h val="0.1795680460155259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60409530691341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Piano_indicatori!$D$80:$I$80</c:f>
              <c:numCache>
                <c:formatCode>0.00</c:formatCode>
                <c:ptCount val="6"/>
                <c:pt idx="0">
                  <c:v>1.65266106442577</c:v>
                </c:pt>
                <c:pt idx="1">
                  <c:v>1.4154758695066054</c:v>
                </c:pt>
                <c:pt idx="2">
                  <c:v>1.5625</c:v>
                </c:pt>
                <c:pt idx="3">
                  <c:v>1.6358962374386536</c:v>
                </c:pt>
                <c:pt idx="4">
                  <c:v>1.4955489614243322</c:v>
                </c:pt>
                <c:pt idx="5">
                  <c:v>1.6421099988752672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Piano_indicatori!$D$81:$I$81</c:f>
              <c:numCache>
                <c:formatCode>0.00</c:formatCode>
                <c:ptCount val="6"/>
                <c:pt idx="0">
                  <c:v>1.3865546218487395</c:v>
                </c:pt>
                <c:pt idx="1">
                  <c:v>1.2806686438393096</c:v>
                </c:pt>
                <c:pt idx="2">
                  <c:v>1.1532738095238095</c:v>
                </c:pt>
                <c:pt idx="3">
                  <c:v>1.0633325543351251</c:v>
                </c:pt>
                <c:pt idx="4">
                  <c:v>0.96142433234421376</c:v>
                </c:pt>
                <c:pt idx="5">
                  <c:v>1.4171634236868744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Piano_indicatori!$D$82:$I$82</c:f>
              <c:numCache>
                <c:formatCode>0.00</c:formatCode>
                <c:ptCount val="6"/>
                <c:pt idx="0">
                  <c:v>9.1316526610644235</c:v>
                </c:pt>
                <c:pt idx="1">
                  <c:v>7.9131841466702619</c:v>
                </c:pt>
                <c:pt idx="2">
                  <c:v>8.1101190476190474</c:v>
                </c:pt>
                <c:pt idx="3">
                  <c:v>8.0743164290722138</c:v>
                </c:pt>
                <c:pt idx="4">
                  <c:v>8.3442136498516319</c:v>
                </c:pt>
                <c:pt idx="5">
                  <c:v>8.8066584186255756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Piano_indicatori!$D$83:$I$83</c:f>
              <c:numCache>
                <c:formatCode>0.00</c:formatCode>
                <c:ptCount val="6"/>
                <c:pt idx="0">
                  <c:v>1.0784313725490196</c:v>
                </c:pt>
                <c:pt idx="1">
                  <c:v>0.88972768940415203</c:v>
                </c:pt>
                <c:pt idx="2">
                  <c:v>1.4384920634920635</c:v>
                </c:pt>
                <c:pt idx="3">
                  <c:v>1.6008413180649685</c:v>
                </c:pt>
                <c:pt idx="4">
                  <c:v>1.7448071216617209</c:v>
                </c:pt>
                <c:pt idx="5">
                  <c:v>1.7770779439883029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Piano_indicatori!$D$84:$I$84</c:f>
              <c:numCache>
                <c:formatCode>0.00</c:formatCode>
                <c:ptCount val="6"/>
                <c:pt idx="0">
                  <c:v>77.689075630252091</c:v>
                </c:pt>
                <c:pt idx="1">
                  <c:v>81.005661903478028</c:v>
                </c:pt>
                <c:pt idx="2">
                  <c:v>79.27827380952381</c:v>
                </c:pt>
                <c:pt idx="3">
                  <c:v>78.931993456415057</c:v>
                </c:pt>
                <c:pt idx="4">
                  <c:v>79.252225519287833</c:v>
                </c:pt>
                <c:pt idx="5">
                  <c:v>76.436846249015858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17-4AF7-BF0D-7ECCA603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00940720"/>
        <c:axId val="-1800935280"/>
      </c:barChart>
      <c:catAx>
        <c:axId val="-180094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1800935280"/>
        <c:crosses val="autoZero"/>
        <c:auto val="1"/>
        <c:lblAlgn val="ctr"/>
        <c:lblOffset val="100"/>
        <c:noMultiLvlLbl val="0"/>
      </c:catAx>
      <c:valAx>
        <c:axId val="-1800935280"/>
        <c:scaling>
          <c:orientation val="minMax"/>
          <c:max val="1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80094072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4788290275053724"/>
          <c:w val="0.94706811428307203"/>
          <c:h val="0.1521170972494629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86E-2"/>
          <c:w val="0.9122665336936"/>
          <c:h val="0.7191578712235451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Piano_indicatori!$D$86:$I$86</c:f>
              <c:numCache>
                <c:formatCode>0.00</c:formatCode>
                <c:ptCount val="6"/>
                <c:pt idx="0">
                  <c:v>98.68</c:v>
                </c:pt>
                <c:pt idx="1">
                  <c:v>93.45</c:v>
                </c:pt>
                <c:pt idx="2">
                  <c:v>97.01</c:v>
                </c:pt>
                <c:pt idx="3">
                  <c:v>92.14</c:v>
                </c:pt>
                <c:pt idx="4">
                  <c:v>92.52</c:v>
                </c:pt>
                <c:pt idx="5">
                  <c:v>86.32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Piano_indicatori!$D$87:$I$87</c:f>
              <c:numCache>
                <c:formatCode>0.00</c:formatCode>
                <c:ptCount val="6"/>
                <c:pt idx="0">
                  <c:v>95.76</c:v>
                </c:pt>
                <c:pt idx="1">
                  <c:v>88.41</c:v>
                </c:pt>
                <c:pt idx="2">
                  <c:v>89.76</c:v>
                </c:pt>
                <c:pt idx="3">
                  <c:v>86.2</c:v>
                </c:pt>
                <c:pt idx="4">
                  <c:v>86.11</c:v>
                </c:pt>
                <c:pt idx="5">
                  <c:v>87.55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Piano_indicatori!$D$88:$I$88</c:f>
              <c:numCache>
                <c:formatCode>0.00</c:formatCode>
                <c:ptCount val="6"/>
                <c:pt idx="0">
                  <c:v>93.5</c:v>
                </c:pt>
                <c:pt idx="1">
                  <c:v>92.25</c:v>
                </c:pt>
                <c:pt idx="2">
                  <c:v>91.76</c:v>
                </c:pt>
                <c:pt idx="3">
                  <c:v>91.29</c:v>
                </c:pt>
                <c:pt idx="4">
                  <c:v>94.26</c:v>
                </c:pt>
                <c:pt idx="5">
                  <c:v>84.76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Piano_indicatori!$D$89:$I$89</c:f>
              <c:numCache>
                <c:formatCode>0.00</c:formatCode>
                <c:ptCount val="6"/>
                <c:pt idx="0">
                  <c:v>98.15</c:v>
                </c:pt>
                <c:pt idx="1">
                  <c:v>83.11</c:v>
                </c:pt>
                <c:pt idx="2">
                  <c:v>89.07</c:v>
                </c:pt>
                <c:pt idx="3">
                  <c:v>83.24</c:v>
                </c:pt>
                <c:pt idx="4">
                  <c:v>89.36</c:v>
                </c:pt>
                <c:pt idx="5">
                  <c:v>87.91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Piano_indicatori!$D$1:$I$1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Piano_indicatori!$D$90:$I$90</c:f>
              <c:numCache>
                <c:formatCode>0.00</c:formatCode>
                <c:ptCount val="6"/>
                <c:pt idx="0">
                  <c:v>72.44</c:v>
                </c:pt>
                <c:pt idx="1">
                  <c:v>59.71</c:v>
                </c:pt>
                <c:pt idx="2">
                  <c:v>73.8</c:v>
                </c:pt>
                <c:pt idx="3">
                  <c:v>71.12</c:v>
                </c:pt>
                <c:pt idx="4">
                  <c:v>66.040000000000006</c:v>
                </c:pt>
                <c:pt idx="5">
                  <c:v>65.06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01-42D2-B5D0-1D2DC77F9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00944528"/>
        <c:axId val="-1800941264"/>
      </c:lineChart>
      <c:catAx>
        <c:axId val="-180094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800941264"/>
        <c:crosses val="autoZero"/>
        <c:auto val="1"/>
        <c:lblAlgn val="ctr"/>
        <c:lblOffset val="100"/>
        <c:noMultiLvlLbl val="0"/>
      </c:catAx>
      <c:valAx>
        <c:axId val="-1800941264"/>
        <c:scaling>
          <c:orientation val="minMax"/>
          <c:max val="10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800944528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04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46</xdr:row>
      <xdr:rowOff>118110</xdr:rowOff>
    </xdr:from>
    <xdr:to>
      <xdr:col>12</xdr:col>
      <xdr:colOff>251460</xdr:colOff>
      <xdr:row>64</xdr:row>
      <xdr:rowOff>175260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24</xdr:row>
      <xdr:rowOff>66675</xdr:rowOff>
    </xdr:from>
    <xdr:to>
      <xdr:col>12</xdr:col>
      <xdr:colOff>388620</xdr:colOff>
      <xdr:row>49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1666875</xdr:colOff>
      <xdr:row>52</xdr:row>
      <xdr:rowOff>171449</xdr:rowOff>
    </xdr:from>
    <xdr:to>
      <xdr:col>13</xdr:col>
      <xdr:colOff>542925</xdr:colOff>
      <xdr:row>75</xdr:row>
      <xdr:rowOff>142874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28</xdr:row>
      <xdr:rowOff>133349</xdr:rowOff>
    </xdr:from>
    <xdr:to>
      <xdr:col>14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2103119</xdr:colOff>
      <xdr:row>32</xdr:row>
      <xdr:rowOff>144780</xdr:rowOff>
    </xdr:from>
    <xdr:to>
      <xdr:col>8</xdr:col>
      <xdr:colOff>563880</xdr:colOff>
      <xdr:row>56</xdr:row>
      <xdr:rowOff>129540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2091690</xdr:colOff>
      <xdr:row>58</xdr:row>
      <xdr:rowOff>32384</xdr:rowOff>
    </xdr:from>
    <xdr:to>
      <xdr:col>9</xdr:col>
      <xdr:colOff>342900</xdr:colOff>
      <xdr:row>83</xdr:row>
      <xdr:rowOff>68579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10</xdr:row>
      <xdr:rowOff>19049</xdr:rowOff>
    </xdr:from>
    <xdr:to>
      <xdr:col>10</xdr:col>
      <xdr:colOff>419100</xdr:colOff>
      <xdr:row>27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workbookViewId="0">
      <pane xSplit="1" ySplit="2" topLeftCell="J42" activePane="bottomRight" state="frozen"/>
      <selection pane="topRight" activeCell="B1" sqref="B1"/>
      <selection pane="bottomLeft" activeCell="A3" sqref="A3"/>
      <selection pane="bottomRight" activeCell="Q50" sqref="Q50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</cols>
  <sheetData>
    <row r="1" spans="1:21" x14ac:dyDescent="0.3">
      <c r="B1" s="122">
        <v>2016</v>
      </c>
      <c r="C1" s="122"/>
      <c r="D1" s="123"/>
      <c r="E1" s="124">
        <v>2017</v>
      </c>
      <c r="F1" s="122"/>
      <c r="G1" s="123"/>
      <c r="H1" s="124">
        <v>2018</v>
      </c>
      <c r="I1" s="122"/>
      <c r="J1" s="123"/>
      <c r="K1" s="124">
        <v>2019</v>
      </c>
      <c r="L1" s="122"/>
      <c r="M1" s="123"/>
      <c r="N1" s="124">
        <v>2020</v>
      </c>
      <c r="O1" s="122"/>
      <c r="P1" s="123"/>
      <c r="Q1" s="124">
        <v>2021</v>
      </c>
      <c r="R1" s="122"/>
      <c r="S1" s="123"/>
      <c r="T1" s="121" t="s">
        <v>233</v>
      </c>
      <c r="U1" s="121"/>
    </row>
    <row r="2" spans="1:21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7" t="s">
        <v>74</v>
      </c>
      <c r="M2" s="18" t="s">
        <v>234</v>
      </c>
      <c r="N2" s="23" t="s">
        <v>73</v>
      </c>
      <c r="O2" s="17" t="s">
        <v>74</v>
      </c>
      <c r="P2" s="18" t="s">
        <v>234</v>
      </c>
      <c r="Q2" s="23" t="s">
        <v>73</v>
      </c>
      <c r="R2" s="17" t="s">
        <v>74</v>
      </c>
      <c r="S2" s="18" t="s">
        <v>234</v>
      </c>
      <c r="T2" s="12" t="s">
        <v>73</v>
      </c>
      <c r="U2" s="12" t="s">
        <v>74</v>
      </c>
    </row>
    <row r="3" spans="1:21" x14ac:dyDescent="0.3">
      <c r="A3" t="s">
        <v>20</v>
      </c>
      <c r="B3" s="28">
        <v>20354748567.650002</v>
      </c>
      <c r="C3" s="28">
        <v>15828762449.02</v>
      </c>
      <c r="D3" s="20">
        <f>IF(B3&gt;0,C3/B3*100,"-")</f>
        <v>77.764470518573759</v>
      </c>
      <c r="E3" s="28">
        <v>21356690142.450001</v>
      </c>
      <c r="F3" s="28">
        <v>16454458229.84</v>
      </c>
      <c r="G3" s="20">
        <f>IF(E3&gt;0,F3/E3*100,"-")</f>
        <v>77.045919194819461</v>
      </c>
      <c r="H3" s="28">
        <v>20735390535.380001</v>
      </c>
      <c r="I3" s="28">
        <v>17796656949.869999</v>
      </c>
      <c r="J3" s="20">
        <f>IF(H3&gt;0,I3/H3*100,"-")</f>
        <v>85.827450028029347</v>
      </c>
      <c r="K3" s="28">
        <v>21142712464.27</v>
      </c>
      <c r="L3" s="28">
        <v>18442986631.209999</v>
      </c>
      <c r="M3" s="20">
        <f>IF(K3&gt;0,L3/K3*100,"-")</f>
        <v>87.230939087771318</v>
      </c>
      <c r="N3" s="28">
        <v>21693501929.540001</v>
      </c>
      <c r="O3" s="28">
        <v>19387942972.470001</v>
      </c>
      <c r="P3" s="20">
        <f>IF(N3&gt;0,O3/N3*100,"-")</f>
        <v>89.372121824505783</v>
      </c>
      <c r="Q3" s="28">
        <v>22133064343.080002</v>
      </c>
      <c r="R3" s="28">
        <v>19670652384.099998</v>
      </c>
      <c r="S3" s="20">
        <f>IF(Q3&gt;0,R3/Q3*100,"-")</f>
        <v>88.874509553622261</v>
      </c>
      <c r="T3" s="13">
        <f>IF(N3&gt;0,Q3/N3*100-100,"-")</f>
        <v>2.0262400001977028</v>
      </c>
      <c r="U3" s="13">
        <f>IF(O3&gt;0,R3/O3*100-100,"-")</f>
        <v>1.4581712563908127</v>
      </c>
    </row>
    <row r="4" spans="1:21" x14ac:dyDescent="0.3">
      <c r="A4" t="s">
        <v>21</v>
      </c>
      <c r="B4" s="28">
        <v>852509181.85000002</v>
      </c>
      <c r="C4" s="28">
        <v>668963984.26999998</v>
      </c>
      <c r="D4" s="20">
        <f t="shared" ref="D4:D21" si="0">IF(B4&gt;0,C4/B4*100,"-")</f>
        <v>78.470003433664488</v>
      </c>
      <c r="E4" s="28">
        <v>1072908400.5</v>
      </c>
      <c r="F4" s="28">
        <v>602496308.58000004</v>
      </c>
      <c r="G4" s="20">
        <f t="shared" ref="G4:G21" si="1">IF(E4&gt;0,F4/E4*100,"-")</f>
        <v>56.155428394373921</v>
      </c>
      <c r="H4" s="28">
        <v>1422174928.4400001</v>
      </c>
      <c r="I4" s="28">
        <v>986970630.89999998</v>
      </c>
      <c r="J4" s="20">
        <f t="shared" ref="J4:J13" si="2">IF(H4&gt;0,I4/H4*100,"-")</f>
        <v>69.398680230048726</v>
      </c>
      <c r="K4" s="28">
        <v>1396374150.8299999</v>
      </c>
      <c r="L4" s="28">
        <v>1046828214.22</v>
      </c>
      <c r="M4" s="20">
        <f t="shared" ref="M4:M13" si="3">IF(K4&gt;0,L4/K4*100,"-")</f>
        <v>74.967601885051295</v>
      </c>
      <c r="N4" s="28">
        <v>1932850295.45</v>
      </c>
      <c r="O4" s="28">
        <v>1791144187.47</v>
      </c>
      <c r="P4" s="20">
        <f t="shared" ref="P4:P21" si="4">IF(N4&gt;0,O4/N4*100,"-")</f>
        <v>92.668541981053508</v>
      </c>
      <c r="Q4" s="28">
        <v>2702086524.9200001</v>
      </c>
      <c r="R4" s="28">
        <v>2038116732.21</v>
      </c>
      <c r="S4" s="20">
        <f t="shared" ref="S4:S13" si="5">IF(Q4&gt;0,R4/Q4*100,"-")</f>
        <v>75.427515492692891</v>
      </c>
      <c r="T4" s="13">
        <f t="shared" ref="T4:T61" si="6">IF(N4&gt;0,Q4/N4*100-100,"-")</f>
        <v>39.798024258826985</v>
      </c>
      <c r="U4" s="13">
        <f t="shared" ref="U4:U61" si="7">IF(O4&gt;0,R4/O4*100-100,"-")</f>
        <v>13.788535086549885</v>
      </c>
    </row>
    <row r="5" spans="1:21" x14ac:dyDescent="0.3">
      <c r="A5" t="s">
        <v>22</v>
      </c>
      <c r="B5" s="28">
        <v>1108364638.01</v>
      </c>
      <c r="C5" s="28">
        <v>552898705.12</v>
      </c>
      <c r="D5" s="20">
        <f t="shared" si="0"/>
        <v>49.884188484458988</v>
      </c>
      <c r="E5" s="28">
        <v>1223305391.01</v>
      </c>
      <c r="F5" s="28">
        <v>185078791.53</v>
      </c>
      <c r="G5" s="20">
        <f t="shared" si="1"/>
        <v>15.129402101072492</v>
      </c>
      <c r="H5" s="28">
        <v>1470903150.7</v>
      </c>
      <c r="I5" s="28">
        <v>633703221.83000004</v>
      </c>
      <c r="J5" s="20">
        <f t="shared" si="2"/>
        <v>43.082593271244399</v>
      </c>
      <c r="K5" s="28">
        <v>1595787518.21</v>
      </c>
      <c r="L5" s="28">
        <v>653015972.79999995</v>
      </c>
      <c r="M5" s="20">
        <f t="shared" si="3"/>
        <v>40.921235775329919</v>
      </c>
      <c r="N5" s="28">
        <v>1607242428.3399999</v>
      </c>
      <c r="O5" s="28">
        <v>333624714.93000001</v>
      </c>
      <c r="P5" s="20">
        <f t="shared" si="4"/>
        <v>20.757585106471833</v>
      </c>
      <c r="Q5" s="28">
        <v>1286732024.1500001</v>
      </c>
      <c r="R5" s="28">
        <v>1003798796.26</v>
      </c>
      <c r="S5" s="20">
        <f t="shared" si="5"/>
        <v>78.011487817216448</v>
      </c>
      <c r="T5" s="13">
        <f t="shared" si="6"/>
        <v>-19.941634101896568</v>
      </c>
      <c r="U5" s="13">
        <f t="shared" si="7"/>
        <v>200.87662914020427</v>
      </c>
    </row>
    <row r="6" spans="1:21" x14ac:dyDescent="0.3">
      <c r="A6" t="s">
        <v>23</v>
      </c>
      <c r="B6" s="28">
        <v>0</v>
      </c>
      <c r="C6" s="28">
        <v>0</v>
      </c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28">
        <v>0</v>
      </c>
      <c r="I6" s="28">
        <v>0</v>
      </c>
      <c r="J6" s="20" t="str">
        <f t="shared" si="2"/>
        <v>-</v>
      </c>
      <c r="K6" s="28">
        <v>0</v>
      </c>
      <c r="L6" s="28">
        <v>0</v>
      </c>
      <c r="M6" s="20" t="str">
        <f t="shared" si="3"/>
        <v>-</v>
      </c>
      <c r="N6" s="28">
        <v>0</v>
      </c>
      <c r="O6" s="28">
        <v>0</v>
      </c>
      <c r="P6" s="20" t="str">
        <f t="shared" si="4"/>
        <v>-</v>
      </c>
      <c r="Q6" s="28">
        <v>0</v>
      </c>
      <c r="R6" s="28">
        <v>0</v>
      </c>
      <c r="S6" s="20" t="str">
        <f t="shared" si="5"/>
        <v>-</v>
      </c>
      <c r="T6" s="13" t="str">
        <f t="shared" si="6"/>
        <v>-</v>
      </c>
      <c r="U6" s="13" t="str">
        <f t="shared" si="7"/>
        <v>-</v>
      </c>
    </row>
    <row r="7" spans="1:21" x14ac:dyDescent="0.3">
      <c r="A7" t="s">
        <v>24</v>
      </c>
      <c r="B7" s="28">
        <v>506737951.02999997</v>
      </c>
      <c r="C7" s="28">
        <v>154134538.81999999</v>
      </c>
      <c r="D7" s="20">
        <f t="shared" si="0"/>
        <v>30.417011101439073</v>
      </c>
      <c r="E7" s="28">
        <v>466214197.74000001</v>
      </c>
      <c r="F7" s="28">
        <v>81535235.650000006</v>
      </c>
      <c r="G7" s="20">
        <f t="shared" si="1"/>
        <v>17.488792929354517</v>
      </c>
      <c r="H7" s="28">
        <v>571060859.55999994</v>
      </c>
      <c r="I7" s="28">
        <v>306408685.55000001</v>
      </c>
      <c r="J7" s="20">
        <f t="shared" si="2"/>
        <v>53.656047410793775</v>
      </c>
      <c r="K7" s="28">
        <v>559158014.26999998</v>
      </c>
      <c r="L7" s="28">
        <v>242427542.46000001</v>
      </c>
      <c r="M7" s="20">
        <f t="shared" si="3"/>
        <v>43.35582004963257</v>
      </c>
      <c r="N7" s="28">
        <v>626006810.54999995</v>
      </c>
      <c r="O7" s="28">
        <v>357293077.88999999</v>
      </c>
      <c r="P7" s="20">
        <f t="shared" si="4"/>
        <v>57.074950602548199</v>
      </c>
      <c r="Q7" s="28">
        <v>757375859.78999996</v>
      </c>
      <c r="R7" s="28">
        <v>460059261.88999999</v>
      </c>
      <c r="S7" s="20">
        <f t="shared" si="5"/>
        <v>60.743850750347676</v>
      </c>
      <c r="T7" s="13">
        <f t="shared" si="6"/>
        <v>20.985242816221316</v>
      </c>
      <c r="U7" s="13">
        <f t="shared" si="7"/>
        <v>28.76243352009152</v>
      </c>
    </row>
    <row r="8" spans="1:21" x14ac:dyDescent="0.3">
      <c r="A8" t="s">
        <v>25</v>
      </c>
      <c r="B8" s="28">
        <v>1048204.19</v>
      </c>
      <c r="C8" s="28">
        <v>1048204.19</v>
      </c>
      <c r="D8" s="20">
        <f t="shared" si="0"/>
        <v>100</v>
      </c>
      <c r="E8" s="28">
        <v>0</v>
      </c>
      <c r="F8" s="28">
        <v>0</v>
      </c>
      <c r="G8" s="20" t="str">
        <f t="shared" si="1"/>
        <v>-</v>
      </c>
      <c r="H8" s="28">
        <v>0</v>
      </c>
      <c r="I8" s="28">
        <v>0</v>
      </c>
      <c r="J8" s="20" t="str">
        <f t="shared" si="2"/>
        <v>-</v>
      </c>
      <c r="K8" s="28">
        <v>0</v>
      </c>
      <c r="L8" s="28">
        <v>0</v>
      </c>
      <c r="M8" s="20" t="str">
        <f t="shared" si="3"/>
        <v>-</v>
      </c>
      <c r="N8" s="28">
        <v>43706315.789999999</v>
      </c>
      <c r="O8" s="28">
        <v>43706315.789999999</v>
      </c>
      <c r="P8" s="20">
        <f t="shared" si="4"/>
        <v>100</v>
      </c>
      <c r="Q8" s="28">
        <v>0</v>
      </c>
      <c r="R8" s="28">
        <v>0</v>
      </c>
      <c r="S8" s="20" t="str">
        <f t="shared" si="5"/>
        <v>-</v>
      </c>
      <c r="T8" s="13">
        <f t="shared" si="6"/>
        <v>-100</v>
      </c>
      <c r="U8" s="13">
        <f t="shared" si="7"/>
        <v>-100</v>
      </c>
    </row>
    <row r="9" spans="1:21" x14ac:dyDescent="0.3">
      <c r="A9" t="s">
        <v>26</v>
      </c>
      <c r="B9" s="28">
        <v>0</v>
      </c>
      <c r="C9" s="28">
        <v>0</v>
      </c>
      <c r="D9" s="20" t="str">
        <f t="shared" si="0"/>
        <v>-</v>
      </c>
      <c r="E9" s="28">
        <v>200494</v>
      </c>
      <c r="F9" s="28">
        <v>200494</v>
      </c>
      <c r="G9" s="20">
        <f t="shared" si="1"/>
        <v>100</v>
      </c>
      <c r="H9" s="28">
        <v>5770000</v>
      </c>
      <c r="I9" s="28">
        <v>5770000</v>
      </c>
      <c r="J9" s="20">
        <f t="shared" si="2"/>
        <v>100</v>
      </c>
      <c r="K9" s="28">
        <v>0</v>
      </c>
      <c r="L9" s="28">
        <v>0</v>
      </c>
      <c r="M9" s="20" t="str">
        <f t="shared" si="3"/>
        <v>-</v>
      </c>
      <c r="N9" s="28">
        <v>0</v>
      </c>
      <c r="O9" s="28">
        <v>0</v>
      </c>
      <c r="P9" s="20" t="str">
        <f t="shared" si="4"/>
        <v>-</v>
      </c>
      <c r="Q9" s="28">
        <v>0</v>
      </c>
      <c r="R9" s="28">
        <v>0</v>
      </c>
      <c r="S9" s="20" t="str">
        <f t="shared" si="5"/>
        <v>-</v>
      </c>
      <c r="T9" s="13" t="str">
        <f t="shared" si="6"/>
        <v>-</v>
      </c>
      <c r="U9" s="13" t="str">
        <f t="shared" si="7"/>
        <v>-</v>
      </c>
    </row>
    <row r="10" spans="1:21" x14ac:dyDescent="0.3">
      <c r="A10" t="s">
        <v>27</v>
      </c>
      <c r="B10" s="28">
        <v>33419593.77</v>
      </c>
      <c r="C10" s="28">
        <v>31725367.969999999</v>
      </c>
      <c r="D10" s="20">
        <f t="shared" si="0"/>
        <v>94.930441669458986</v>
      </c>
      <c r="E10" s="28">
        <v>71804089.629999995</v>
      </c>
      <c r="F10" s="28">
        <v>60931172.969999999</v>
      </c>
      <c r="G10" s="20">
        <f t="shared" si="1"/>
        <v>84.857524528161065</v>
      </c>
      <c r="H10" s="28">
        <v>275890757.47000003</v>
      </c>
      <c r="I10" s="28">
        <v>271071290.81999999</v>
      </c>
      <c r="J10" s="20">
        <f t="shared" si="2"/>
        <v>98.25312500708759</v>
      </c>
      <c r="K10" s="28">
        <v>147533117.59999999</v>
      </c>
      <c r="L10" s="28">
        <v>137165608.49000001</v>
      </c>
      <c r="M10" s="20">
        <f t="shared" si="3"/>
        <v>92.97275806364442</v>
      </c>
      <c r="N10" s="28">
        <v>166912474.33000001</v>
      </c>
      <c r="O10" s="28">
        <v>152836001.99000001</v>
      </c>
      <c r="P10" s="20">
        <f t="shared" si="4"/>
        <v>91.566554629002965</v>
      </c>
      <c r="Q10" s="28">
        <v>88651341.730000004</v>
      </c>
      <c r="R10" s="28">
        <v>80529728.25</v>
      </c>
      <c r="S10" s="20">
        <f t="shared" si="5"/>
        <v>90.83870213184646</v>
      </c>
      <c r="T10" s="13">
        <f t="shared" si="6"/>
        <v>-46.887527678291526</v>
      </c>
      <c r="U10" s="13">
        <f t="shared" si="7"/>
        <v>-47.30971289391028</v>
      </c>
    </row>
    <row r="11" spans="1:21" x14ac:dyDescent="0.3">
      <c r="A11" t="s">
        <v>28</v>
      </c>
      <c r="B11" s="28">
        <v>0</v>
      </c>
      <c r="C11" s="28">
        <v>0</v>
      </c>
      <c r="D11" s="20" t="str">
        <f t="shared" si="0"/>
        <v>-</v>
      </c>
      <c r="E11" s="28">
        <v>0</v>
      </c>
      <c r="F11" s="28">
        <v>0</v>
      </c>
      <c r="G11" s="20" t="str">
        <f t="shared" si="1"/>
        <v>-</v>
      </c>
      <c r="H11" s="28">
        <v>0</v>
      </c>
      <c r="I11" s="28">
        <v>0</v>
      </c>
      <c r="J11" s="20" t="str">
        <f t="shared" si="2"/>
        <v>-</v>
      </c>
      <c r="K11" s="28">
        <v>0</v>
      </c>
      <c r="L11" s="28">
        <v>0</v>
      </c>
      <c r="M11" s="20" t="str">
        <f t="shared" si="3"/>
        <v>-</v>
      </c>
      <c r="N11" s="28">
        <v>0</v>
      </c>
      <c r="O11" s="28">
        <v>0</v>
      </c>
      <c r="P11" s="20" t="str">
        <f t="shared" si="4"/>
        <v>-</v>
      </c>
      <c r="Q11" s="28">
        <v>519150716</v>
      </c>
      <c r="R11" s="28">
        <v>519150716</v>
      </c>
      <c r="S11" s="20">
        <f t="shared" si="5"/>
        <v>100</v>
      </c>
      <c r="T11" s="13" t="str">
        <f t="shared" si="6"/>
        <v>-</v>
      </c>
      <c r="U11" s="13" t="str">
        <f t="shared" si="7"/>
        <v>-</v>
      </c>
    </row>
    <row r="12" spans="1:21" x14ac:dyDescent="0.3">
      <c r="A12" t="s">
        <v>29</v>
      </c>
      <c r="B12" s="28">
        <f>1800847.35+35523425.33</f>
        <v>37324272.68</v>
      </c>
      <c r="C12" s="28">
        <f>1761052.22+25391608.17</f>
        <v>27152660.390000001</v>
      </c>
      <c r="D12" s="20">
        <f t="shared" si="0"/>
        <v>72.74799598318657</v>
      </c>
      <c r="E12" s="28">
        <f>1369436.44+38514459.73</f>
        <v>39883896.169999994</v>
      </c>
      <c r="F12" s="28">
        <f>1332807.74+38436617.41</f>
        <v>39769425.149999999</v>
      </c>
      <c r="G12" s="20">
        <f t="shared" si="1"/>
        <v>99.712989374177297</v>
      </c>
      <c r="H12" s="28">
        <f>1730046.31+58904663.64</f>
        <v>60634709.950000003</v>
      </c>
      <c r="I12" s="28">
        <f>1703360.11+58785218.97</f>
        <v>60488579.079999998</v>
      </c>
      <c r="J12" s="20">
        <f t="shared" si="2"/>
        <v>99.758997989566524</v>
      </c>
      <c r="K12" s="28">
        <f>120736263.46+23969629.76</f>
        <v>144705893.22</v>
      </c>
      <c r="L12" s="28">
        <f>120711852.81+23585275.65</f>
        <v>144297128.46000001</v>
      </c>
      <c r="M12" s="20">
        <f t="shared" si="3"/>
        <v>99.717520309018425</v>
      </c>
      <c r="N12" s="28">
        <f>180683665.17+22827132.76</f>
        <v>203510797.92999998</v>
      </c>
      <c r="O12" s="28">
        <f>683665.17+19106698.62</f>
        <v>19790363.790000003</v>
      </c>
      <c r="P12" s="20">
        <f t="shared" si="4"/>
        <v>9.724478500058332</v>
      </c>
      <c r="Q12" s="28">
        <f>756730.85+17814062.67</f>
        <v>18570793.520000003</v>
      </c>
      <c r="R12" s="28">
        <f>756730.85+17275105</f>
        <v>18031835.850000001</v>
      </c>
      <c r="S12" s="20">
        <f t="shared" si="5"/>
        <v>97.09782099822732</v>
      </c>
      <c r="T12" s="13">
        <f t="shared" si="6"/>
        <v>-90.874787132234786</v>
      </c>
      <c r="U12" s="13">
        <f t="shared" si="7"/>
        <v>-8.8857787489918678</v>
      </c>
    </row>
    <row r="13" spans="1:21" x14ac:dyDescent="0.3">
      <c r="A13" t="s">
        <v>30</v>
      </c>
      <c r="B13" s="28">
        <v>269019569.91000003</v>
      </c>
      <c r="C13" s="28">
        <v>264251329.93000001</v>
      </c>
      <c r="D13" s="20">
        <f t="shared" si="0"/>
        <v>98.227549028646791</v>
      </c>
      <c r="E13" s="28">
        <v>257909313.78</v>
      </c>
      <c r="F13" s="28">
        <v>162863299.00999999</v>
      </c>
      <c r="G13" s="20">
        <f t="shared" si="1"/>
        <v>63.147505851194076</v>
      </c>
      <c r="H13" s="28">
        <v>312419942.68000001</v>
      </c>
      <c r="I13" s="28">
        <v>290171793.51999998</v>
      </c>
      <c r="J13" s="20">
        <f t="shared" si="2"/>
        <v>92.878767927184484</v>
      </c>
      <c r="K13" s="28">
        <v>261913283.18000001</v>
      </c>
      <c r="L13" s="28">
        <v>260598352.19999999</v>
      </c>
      <c r="M13" s="20">
        <f t="shared" si="3"/>
        <v>99.497951778529554</v>
      </c>
      <c r="N13" s="28">
        <v>148985065.49000001</v>
      </c>
      <c r="O13" s="28">
        <v>148564549.19999999</v>
      </c>
      <c r="P13" s="20">
        <f t="shared" si="4"/>
        <v>99.717746011241488</v>
      </c>
      <c r="Q13" s="28">
        <v>241743051.08000001</v>
      </c>
      <c r="R13" s="28">
        <v>228463022.34999999</v>
      </c>
      <c r="S13" s="20">
        <f t="shared" si="5"/>
        <v>94.50655203089778</v>
      </c>
      <c r="T13" s="13">
        <f t="shared" si="6"/>
        <v>62.259922016294979</v>
      </c>
      <c r="U13" s="13">
        <f t="shared" si="7"/>
        <v>53.780308680800687</v>
      </c>
    </row>
    <row r="14" spans="1:21" x14ac:dyDescent="0.3">
      <c r="A14" t="s">
        <v>31</v>
      </c>
      <c r="B14" s="28">
        <f t="shared" ref="B14:C14" si="8">SUM(B3:B5)</f>
        <v>22315622387.509998</v>
      </c>
      <c r="C14" s="28">
        <f t="shared" si="8"/>
        <v>17050625138.410002</v>
      </c>
      <c r="D14" s="20">
        <f>IF(B14&gt;0,C14/B14*100,"-")</f>
        <v>76.406675298257412</v>
      </c>
      <c r="E14" s="28">
        <f t="shared" ref="E14:F14" si="9">SUM(E3:E5)</f>
        <v>23652903933.959999</v>
      </c>
      <c r="F14" s="28">
        <f t="shared" si="9"/>
        <v>17242033329.950001</v>
      </c>
      <c r="G14" s="20">
        <f>IF(E14&gt;0,F14/E14*100,"-")</f>
        <v>72.896052755680884</v>
      </c>
      <c r="H14" s="28">
        <f t="shared" ref="H14:I14" si="10">SUM(H3:H5)</f>
        <v>23628468614.52</v>
      </c>
      <c r="I14" s="28">
        <f t="shared" si="10"/>
        <v>19417330802.600002</v>
      </c>
      <c r="J14" s="20">
        <f>IF(H14&gt;0,I14/H14*100,"-")</f>
        <v>82.177694709625825</v>
      </c>
      <c r="K14" s="28">
        <f t="shared" ref="K14:L14" si="11">SUM(K3:K5)</f>
        <v>24134874133.309998</v>
      </c>
      <c r="L14" s="28">
        <f t="shared" si="11"/>
        <v>20142830818.23</v>
      </c>
      <c r="M14" s="20">
        <f>IF(K14&gt;0,L14/K14*100,"-")</f>
        <v>83.459440090593489</v>
      </c>
      <c r="N14" s="28">
        <f t="shared" ref="N14:O14" si="12">SUM(N3:N5)</f>
        <v>25233594653.330002</v>
      </c>
      <c r="O14" s="28">
        <f t="shared" si="12"/>
        <v>21512711874.870003</v>
      </c>
      <c r="P14" s="20">
        <f>IF(N14&gt;0,O14/N14*100,"-")</f>
        <v>85.254250020343562</v>
      </c>
      <c r="Q14" s="28">
        <f t="shared" ref="Q14:R14" si="13">SUM(Q3:Q5)</f>
        <v>26121882892.150002</v>
      </c>
      <c r="R14" s="28">
        <f t="shared" si="13"/>
        <v>22712567912.569996</v>
      </c>
      <c r="S14" s="20">
        <f>IF(Q14&gt;0,R14/Q14*100,"-")</f>
        <v>86.948433259362972</v>
      </c>
      <c r="T14" s="13">
        <f t="shared" si="6"/>
        <v>3.5202603950158107</v>
      </c>
      <c r="U14" s="13">
        <f t="shared" si="7"/>
        <v>5.5774281024123269</v>
      </c>
    </row>
    <row r="15" spans="1:21" x14ac:dyDescent="0.3">
      <c r="A15" t="s">
        <v>32</v>
      </c>
      <c r="B15" s="27">
        <f t="shared" ref="B15:C15" si="14">SUM(B6:B10)</f>
        <v>541205748.99000001</v>
      </c>
      <c r="C15" s="27">
        <f t="shared" si="14"/>
        <v>186908110.97999999</v>
      </c>
      <c r="D15" s="20">
        <f>IF(B15&gt;0,C15/B15*100,"-")</f>
        <v>34.535499914553483</v>
      </c>
      <c r="E15" s="27">
        <f t="shared" ref="E15:F15" si="15">SUM(E6:E10)</f>
        <v>538218781.37</v>
      </c>
      <c r="F15" s="27">
        <f t="shared" si="15"/>
        <v>142666902.62</v>
      </c>
      <c r="G15" s="20">
        <f>IF(E15&gt;0,F15/E15*100,"-")</f>
        <v>26.50723229257272</v>
      </c>
      <c r="H15" s="27">
        <f t="shared" ref="H15:I15" si="16">SUM(H6:H10)</f>
        <v>852721617.02999997</v>
      </c>
      <c r="I15" s="27">
        <f t="shared" si="16"/>
        <v>583249976.37</v>
      </c>
      <c r="J15" s="20">
        <f>IF(H15&gt;0,I15/H15*100,"-")</f>
        <v>68.398638514810912</v>
      </c>
      <c r="K15" s="27">
        <f t="shared" ref="K15:L15" si="17">SUM(K6:K10)</f>
        <v>706691131.87</v>
      </c>
      <c r="L15" s="27">
        <f t="shared" si="17"/>
        <v>379593150.95000005</v>
      </c>
      <c r="M15" s="20">
        <f>IF(K15&gt;0,L15/K15*100,"-")</f>
        <v>53.714152312276141</v>
      </c>
      <c r="N15" s="27">
        <f t="shared" ref="N15:O15" si="18">SUM(N6:N10)</f>
        <v>836625600.66999996</v>
      </c>
      <c r="O15" s="27">
        <f t="shared" si="18"/>
        <v>553835395.67000008</v>
      </c>
      <c r="P15" s="20">
        <f>IF(N15&gt;0,O15/N15*100,"-")</f>
        <v>66.198714840481657</v>
      </c>
      <c r="Q15" s="27">
        <f t="shared" ref="Q15:R15" si="19">SUM(Q6:Q10)</f>
        <v>846027201.51999998</v>
      </c>
      <c r="R15" s="27">
        <f t="shared" si="19"/>
        <v>540588990.13999999</v>
      </c>
      <c r="S15" s="20">
        <f>IF(Q15&gt;0,R15/Q15*100,"-")</f>
        <v>63.897353320172236</v>
      </c>
      <c r="T15" s="13">
        <f t="shared" si="6"/>
        <v>1.1237524697392587</v>
      </c>
      <c r="U15" s="13">
        <f t="shared" si="7"/>
        <v>-2.3917585682611104</v>
      </c>
    </row>
    <row r="16" spans="1:21" x14ac:dyDescent="0.3">
      <c r="A16" t="s">
        <v>33</v>
      </c>
      <c r="B16" s="28">
        <f t="shared" ref="B16:C16" si="20">SUM(B11:B13)</f>
        <v>306343842.59000003</v>
      </c>
      <c r="C16" s="28">
        <f t="shared" si="20"/>
        <v>291403990.31999999</v>
      </c>
      <c r="D16" s="20">
        <f t="shared" si="0"/>
        <v>95.123175271391034</v>
      </c>
      <c r="E16" s="28">
        <f t="shared" ref="E16:F16" si="21">SUM(E11:E13)</f>
        <v>297793209.94999999</v>
      </c>
      <c r="F16" s="28">
        <f t="shared" si="21"/>
        <v>202632724.16</v>
      </c>
      <c r="G16" s="20">
        <f t="shared" si="1"/>
        <v>68.044776505825098</v>
      </c>
      <c r="H16" s="28">
        <f t="shared" ref="H16:I16" si="22">SUM(H11:H13)</f>
        <v>373054652.63</v>
      </c>
      <c r="I16" s="28">
        <f t="shared" si="22"/>
        <v>350660372.59999996</v>
      </c>
      <c r="J16" s="20">
        <f t="shared" ref="J16:J21" si="23">IF(H16&gt;0,I16/H16*100,"-")</f>
        <v>93.997051136576786</v>
      </c>
      <c r="K16" s="28">
        <f t="shared" ref="K16:L16" si="24">SUM(K11:K13)</f>
        <v>406619176.39999998</v>
      </c>
      <c r="L16" s="28">
        <f t="shared" si="24"/>
        <v>404895480.65999997</v>
      </c>
      <c r="M16" s="20">
        <f t="shared" ref="M16:M21" si="25">IF(K16&gt;0,L16/K16*100,"-")</f>
        <v>99.576090887975141</v>
      </c>
      <c r="N16" s="28">
        <f t="shared" ref="N16:O16" si="26">SUM(N11:N13)</f>
        <v>352495863.41999996</v>
      </c>
      <c r="O16" s="28">
        <f t="shared" si="26"/>
        <v>168354912.98999998</v>
      </c>
      <c r="P16" s="20">
        <f t="shared" si="4"/>
        <v>47.760819476455687</v>
      </c>
      <c r="Q16" s="28">
        <f t="shared" ref="Q16:R16" si="27">SUM(Q11:Q13)</f>
        <v>779464560.60000002</v>
      </c>
      <c r="R16" s="28">
        <f t="shared" si="27"/>
        <v>765645574.20000005</v>
      </c>
      <c r="S16" s="20">
        <f t="shared" ref="S16:S21" si="28">IF(Q16&gt;0,R16/Q16*100,"-")</f>
        <v>98.227118063024861</v>
      </c>
      <c r="T16" s="13">
        <f t="shared" si="6"/>
        <v>121.12729296663133</v>
      </c>
      <c r="U16" s="13">
        <f t="shared" si="7"/>
        <v>354.78065391859292</v>
      </c>
    </row>
    <row r="17" spans="1:21" x14ac:dyDescent="0.3">
      <c r="A17" t="s">
        <v>34</v>
      </c>
      <c r="B17" s="28">
        <v>70308425.769999996</v>
      </c>
      <c r="C17" s="28">
        <v>70308425.769999996</v>
      </c>
      <c r="D17" s="20">
        <f t="shared" si="0"/>
        <v>100</v>
      </c>
      <c r="E17" s="28">
        <v>0</v>
      </c>
      <c r="F17" s="28">
        <v>0</v>
      </c>
      <c r="G17" s="20" t="str">
        <f t="shared" si="1"/>
        <v>-</v>
      </c>
      <c r="H17" s="28">
        <v>0</v>
      </c>
      <c r="I17" s="28">
        <v>0</v>
      </c>
      <c r="J17" s="20" t="str">
        <f t="shared" si="23"/>
        <v>-</v>
      </c>
      <c r="K17" s="28">
        <v>0</v>
      </c>
      <c r="L17" s="28">
        <v>0</v>
      </c>
      <c r="M17" s="20" t="str">
        <f t="shared" si="25"/>
        <v>-</v>
      </c>
      <c r="N17" s="28">
        <v>276381167.73000002</v>
      </c>
      <c r="O17" s="28">
        <v>276381167.73000002</v>
      </c>
      <c r="P17" s="20">
        <f t="shared" si="4"/>
        <v>100</v>
      </c>
      <c r="Q17" s="28">
        <v>0</v>
      </c>
      <c r="R17" s="28">
        <v>0</v>
      </c>
      <c r="S17" s="20" t="str">
        <f t="shared" si="28"/>
        <v>-</v>
      </c>
      <c r="T17" s="13">
        <f t="shared" si="6"/>
        <v>-100</v>
      </c>
      <c r="U17" s="13">
        <f t="shared" si="7"/>
        <v>-100</v>
      </c>
    </row>
    <row r="18" spans="1:21" x14ac:dyDescent="0.3">
      <c r="A18" t="s">
        <v>35</v>
      </c>
      <c r="B18" s="28">
        <v>0</v>
      </c>
      <c r="C18" s="28">
        <v>0</v>
      </c>
      <c r="D18" s="20" t="str">
        <f t="shared" si="0"/>
        <v>-</v>
      </c>
      <c r="E18" s="28">
        <v>0</v>
      </c>
      <c r="F18" s="28">
        <v>0</v>
      </c>
      <c r="G18" s="20" t="str">
        <f t="shared" si="1"/>
        <v>-</v>
      </c>
      <c r="H18" s="28">
        <v>0</v>
      </c>
      <c r="I18" s="28">
        <v>0</v>
      </c>
      <c r="J18" s="20" t="str">
        <f t="shared" si="23"/>
        <v>-</v>
      </c>
      <c r="K18" s="28">
        <v>0</v>
      </c>
      <c r="L18" s="28">
        <v>0</v>
      </c>
      <c r="M18" s="20" t="str">
        <f t="shared" si="25"/>
        <v>-</v>
      </c>
      <c r="N18" s="28">
        <v>0</v>
      </c>
      <c r="O18" s="28">
        <v>0</v>
      </c>
      <c r="P18" s="20" t="str">
        <f t="shared" si="4"/>
        <v>-</v>
      </c>
      <c r="Q18" s="28">
        <v>0</v>
      </c>
      <c r="R18" s="28">
        <v>0</v>
      </c>
      <c r="S18" s="20" t="str">
        <f t="shared" si="28"/>
        <v>-</v>
      </c>
      <c r="T18" s="13" t="str">
        <f t="shared" si="6"/>
        <v>-</v>
      </c>
      <c r="U18" s="13" t="str">
        <f t="shared" si="7"/>
        <v>-</v>
      </c>
    </row>
    <row r="19" spans="1:21" x14ac:dyDescent="0.3">
      <c r="A19" t="s">
        <v>36</v>
      </c>
      <c r="B19" s="28">
        <v>9895040260.1599998</v>
      </c>
      <c r="C19" s="28">
        <v>8562937540.7299995</v>
      </c>
      <c r="D19" s="20">
        <f t="shared" si="0"/>
        <v>86.537672567201255</v>
      </c>
      <c r="E19" s="28">
        <v>8823563047.7000008</v>
      </c>
      <c r="F19" s="28">
        <v>5450078530.4499998</v>
      </c>
      <c r="G19" s="20">
        <f t="shared" si="1"/>
        <v>61.767321216916429</v>
      </c>
      <c r="H19" s="28">
        <v>6134883924.21</v>
      </c>
      <c r="I19" s="28">
        <v>5685144339.0500002</v>
      </c>
      <c r="J19" s="20">
        <f t="shared" si="23"/>
        <v>92.66914271376514</v>
      </c>
      <c r="K19" s="28">
        <v>4366557396.8500004</v>
      </c>
      <c r="L19" s="28">
        <v>4313049972</v>
      </c>
      <c r="M19" s="20">
        <f t="shared" si="25"/>
        <v>98.774608461837687</v>
      </c>
      <c r="N19" s="28">
        <v>5159227071.5600004</v>
      </c>
      <c r="O19" s="28">
        <v>5131752792.0900002</v>
      </c>
      <c r="P19" s="20">
        <f t="shared" si="4"/>
        <v>99.467472954980977</v>
      </c>
      <c r="Q19" s="28">
        <v>3628845793.4099998</v>
      </c>
      <c r="R19" s="28">
        <v>3512459697.6799998</v>
      </c>
      <c r="S19" s="20">
        <f t="shared" si="28"/>
        <v>96.792751680400485</v>
      </c>
      <c r="T19" s="13">
        <f t="shared" si="6"/>
        <v>-29.662995191395169</v>
      </c>
      <c r="U19" s="13">
        <f t="shared" si="7"/>
        <v>-31.554386191516329</v>
      </c>
    </row>
    <row r="20" spans="1:21" x14ac:dyDescent="0.3">
      <c r="A20" t="s">
        <v>37</v>
      </c>
      <c r="B20" s="28">
        <f t="shared" ref="B20:C20" si="29">B14+B15+B16+B17+B18+B19</f>
        <v>33128520665.02</v>
      </c>
      <c r="C20" s="28">
        <f t="shared" si="29"/>
        <v>26162183206.210003</v>
      </c>
      <c r="D20" s="20">
        <f t="shared" si="0"/>
        <v>78.971782262026366</v>
      </c>
      <c r="E20" s="28">
        <f t="shared" ref="E20:F20" si="30">E14+E15+E16+E17+E18+E19</f>
        <v>33312478972.98</v>
      </c>
      <c r="F20" s="28">
        <f t="shared" si="30"/>
        <v>23037411487.18</v>
      </c>
      <c r="G20" s="20">
        <f t="shared" si="1"/>
        <v>69.1555002732334</v>
      </c>
      <c r="H20" s="28">
        <f t="shared" ref="H20:I20" si="31">H14+H15+H16+H17+H18+H19</f>
        <v>30989128808.389999</v>
      </c>
      <c r="I20" s="28">
        <f t="shared" si="31"/>
        <v>26036385490.619999</v>
      </c>
      <c r="J20" s="20">
        <f t="shared" si="23"/>
        <v>84.017803958305876</v>
      </c>
      <c r="K20" s="28">
        <f t="shared" ref="K20:L20" si="32">K14+K15+K16+K17+K18+K19</f>
        <v>29614741838.43</v>
      </c>
      <c r="L20" s="28">
        <f t="shared" si="32"/>
        <v>25240369421.84</v>
      </c>
      <c r="M20" s="20">
        <f t="shared" si="25"/>
        <v>85.229071249530421</v>
      </c>
      <c r="N20" s="28">
        <f t="shared" ref="N20:O20" si="33">N14+N15+N16+N17+N18+N19</f>
        <v>31858324356.709999</v>
      </c>
      <c r="O20" s="28">
        <f t="shared" si="33"/>
        <v>27643036143.350002</v>
      </c>
      <c r="P20" s="20">
        <f t="shared" si="4"/>
        <v>86.768644307332593</v>
      </c>
      <c r="Q20" s="28">
        <f t="shared" ref="Q20:R20" si="34">Q14+Q15+Q16+Q17+Q18+Q19</f>
        <v>31376220447.68</v>
      </c>
      <c r="R20" s="28">
        <f t="shared" si="34"/>
        <v>27531262174.589996</v>
      </c>
      <c r="S20" s="20">
        <f t="shared" si="28"/>
        <v>87.745629593910166</v>
      </c>
      <c r="T20" s="13">
        <f t="shared" si="6"/>
        <v>-1.5132745326841359</v>
      </c>
      <c r="U20" s="13">
        <f t="shared" si="7"/>
        <v>-0.4043476562428765</v>
      </c>
    </row>
    <row r="21" spans="1:21" x14ac:dyDescent="0.3">
      <c r="A21" t="s">
        <v>38</v>
      </c>
      <c r="B21" s="28">
        <f t="shared" ref="B21:C21" si="35">B20-B19</f>
        <v>23233480404.860001</v>
      </c>
      <c r="C21" s="28">
        <f t="shared" si="35"/>
        <v>17599245665.480003</v>
      </c>
      <c r="D21" s="20">
        <f t="shared" si="0"/>
        <v>75.749501834424166</v>
      </c>
      <c r="E21" s="28">
        <f t="shared" ref="E21:F21" si="36">E20-E19</f>
        <v>24488915925.279999</v>
      </c>
      <c r="F21" s="28">
        <f t="shared" si="36"/>
        <v>17587332956.73</v>
      </c>
      <c r="G21" s="20">
        <f t="shared" si="1"/>
        <v>71.817523529387955</v>
      </c>
      <c r="H21" s="28">
        <f t="shared" ref="H21:I21" si="37">H20-H19</f>
        <v>24854244884.18</v>
      </c>
      <c r="I21" s="28">
        <f t="shared" si="37"/>
        <v>20351241151.57</v>
      </c>
      <c r="J21" s="20">
        <f t="shared" si="23"/>
        <v>81.882355494629365</v>
      </c>
      <c r="K21" s="28">
        <f t="shared" ref="K21:L21" si="38">K20-K19</f>
        <v>25248184441.580002</v>
      </c>
      <c r="L21" s="28">
        <f t="shared" si="38"/>
        <v>20927319449.84</v>
      </c>
      <c r="M21" s="20">
        <f t="shared" si="25"/>
        <v>82.886432877034196</v>
      </c>
      <c r="N21" s="28">
        <f t="shared" ref="N21:O21" si="39">N20-N19</f>
        <v>26699097285.149998</v>
      </c>
      <c r="O21" s="28">
        <f t="shared" si="39"/>
        <v>22511283351.260002</v>
      </c>
      <c r="P21" s="20">
        <f t="shared" si="4"/>
        <v>84.314773308012732</v>
      </c>
      <c r="Q21" s="28">
        <f t="shared" ref="Q21:R21" si="40">Q20-Q19</f>
        <v>27747374654.27</v>
      </c>
      <c r="R21" s="28">
        <f t="shared" si="40"/>
        <v>24018802476.909996</v>
      </c>
      <c r="S21" s="20">
        <f t="shared" si="28"/>
        <v>86.562432576711473</v>
      </c>
      <c r="T21" s="13">
        <f t="shared" si="6"/>
        <v>3.9262652138544638</v>
      </c>
      <c r="U21" s="13">
        <f t="shared" si="7"/>
        <v>6.6967267131201424</v>
      </c>
    </row>
    <row r="22" spans="1:21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2" t="s">
        <v>75</v>
      </c>
      <c r="I22" s="12" t="s">
        <v>76</v>
      </c>
      <c r="J22" s="18"/>
      <c r="K22" s="12" t="s">
        <v>75</v>
      </c>
      <c r="L22" s="12" t="s">
        <v>76</v>
      </c>
      <c r="M22" s="18"/>
      <c r="N22" s="12" t="s">
        <v>75</v>
      </c>
      <c r="O22" s="12" t="s">
        <v>76</v>
      </c>
      <c r="P22" s="18"/>
      <c r="Q22" s="12" t="s">
        <v>75</v>
      </c>
      <c r="R22" s="12" t="s">
        <v>76</v>
      </c>
      <c r="S22" s="18"/>
    </row>
    <row r="23" spans="1:21" x14ac:dyDescent="0.3">
      <c r="A23" s="5" t="s">
        <v>39</v>
      </c>
      <c r="B23" s="27">
        <v>159672366.25999999</v>
      </c>
      <c r="C23" s="27">
        <v>158546381.5</v>
      </c>
      <c r="D23" s="20">
        <f>IF(B23&gt;0,C23/B23*100,"-")</f>
        <v>99.294815511053102</v>
      </c>
      <c r="E23" s="27">
        <v>159491848.91999999</v>
      </c>
      <c r="F23" s="27">
        <v>157819564.34999999</v>
      </c>
      <c r="G23" s="20">
        <f>IF(E23&gt;0,F23/E23*100,"-")</f>
        <v>98.951492141244913</v>
      </c>
      <c r="H23" s="27">
        <v>163564468.69</v>
      </c>
      <c r="I23" s="27">
        <v>155397244.58000001</v>
      </c>
      <c r="J23" s="20">
        <f>IF(H23&gt;0,I23/H23*100,"-")</f>
        <v>95.006724763995578</v>
      </c>
      <c r="K23" s="27">
        <v>157141990.25999999</v>
      </c>
      <c r="L23" s="27">
        <v>150982031.24000001</v>
      </c>
      <c r="M23" s="20">
        <f>IF(K23&gt;0,L23/K23*100,"-")</f>
        <v>96.080004453419491</v>
      </c>
      <c r="N23" s="27">
        <v>149952925.49000001</v>
      </c>
      <c r="O23" s="27">
        <v>148526659.83000001</v>
      </c>
      <c r="P23" s="20">
        <f>IF(N23&gt;0,O23/N23*100,"-")</f>
        <v>99.048857729624558</v>
      </c>
      <c r="Q23" s="27">
        <v>153384017.84</v>
      </c>
      <c r="R23" s="27">
        <v>150567310.53</v>
      </c>
      <c r="S23" s="20">
        <f t="shared" ref="S23:S26" si="41">IF(Q23&gt;0,R23/Q23*100,"-")</f>
        <v>98.163623987905837</v>
      </c>
      <c r="T23" s="13">
        <f t="shared" si="6"/>
        <v>2.2881129786486127</v>
      </c>
      <c r="U23" s="13">
        <f t="shared" si="7"/>
        <v>1.3739288975700816</v>
      </c>
    </row>
    <row r="24" spans="1:21" x14ac:dyDescent="0.3">
      <c r="A24" s="5" t="s">
        <v>40</v>
      </c>
      <c r="B24" s="27">
        <v>12080781.75</v>
      </c>
      <c r="C24" s="27">
        <v>10776773.93</v>
      </c>
      <c r="D24" s="20">
        <f t="shared" ref="D24:D57" si="42">IF(B24&gt;0,C24/B24*100,"-")</f>
        <v>89.205931809835064</v>
      </c>
      <c r="E24" s="27">
        <v>12674177.43</v>
      </c>
      <c r="F24" s="27">
        <v>11089297.869999999</v>
      </c>
      <c r="G24" s="20">
        <f t="shared" ref="G24:G57" si="43">IF(E24&gt;0,F24/E24*100,"-")</f>
        <v>87.495207726470966</v>
      </c>
      <c r="H24" s="27">
        <v>12556579.630000001</v>
      </c>
      <c r="I24" s="27">
        <v>11104259.99</v>
      </c>
      <c r="J24" s="20">
        <f t="shared" ref="J24:J26" si="44">IF(H24&gt;0,I24/H24*100,"-")</f>
        <v>88.433795804311714</v>
      </c>
      <c r="K24" s="27">
        <v>12474915.189999999</v>
      </c>
      <c r="L24" s="27">
        <v>11207999.26</v>
      </c>
      <c r="M24" s="20">
        <f t="shared" ref="M24:M26" si="45">IF(K24&gt;0,L24/K24*100,"-")</f>
        <v>89.844292240034065</v>
      </c>
      <c r="N24" s="27">
        <v>12819318.619999999</v>
      </c>
      <c r="O24" s="27">
        <v>12613295.73</v>
      </c>
      <c r="P24" s="20">
        <f t="shared" ref="P24:P57" si="46">IF(N24&gt;0,O24/N24*100,"-")</f>
        <v>98.392871757797067</v>
      </c>
      <c r="Q24" s="27">
        <v>12625179.93</v>
      </c>
      <c r="R24" s="27">
        <v>11464348.08</v>
      </c>
      <c r="S24" s="20">
        <f t="shared" si="41"/>
        <v>90.805423317242187</v>
      </c>
      <c r="T24" s="13">
        <f t="shared" si="6"/>
        <v>-1.5144228469141439</v>
      </c>
      <c r="U24" s="13">
        <f t="shared" si="7"/>
        <v>-9.1090201529747219</v>
      </c>
    </row>
    <row r="25" spans="1:21" x14ac:dyDescent="0.3">
      <c r="A25" s="5" t="s">
        <v>41</v>
      </c>
      <c r="B25" s="27">
        <v>1323173590.5599999</v>
      </c>
      <c r="C25" s="27">
        <v>1126600724.46</v>
      </c>
      <c r="D25" s="20">
        <f t="shared" si="42"/>
        <v>85.143833923045179</v>
      </c>
      <c r="E25" s="27">
        <v>1303994382.78</v>
      </c>
      <c r="F25" s="27">
        <v>760165348.90999997</v>
      </c>
      <c r="G25" s="20">
        <f t="shared" si="43"/>
        <v>58.295139837136034</v>
      </c>
      <c r="H25" s="27">
        <v>1409922745.6199999</v>
      </c>
      <c r="I25" s="27">
        <v>1193556778.02</v>
      </c>
      <c r="J25" s="20">
        <f t="shared" si="44"/>
        <v>84.654055105348689</v>
      </c>
      <c r="K25" s="27">
        <v>1442225361.4200001</v>
      </c>
      <c r="L25" s="27">
        <v>1218679484.4400001</v>
      </c>
      <c r="M25" s="20">
        <f t="shared" si="45"/>
        <v>84.49993440970286</v>
      </c>
      <c r="N25" s="27">
        <v>1639202110.51</v>
      </c>
      <c r="O25" s="27">
        <v>693307181.00999999</v>
      </c>
      <c r="P25" s="20">
        <f t="shared" si="46"/>
        <v>42.295405585726911</v>
      </c>
      <c r="Q25" s="27">
        <v>1343542817.6700001</v>
      </c>
      <c r="R25" s="27">
        <v>1039516482.64</v>
      </c>
      <c r="S25" s="20">
        <f t="shared" si="41"/>
        <v>77.37129542642721</v>
      </c>
      <c r="T25" s="13">
        <f t="shared" si="6"/>
        <v>-18.036780879205452</v>
      </c>
      <c r="U25" s="13">
        <f t="shared" si="7"/>
        <v>49.935917456623969</v>
      </c>
    </row>
    <row r="26" spans="1:21" x14ac:dyDescent="0.3">
      <c r="A26" s="5" t="s">
        <v>42</v>
      </c>
      <c r="B26" s="27">
        <v>20006431744.049999</v>
      </c>
      <c r="C26" s="27">
        <v>17392450026.740002</v>
      </c>
      <c r="D26" s="20">
        <f t="shared" si="42"/>
        <v>86.934293177555716</v>
      </c>
      <c r="E26" s="27">
        <v>20407900293.540001</v>
      </c>
      <c r="F26" s="27">
        <v>15430189407.09</v>
      </c>
      <c r="G26" s="20">
        <f t="shared" si="43"/>
        <v>75.608902362063844</v>
      </c>
      <c r="H26" s="27">
        <v>21039539727.09</v>
      </c>
      <c r="I26" s="27">
        <v>18475069619.779999</v>
      </c>
      <c r="J26" s="20">
        <f t="shared" si="44"/>
        <v>87.811187219043333</v>
      </c>
      <c r="K26" s="27">
        <v>21347923106.509998</v>
      </c>
      <c r="L26" s="27">
        <v>18751753333.16</v>
      </c>
      <c r="M26" s="20">
        <f t="shared" si="45"/>
        <v>87.838771198504546</v>
      </c>
      <c r="N26" s="27">
        <v>22342274257.610001</v>
      </c>
      <c r="O26" s="27">
        <v>19408880193.049999</v>
      </c>
      <c r="P26" s="20">
        <f t="shared" si="46"/>
        <v>86.870655911132872</v>
      </c>
      <c r="Q26" s="27">
        <v>23811659747.299999</v>
      </c>
      <c r="R26" s="27">
        <v>20506276024.290001</v>
      </c>
      <c r="S26" s="20">
        <f t="shared" si="41"/>
        <v>86.118633652218236</v>
      </c>
      <c r="T26" s="13">
        <f t="shared" si="6"/>
        <v>6.5767050961229359</v>
      </c>
      <c r="U26" s="13">
        <f t="shared" si="7"/>
        <v>5.6540914278659073</v>
      </c>
    </row>
    <row r="27" spans="1:21" x14ac:dyDescent="0.3">
      <c r="A27" s="5" t="s">
        <v>351</v>
      </c>
      <c r="B27" s="27">
        <v>0</v>
      </c>
      <c r="C27" s="27">
        <v>0</v>
      </c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27">
        <v>0</v>
      </c>
      <c r="O27" s="27">
        <v>0</v>
      </c>
      <c r="P27" s="20"/>
      <c r="Q27" s="27">
        <v>0</v>
      </c>
      <c r="R27" s="27">
        <v>0</v>
      </c>
      <c r="S27" s="20"/>
      <c r="T27" s="13" t="str">
        <f t="shared" si="6"/>
        <v>-</v>
      </c>
      <c r="U27" s="13" t="str">
        <f t="shared" si="7"/>
        <v>-</v>
      </c>
    </row>
    <row r="28" spans="1:21" x14ac:dyDescent="0.3">
      <c r="A28" s="5" t="s">
        <v>352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7">
        <v>0</v>
      </c>
      <c r="O28" s="27">
        <v>0</v>
      </c>
      <c r="P28" s="20"/>
      <c r="Q28" s="27">
        <v>0</v>
      </c>
      <c r="R28" s="27">
        <v>0</v>
      </c>
      <c r="S28" s="20"/>
      <c r="T28" s="13" t="str">
        <f t="shared" si="6"/>
        <v>-</v>
      </c>
      <c r="U28" s="13" t="str">
        <f t="shared" si="7"/>
        <v>-</v>
      </c>
    </row>
    <row r="29" spans="1:21" x14ac:dyDescent="0.3">
      <c r="A29" s="5" t="s">
        <v>43</v>
      </c>
      <c r="B29" s="27">
        <v>102565008.42</v>
      </c>
      <c r="C29" s="27">
        <v>102565008.42</v>
      </c>
      <c r="D29" s="20">
        <f t="shared" si="42"/>
        <v>100</v>
      </c>
      <c r="E29" s="27">
        <v>87814032.890000001</v>
      </c>
      <c r="F29" s="27">
        <v>85221750.060000002</v>
      </c>
      <c r="G29" s="20">
        <f t="shared" si="43"/>
        <v>97.047985675310898</v>
      </c>
      <c r="H29" s="27">
        <v>86791739.060000002</v>
      </c>
      <c r="I29" s="27">
        <v>86791739.060000002</v>
      </c>
      <c r="J29" s="20">
        <f t="shared" ref="J29:J57" si="47">IF(H29&gt;0,I29/H29*100,"-")</f>
        <v>100</v>
      </c>
      <c r="K29" s="27">
        <v>86614977.269999996</v>
      </c>
      <c r="L29" s="27">
        <v>86364977.269999996</v>
      </c>
      <c r="M29" s="20">
        <f t="shared" ref="M29:M57" si="48">IF(K29&gt;0,L29/K29*100,"-")</f>
        <v>99.711366315757729</v>
      </c>
      <c r="N29" s="27">
        <v>82739580.379999995</v>
      </c>
      <c r="O29" s="27">
        <v>82739580.379999995</v>
      </c>
      <c r="P29" s="20">
        <f t="shared" si="46"/>
        <v>100</v>
      </c>
      <c r="Q29" s="27">
        <v>77724706.829999998</v>
      </c>
      <c r="R29" s="27">
        <v>77724706.829999998</v>
      </c>
      <c r="S29" s="20">
        <f t="shared" ref="S29:S57" si="49">IF(Q29&gt;0,R29/Q29*100,"-")</f>
        <v>100</v>
      </c>
      <c r="T29" s="13">
        <f t="shared" si="6"/>
        <v>-6.0610333373314944</v>
      </c>
      <c r="U29" s="13">
        <f t="shared" si="7"/>
        <v>-6.0610333373314944</v>
      </c>
    </row>
    <row r="30" spans="1:21" x14ac:dyDescent="0.3">
      <c r="A30" s="5" t="s">
        <v>44</v>
      </c>
      <c r="B30" s="27">
        <v>0</v>
      </c>
      <c r="C30" s="27">
        <v>0</v>
      </c>
      <c r="D30" s="20" t="str">
        <f t="shared" si="42"/>
        <v>-</v>
      </c>
      <c r="E30" s="27">
        <v>0</v>
      </c>
      <c r="F30" s="27">
        <v>0</v>
      </c>
      <c r="G30" s="20" t="str">
        <f t="shared" si="43"/>
        <v>-</v>
      </c>
      <c r="H30" s="27">
        <v>0</v>
      </c>
      <c r="I30" s="27">
        <v>0</v>
      </c>
      <c r="J30" s="20" t="str">
        <f t="shared" si="47"/>
        <v>-</v>
      </c>
      <c r="K30" s="27">
        <v>0</v>
      </c>
      <c r="L30" s="27">
        <v>0</v>
      </c>
      <c r="M30" s="20" t="str">
        <f t="shared" si="48"/>
        <v>-</v>
      </c>
      <c r="N30" s="27">
        <v>0</v>
      </c>
      <c r="O30" s="27">
        <v>0</v>
      </c>
      <c r="P30" s="20" t="str">
        <f t="shared" si="46"/>
        <v>-</v>
      </c>
      <c r="Q30" s="27">
        <v>0</v>
      </c>
      <c r="R30" s="27">
        <v>0</v>
      </c>
      <c r="S30" s="20" t="str">
        <f t="shared" si="49"/>
        <v>-</v>
      </c>
      <c r="T30" s="13" t="str">
        <f t="shared" si="6"/>
        <v>-</v>
      </c>
      <c r="U30" s="13" t="str">
        <f t="shared" si="7"/>
        <v>-</v>
      </c>
    </row>
    <row r="31" spans="1:21" x14ac:dyDescent="0.3">
      <c r="A31" s="5" t="s">
        <v>45</v>
      </c>
      <c r="B31" s="27">
        <v>71444351.980000004</v>
      </c>
      <c r="C31" s="27">
        <v>68687311.200000003</v>
      </c>
      <c r="D31" s="20">
        <f t="shared" si="42"/>
        <v>96.140995469072493</v>
      </c>
      <c r="E31" s="27">
        <v>909824657.52999997</v>
      </c>
      <c r="F31" s="27">
        <v>21288096.260000002</v>
      </c>
      <c r="G31" s="20">
        <f t="shared" si="43"/>
        <v>2.3398020798637305</v>
      </c>
      <c r="H31" s="27">
        <v>207585794.40000001</v>
      </c>
      <c r="I31" s="27">
        <v>27042170.989999998</v>
      </c>
      <c r="J31" s="20">
        <f t="shared" si="47"/>
        <v>13.026985333058031</v>
      </c>
      <c r="K31" s="27">
        <v>92914411.019999996</v>
      </c>
      <c r="L31" s="27">
        <v>22713365.57</v>
      </c>
      <c r="M31" s="20">
        <f t="shared" si="48"/>
        <v>24.445471182194662</v>
      </c>
      <c r="N31" s="27">
        <v>259075132.33000001</v>
      </c>
      <c r="O31" s="27">
        <v>202526320.43000001</v>
      </c>
      <c r="P31" s="20">
        <f t="shared" si="46"/>
        <v>78.172813657788552</v>
      </c>
      <c r="Q31" s="27">
        <v>73346041.840000004</v>
      </c>
      <c r="R31" s="27">
        <v>7090281.5300000003</v>
      </c>
      <c r="S31" s="20">
        <f t="shared" si="49"/>
        <v>9.666890471699924</v>
      </c>
      <c r="T31" s="13">
        <f t="shared" si="6"/>
        <v>-71.689277477015963</v>
      </c>
      <c r="U31" s="13">
        <f t="shared" si="7"/>
        <v>-96.499081445342</v>
      </c>
    </row>
    <row r="32" spans="1:21" x14ac:dyDescent="0.3">
      <c r="A32" s="5" t="s">
        <v>46</v>
      </c>
      <c r="B32" s="27">
        <v>8020895.7300000004</v>
      </c>
      <c r="C32" s="27">
        <v>7178792.7300000004</v>
      </c>
      <c r="D32" s="20">
        <f t="shared" si="42"/>
        <v>89.501135180571652</v>
      </c>
      <c r="E32" s="27">
        <v>5217132.6500000004</v>
      </c>
      <c r="F32" s="27">
        <v>4916354.3899999997</v>
      </c>
      <c r="G32" s="20">
        <f t="shared" si="43"/>
        <v>94.234797537685751</v>
      </c>
      <c r="H32" s="27">
        <v>6298973.5899999999</v>
      </c>
      <c r="I32" s="27">
        <v>5510549.96</v>
      </c>
      <c r="J32" s="20">
        <f t="shared" si="47"/>
        <v>87.483299957763435</v>
      </c>
      <c r="K32" s="27">
        <v>7121434.8200000003</v>
      </c>
      <c r="L32" s="27">
        <v>6282993.8700000001</v>
      </c>
      <c r="M32" s="20">
        <f t="shared" si="48"/>
        <v>88.22651654909059</v>
      </c>
      <c r="N32" s="27">
        <v>5959991.5199999996</v>
      </c>
      <c r="O32" s="27">
        <v>5318804.08</v>
      </c>
      <c r="P32" s="20">
        <f t="shared" si="46"/>
        <v>89.241806169549733</v>
      </c>
      <c r="Q32" s="27">
        <v>16881818.32</v>
      </c>
      <c r="R32" s="27">
        <v>16350722.460000001</v>
      </c>
      <c r="S32" s="20">
        <f t="shared" si="49"/>
        <v>96.854036396240531</v>
      </c>
      <c r="T32" s="13">
        <f t="shared" si="6"/>
        <v>183.25238825172022</v>
      </c>
      <c r="U32" s="13">
        <f t="shared" si="7"/>
        <v>207.41351277597727</v>
      </c>
    </row>
    <row r="33" spans="1:21" x14ac:dyDescent="0.3">
      <c r="A33" s="5" t="s">
        <v>47</v>
      </c>
      <c r="B33" s="28">
        <v>0</v>
      </c>
      <c r="C33" s="28">
        <v>0</v>
      </c>
      <c r="D33" s="20" t="str">
        <f t="shared" si="42"/>
        <v>-</v>
      </c>
      <c r="E33" s="28">
        <v>0</v>
      </c>
      <c r="F33" s="28">
        <v>0</v>
      </c>
      <c r="G33" s="20" t="str">
        <f t="shared" si="43"/>
        <v>-</v>
      </c>
      <c r="H33" s="28">
        <v>0</v>
      </c>
      <c r="I33" s="28">
        <v>0</v>
      </c>
      <c r="J33" s="20" t="str">
        <f t="shared" si="47"/>
        <v>-</v>
      </c>
      <c r="K33" s="28">
        <v>0</v>
      </c>
      <c r="L33" s="28">
        <v>0</v>
      </c>
      <c r="M33" s="20" t="str">
        <f t="shared" si="48"/>
        <v>-</v>
      </c>
      <c r="N33" s="28">
        <v>0</v>
      </c>
      <c r="O33" s="28">
        <v>0</v>
      </c>
      <c r="P33" s="20" t="str">
        <f t="shared" si="46"/>
        <v>-</v>
      </c>
      <c r="Q33" s="28">
        <v>0</v>
      </c>
      <c r="R33" s="28">
        <v>0</v>
      </c>
      <c r="S33" s="20" t="str">
        <f t="shared" si="49"/>
        <v>-</v>
      </c>
      <c r="T33" s="13" t="str">
        <f t="shared" si="6"/>
        <v>-</v>
      </c>
      <c r="U33" s="13" t="str">
        <f t="shared" si="7"/>
        <v>-</v>
      </c>
    </row>
    <row r="34" spans="1:21" x14ac:dyDescent="0.3">
      <c r="A34" s="5" t="s">
        <v>48</v>
      </c>
      <c r="B34" s="27">
        <v>46474905.880000003</v>
      </c>
      <c r="C34" s="27">
        <v>18160056.960000001</v>
      </c>
      <c r="D34" s="20">
        <f t="shared" si="42"/>
        <v>39.074973076631863</v>
      </c>
      <c r="E34" s="27">
        <v>58511788.740000002</v>
      </c>
      <c r="F34" s="27">
        <v>24655926.140000001</v>
      </c>
      <c r="G34" s="20">
        <f t="shared" si="43"/>
        <v>42.138390691762673</v>
      </c>
      <c r="H34" s="27">
        <v>37848835.609999999</v>
      </c>
      <c r="I34" s="27">
        <v>11030685.6</v>
      </c>
      <c r="J34" s="20">
        <f t="shared" si="47"/>
        <v>29.144055351297503</v>
      </c>
      <c r="K34" s="27">
        <v>46136525.539999999</v>
      </c>
      <c r="L34" s="27">
        <v>13557874.5</v>
      </c>
      <c r="M34" s="20">
        <f t="shared" si="48"/>
        <v>29.386422885801039</v>
      </c>
      <c r="N34" s="27">
        <v>45558704.579999998</v>
      </c>
      <c r="O34" s="27">
        <v>14710813.82</v>
      </c>
      <c r="P34" s="20">
        <f t="shared" si="46"/>
        <v>32.289798306640087</v>
      </c>
      <c r="Q34" s="27">
        <v>59478785.43</v>
      </c>
      <c r="R34" s="27">
        <v>25976216.670000002</v>
      </c>
      <c r="S34" s="20">
        <f t="shared" si="49"/>
        <v>43.673078530783307</v>
      </c>
      <c r="T34" s="13">
        <f t="shared" si="6"/>
        <v>30.554162982304888</v>
      </c>
      <c r="U34" s="13">
        <f t="shared" si="7"/>
        <v>76.579059376607631</v>
      </c>
    </row>
    <row r="35" spans="1:21" x14ac:dyDescent="0.3">
      <c r="A35" s="5" t="s">
        <v>49</v>
      </c>
      <c r="B35" s="27">
        <v>1074443868.5799999</v>
      </c>
      <c r="C35" s="27">
        <v>740477823.63</v>
      </c>
      <c r="D35" s="20">
        <f t="shared" si="42"/>
        <v>68.917311111712692</v>
      </c>
      <c r="E35" s="27">
        <v>815862143.75</v>
      </c>
      <c r="F35" s="27">
        <v>441427174.45999998</v>
      </c>
      <c r="G35" s="20">
        <f t="shared" si="43"/>
        <v>54.105608140002637</v>
      </c>
      <c r="H35" s="27">
        <v>939459814.66999996</v>
      </c>
      <c r="I35" s="27">
        <v>412091943.67000002</v>
      </c>
      <c r="J35" s="20">
        <f t="shared" si="47"/>
        <v>43.864776037786548</v>
      </c>
      <c r="K35" s="27">
        <v>995217862.92999995</v>
      </c>
      <c r="L35" s="27">
        <v>570451936.59000003</v>
      </c>
      <c r="M35" s="20">
        <f t="shared" si="48"/>
        <v>57.319302419928889</v>
      </c>
      <c r="N35" s="27">
        <v>1197689658.6500001</v>
      </c>
      <c r="O35" s="27">
        <v>703001124.57000005</v>
      </c>
      <c r="P35" s="20">
        <f t="shared" si="46"/>
        <v>58.696434380372111</v>
      </c>
      <c r="Q35" s="27">
        <v>1610465173.24</v>
      </c>
      <c r="R35" s="27">
        <v>1080509371.3800001</v>
      </c>
      <c r="S35" s="20">
        <f t="shared" si="49"/>
        <v>67.092998304718805</v>
      </c>
      <c r="T35" s="13">
        <f t="shared" si="6"/>
        <v>34.464313155652377</v>
      </c>
      <c r="U35" s="13">
        <f t="shared" si="7"/>
        <v>53.699522463908977</v>
      </c>
    </row>
    <row r="36" spans="1:21" x14ac:dyDescent="0.3">
      <c r="A36" s="5" t="s">
        <v>50</v>
      </c>
      <c r="B36" s="27">
        <v>0</v>
      </c>
      <c r="C36" s="27">
        <v>0</v>
      </c>
      <c r="D36" s="20" t="str">
        <f t="shared" si="42"/>
        <v>-</v>
      </c>
      <c r="E36" s="27">
        <v>0</v>
      </c>
      <c r="F36" s="27">
        <v>0</v>
      </c>
      <c r="G36" s="20" t="str">
        <f t="shared" si="43"/>
        <v>-</v>
      </c>
      <c r="H36" s="27">
        <v>0</v>
      </c>
      <c r="I36" s="27">
        <v>0</v>
      </c>
      <c r="J36" s="20" t="str">
        <f t="shared" si="47"/>
        <v>-</v>
      </c>
      <c r="K36" s="27">
        <v>0</v>
      </c>
      <c r="L36" s="27">
        <v>0</v>
      </c>
      <c r="M36" s="20" t="str">
        <f t="shared" si="48"/>
        <v>-</v>
      </c>
      <c r="N36" s="27">
        <v>0</v>
      </c>
      <c r="O36" s="27">
        <v>0</v>
      </c>
      <c r="P36" s="20" t="str">
        <f t="shared" si="46"/>
        <v>-</v>
      </c>
      <c r="Q36" s="27">
        <v>0</v>
      </c>
      <c r="R36" s="27">
        <v>0</v>
      </c>
      <c r="S36" s="20" t="str">
        <f t="shared" si="49"/>
        <v>-</v>
      </c>
      <c r="T36" s="13" t="str">
        <f t="shared" si="6"/>
        <v>-</v>
      </c>
      <c r="U36" s="13" t="str">
        <f t="shared" si="7"/>
        <v>-</v>
      </c>
    </row>
    <row r="37" spans="1:21" x14ac:dyDescent="0.3">
      <c r="A37" s="5" t="s">
        <v>51</v>
      </c>
      <c r="B37" s="27">
        <v>3011357.22</v>
      </c>
      <c r="C37" s="27">
        <v>3009666.49</v>
      </c>
      <c r="D37" s="20">
        <f t="shared" si="42"/>
        <v>99.94385488414423</v>
      </c>
      <c r="E37" s="27">
        <v>18329409</v>
      </c>
      <c r="F37" s="27">
        <v>18329409</v>
      </c>
      <c r="G37" s="20">
        <f t="shared" si="43"/>
        <v>100</v>
      </c>
      <c r="H37" s="27">
        <v>20576970.219999999</v>
      </c>
      <c r="I37" s="27">
        <v>20570644.079999998</v>
      </c>
      <c r="J37" s="20">
        <f t="shared" si="47"/>
        <v>99.969256212492098</v>
      </c>
      <c r="K37" s="27">
        <v>19072495.07</v>
      </c>
      <c r="L37" s="27">
        <v>19072495.07</v>
      </c>
      <c r="M37" s="20">
        <f t="shared" si="48"/>
        <v>100</v>
      </c>
      <c r="N37" s="27">
        <v>0</v>
      </c>
      <c r="O37" s="27">
        <v>0</v>
      </c>
      <c r="P37" s="20" t="str">
        <f t="shared" si="46"/>
        <v>-</v>
      </c>
      <c r="Q37" s="27">
        <v>20760071.25</v>
      </c>
      <c r="R37" s="27">
        <v>266022.39</v>
      </c>
      <c r="S37" s="20">
        <f t="shared" si="49"/>
        <v>1.2814136656684163</v>
      </c>
      <c r="T37" s="13" t="str">
        <f t="shared" si="6"/>
        <v>-</v>
      </c>
      <c r="U37" s="13" t="str">
        <f t="shared" si="7"/>
        <v>-</v>
      </c>
    </row>
    <row r="38" spans="1:21" x14ac:dyDescent="0.3">
      <c r="A38" s="5" t="s">
        <v>52</v>
      </c>
      <c r="B38" s="27">
        <v>764987</v>
      </c>
      <c r="C38" s="27">
        <v>764987</v>
      </c>
      <c r="D38" s="20">
        <f t="shared" si="42"/>
        <v>100</v>
      </c>
      <c r="E38" s="27">
        <v>20000000</v>
      </c>
      <c r="F38" s="27">
        <v>20000000</v>
      </c>
      <c r="G38" s="20">
        <f t="shared" si="43"/>
        <v>100</v>
      </c>
      <c r="H38" s="27">
        <v>2000000</v>
      </c>
      <c r="I38" s="27">
        <v>2000000</v>
      </c>
      <c r="J38" s="20">
        <f t="shared" si="47"/>
        <v>100</v>
      </c>
      <c r="K38" s="27">
        <v>112338575.91</v>
      </c>
      <c r="L38" s="27">
        <v>112338575.91</v>
      </c>
      <c r="M38" s="20">
        <f t="shared" si="48"/>
        <v>100</v>
      </c>
      <c r="N38" s="27">
        <v>27591152</v>
      </c>
      <c r="O38" s="27">
        <v>27591152</v>
      </c>
      <c r="P38" s="20">
        <f t="shared" si="46"/>
        <v>100</v>
      </c>
      <c r="Q38" s="27">
        <v>360100000</v>
      </c>
      <c r="R38" s="27">
        <v>360100000</v>
      </c>
      <c r="S38" s="20">
        <f t="shared" si="49"/>
        <v>100</v>
      </c>
      <c r="T38" s="13">
        <f t="shared" si="6"/>
        <v>1205.1285426574432</v>
      </c>
      <c r="U38" s="13">
        <f t="shared" si="7"/>
        <v>1205.1285426574432</v>
      </c>
    </row>
    <row r="39" spans="1:21" x14ac:dyDescent="0.3">
      <c r="A39" s="5" t="s">
        <v>262</v>
      </c>
      <c r="B39" s="27">
        <v>0</v>
      </c>
      <c r="C39" s="27">
        <v>0</v>
      </c>
      <c r="D39" s="20" t="str">
        <f t="shared" si="42"/>
        <v>-</v>
      </c>
      <c r="E39" s="27">
        <v>0</v>
      </c>
      <c r="F39" s="27">
        <v>0</v>
      </c>
      <c r="G39" s="20" t="str">
        <f t="shared" si="43"/>
        <v>-</v>
      </c>
      <c r="H39" s="27">
        <v>0</v>
      </c>
      <c r="I39" s="27">
        <v>0</v>
      </c>
      <c r="J39" s="20" t="str">
        <f t="shared" si="47"/>
        <v>-</v>
      </c>
      <c r="K39" s="27">
        <v>120000000</v>
      </c>
      <c r="L39" s="27">
        <v>120000000</v>
      </c>
      <c r="M39" s="20">
        <f t="shared" si="48"/>
        <v>100</v>
      </c>
      <c r="N39" s="27">
        <v>180000000</v>
      </c>
      <c r="O39" s="27">
        <v>180000000</v>
      </c>
      <c r="P39" s="20">
        <f t="shared" si="46"/>
        <v>100</v>
      </c>
      <c r="Q39" s="27">
        <v>0</v>
      </c>
      <c r="R39" s="27">
        <v>0</v>
      </c>
      <c r="S39" s="20" t="str">
        <f t="shared" si="49"/>
        <v>-</v>
      </c>
      <c r="T39" s="13">
        <f t="shared" si="6"/>
        <v>-100</v>
      </c>
      <c r="U39" s="13">
        <f t="shared" si="7"/>
        <v>-100</v>
      </c>
    </row>
    <row r="40" spans="1:21" x14ac:dyDescent="0.3">
      <c r="A40" s="5" t="s">
        <v>53</v>
      </c>
      <c r="B40" s="27">
        <v>12900366.07</v>
      </c>
      <c r="C40" s="27">
        <v>12900366.07</v>
      </c>
      <c r="D40" s="20">
        <f t="shared" si="42"/>
        <v>100</v>
      </c>
      <c r="E40" s="27">
        <v>13098166.27</v>
      </c>
      <c r="F40" s="27">
        <v>13061567.369999999</v>
      </c>
      <c r="G40" s="20">
        <f t="shared" si="43"/>
        <v>99.720579970924433</v>
      </c>
      <c r="H40" s="27">
        <v>35000000</v>
      </c>
      <c r="I40" s="27">
        <v>35000000</v>
      </c>
      <c r="J40" s="20">
        <f t="shared" si="47"/>
        <v>100</v>
      </c>
      <c r="K40" s="27">
        <v>1026637.05</v>
      </c>
      <c r="L40" s="27">
        <v>353242.87</v>
      </c>
      <c r="M40" s="20">
        <f t="shared" si="48"/>
        <v>34.407765626615557</v>
      </c>
      <c r="N40" s="27">
        <v>1807232.42</v>
      </c>
      <c r="O40" s="27">
        <v>1440597.26</v>
      </c>
      <c r="P40" s="20">
        <f t="shared" si="46"/>
        <v>79.71289381805137</v>
      </c>
      <c r="Q40" s="27">
        <v>447397.3</v>
      </c>
      <c r="R40" s="27">
        <v>447397.3</v>
      </c>
      <c r="S40" s="20">
        <f t="shared" si="49"/>
        <v>100</v>
      </c>
      <c r="T40" s="13">
        <f t="shared" si="6"/>
        <v>-75.244064070076831</v>
      </c>
      <c r="U40" s="13">
        <f t="shared" si="7"/>
        <v>-68.943624118790837</v>
      </c>
    </row>
    <row r="41" spans="1:21" x14ac:dyDescent="0.3">
      <c r="A41" s="5" t="s">
        <v>54</v>
      </c>
      <c r="B41" s="27">
        <v>87248743.739999995</v>
      </c>
      <c r="C41" s="27">
        <v>87097621.290000007</v>
      </c>
      <c r="D41" s="20">
        <f t="shared" si="42"/>
        <v>99.826791259653746</v>
      </c>
      <c r="E41" s="27">
        <v>261685543.28</v>
      </c>
      <c r="F41" s="27">
        <v>140773405.33000001</v>
      </c>
      <c r="G41" s="20">
        <f t="shared" si="43"/>
        <v>53.794872871282138</v>
      </c>
      <c r="H41" s="27">
        <v>313034618.69999999</v>
      </c>
      <c r="I41" s="27">
        <v>122094207</v>
      </c>
      <c r="J41" s="20">
        <f t="shared" si="47"/>
        <v>39.003419975415014</v>
      </c>
      <c r="K41" s="27">
        <v>263071540.62</v>
      </c>
      <c r="L41" s="27">
        <v>259531292.21000001</v>
      </c>
      <c r="M41" s="20">
        <f t="shared" si="48"/>
        <v>98.654264006795856</v>
      </c>
      <c r="N41" s="27">
        <v>150221744.74000001</v>
      </c>
      <c r="O41" s="27">
        <v>150221744.74000001</v>
      </c>
      <c r="P41" s="20">
        <f t="shared" si="46"/>
        <v>100</v>
      </c>
      <c r="Q41" s="27">
        <v>243037354.08000001</v>
      </c>
      <c r="R41" s="27">
        <v>230884563.44</v>
      </c>
      <c r="S41" s="20">
        <f t="shared" si="49"/>
        <v>94.999620249321964</v>
      </c>
      <c r="T41" s="13">
        <f t="shared" si="6"/>
        <v>61.785735148159091</v>
      </c>
      <c r="U41" s="13">
        <f t="shared" si="7"/>
        <v>53.695834008324937</v>
      </c>
    </row>
    <row r="42" spans="1:21" x14ac:dyDescent="0.3">
      <c r="A42" s="5" t="s">
        <v>55</v>
      </c>
      <c r="B42" s="27">
        <v>0</v>
      </c>
      <c r="C42" s="27">
        <v>0</v>
      </c>
      <c r="D42" s="20" t="str">
        <f t="shared" si="42"/>
        <v>-</v>
      </c>
      <c r="E42" s="27">
        <v>0</v>
      </c>
      <c r="F42" s="27">
        <v>0</v>
      </c>
      <c r="G42" s="20" t="str">
        <f t="shared" si="43"/>
        <v>-</v>
      </c>
      <c r="H42" s="27">
        <v>0</v>
      </c>
      <c r="I42" s="27">
        <v>0</v>
      </c>
      <c r="J42" s="20" t="str">
        <f t="shared" si="47"/>
        <v>-</v>
      </c>
      <c r="K42" s="27">
        <v>0</v>
      </c>
      <c r="L42" s="27">
        <v>0</v>
      </c>
      <c r="M42" s="20" t="str">
        <f t="shared" si="48"/>
        <v>-</v>
      </c>
      <c r="N42" s="27">
        <v>0</v>
      </c>
      <c r="O42" s="27">
        <v>0</v>
      </c>
      <c r="P42" s="20" t="str">
        <f t="shared" si="46"/>
        <v>-</v>
      </c>
      <c r="Q42" s="27">
        <v>0</v>
      </c>
      <c r="R42" s="27">
        <v>0</v>
      </c>
      <c r="S42" s="20" t="str">
        <f t="shared" si="49"/>
        <v>-</v>
      </c>
      <c r="T42" s="13" t="str">
        <f t="shared" si="6"/>
        <v>-</v>
      </c>
      <c r="U42" s="13" t="str">
        <f t="shared" si="7"/>
        <v>-</v>
      </c>
    </row>
    <row r="43" spans="1:21" x14ac:dyDescent="0.3">
      <c r="A43" s="5" t="s">
        <v>56</v>
      </c>
      <c r="B43" s="27">
        <v>0</v>
      </c>
      <c r="C43" s="27">
        <v>0</v>
      </c>
      <c r="D43" s="20" t="str">
        <f t="shared" si="42"/>
        <v>-</v>
      </c>
      <c r="E43" s="27">
        <v>0</v>
      </c>
      <c r="F43" s="27">
        <v>0</v>
      </c>
      <c r="G43" s="20" t="str">
        <f t="shared" si="43"/>
        <v>-</v>
      </c>
      <c r="H43" s="27">
        <v>0</v>
      </c>
      <c r="I43" s="27">
        <v>0</v>
      </c>
      <c r="J43" s="20" t="str">
        <f t="shared" si="47"/>
        <v>-</v>
      </c>
      <c r="K43" s="27">
        <v>0</v>
      </c>
      <c r="L43" s="27">
        <v>0</v>
      </c>
      <c r="M43" s="20" t="str">
        <f t="shared" si="48"/>
        <v>-</v>
      </c>
      <c r="N43" s="27">
        <v>0</v>
      </c>
      <c r="O43" s="27">
        <v>0</v>
      </c>
      <c r="P43" s="20" t="str">
        <f t="shared" si="46"/>
        <v>-</v>
      </c>
      <c r="Q43" s="27">
        <v>0</v>
      </c>
      <c r="R43" s="27">
        <v>0</v>
      </c>
      <c r="S43" s="20" t="str">
        <f t="shared" si="49"/>
        <v>-</v>
      </c>
      <c r="T43" s="13" t="str">
        <f t="shared" si="6"/>
        <v>-</v>
      </c>
      <c r="U43" s="13" t="str">
        <f t="shared" si="7"/>
        <v>-</v>
      </c>
    </row>
    <row r="44" spans="1:21" x14ac:dyDescent="0.3">
      <c r="A44" s="5" t="s">
        <v>57</v>
      </c>
      <c r="B44" s="27">
        <v>362479140.79000002</v>
      </c>
      <c r="C44" s="27">
        <v>362479140.79000002</v>
      </c>
      <c r="D44" s="20">
        <f t="shared" si="42"/>
        <v>100</v>
      </c>
      <c r="E44" s="27">
        <v>62708263.060000002</v>
      </c>
      <c r="F44" s="27">
        <v>59623279.240000002</v>
      </c>
      <c r="G44" s="20">
        <f t="shared" si="43"/>
        <v>95.080418960020864</v>
      </c>
      <c r="H44" s="27">
        <v>68378551.859999999</v>
      </c>
      <c r="I44" s="27">
        <v>68378551.859999999</v>
      </c>
      <c r="J44" s="20">
        <f t="shared" si="47"/>
        <v>100</v>
      </c>
      <c r="K44" s="27">
        <v>69397972.129999995</v>
      </c>
      <c r="L44" s="27">
        <v>69397972.129999995</v>
      </c>
      <c r="M44" s="20">
        <f t="shared" si="48"/>
        <v>100</v>
      </c>
      <c r="N44" s="27">
        <v>348683608.64999998</v>
      </c>
      <c r="O44" s="27">
        <v>348683608.64999998</v>
      </c>
      <c r="P44" s="20">
        <f t="shared" si="46"/>
        <v>100</v>
      </c>
      <c r="Q44" s="27">
        <v>80948954.819999993</v>
      </c>
      <c r="R44" s="27">
        <v>80948954.819999993</v>
      </c>
      <c r="S44" s="20">
        <f t="shared" si="49"/>
        <v>100</v>
      </c>
      <c r="T44" s="13">
        <f t="shared" si="6"/>
        <v>-76.784410619870982</v>
      </c>
      <c r="U44" s="13">
        <f t="shared" si="7"/>
        <v>-76.784410619870982</v>
      </c>
    </row>
    <row r="45" spans="1:21" x14ac:dyDescent="0.3">
      <c r="A45" s="5" t="s">
        <v>58</v>
      </c>
      <c r="B45" s="27">
        <v>0</v>
      </c>
      <c r="C45" s="27">
        <v>0</v>
      </c>
      <c r="D45" s="20" t="str">
        <f t="shared" si="42"/>
        <v>-</v>
      </c>
      <c r="E45" s="27">
        <v>0</v>
      </c>
      <c r="F45" s="27">
        <v>0</v>
      </c>
      <c r="G45" s="20" t="str">
        <f t="shared" si="43"/>
        <v>-</v>
      </c>
      <c r="H45" s="27">
        <v>0</v>
      </c>
      <c r="I45" s="27">
        <v>0</v>
      </c>
      <c r="J45" s="20" t="str">
        <f t="shared" si="47"/>
        <v>-</v>
      </c>
      <c r="K45" s="27">
        <v>0</v>
      </c>
      <c r="L45" s="27">
        <v>0</v>
      </c>
      <c r="M45" s="20" t="str">
        <f t="shared" si="48"/>
        <v>-</v>
      </c>
      <c r="N45" s="27">
        <v>0</v>
      </c>
      <c r="O45" s="27">
        <v>0</v>
      </c>
      <c r="P45" s="20" t="str">
        <f t="shared" si="46"/>
        <v>-</v>
      </c>
      <c r="Q45" s="27">
        <v>0</v>
      </c>
      <c r="R45" s="27">
        <v>0</v>
      </c>
      <c r="S45" s="20" t="str">
        <f t="shared" si="49"/>
        <v>-</v>
      </c>
      <c r="T45" s="13" t="str">
        <f t="shared" si="6"/>
        <v>-</v>
      </c>
      <c r="U45" s="13" t="str">
        <f t="shared" si="7"/>
        <v>-</v>
      </c>
    </row>
    <row r="46" spans="1:21" x14ac:dyDescent="0.3">
      <c r="A46" s="5" t="s">
        <v>59</v>
      </c>
      <c r="B46" s="27">
        <v>0</v>
      </c>
      <c r="C46" s="27">
        <v>0</v>
      </c>
      <c r="D46" s="20" t="str">
        <f t="shared" si="42"/>
        <v>-</v>
      </c>
      <c r="E46" s="27">
        <v>0</v>
      </c>
      <c r="F46" s="27">
        <v>0</v>
      </c>
      <c r="G46" s="20" t="str">
        <f t="shared" si="43"/>
        <v>-</v>
      </c>
      <c r="H46" s="27">
        <v>0</v>
      </c>
      <c r="I46" s="27">
        <v>0</v>
      </c>
      <c r="J46" s="20" t="str">
        <f t="shared" si="47"/>
        <v>-</v>
      </c>
      <c r="K46" s="27">
        <v>0</v>
      </c>
      <c r="L46" s="27">
        <v>0</v>
      </c>
      <c r="M46" s="20" t="str">
        <f t="shared" si="48"/>
        <v>-</v>
      </c>
      <c r="N46" s="27">
        <v>0</v>
      </c>
      <c r="O46" s="27">
        <v>0</v>
      </c>
      <c r="P46" s="20" t="str">
        <f t="shared" si="46"/>
        <v>-</v>
      </c>
      <c r="Q46" s="27">
        <v>0</v>
      </c>
      <c r="R46" s="27">
        <v>0</v>
      </c>
      <c r="S46" s="20" t="str">
        <f t="shared" si="49"/>
        <v>-</v>
      </c>
      <c r="T46" s="13" t="str">
        <f t="shared" si="6"/>
        <v>-</v>
      </c>
      <c r="U46" s="13" t="str">
        <f t="shared" si="7"/>
        <v>-</v>
      </c>
    </row>
    <row r="47" spans="1:21" x14ac:dyDescent="0.3">
      <c r="A47" s="5" t="s">
        <v>60</v>
      </c>
      <c r="B47" s="27">
        <v>0</v>
      </c>
      <c r="C47" s="27">
        <v>0</v>
      </c>
      <c r="D47" s="20" t="str">
        <f t="shared" si="42"/>
        <v>-</v>
      </c>
      <c r="E47" s="27">
        <v>0</v>
      </c>
      <c r="F47" s="27">
        <v>0</v>
      </c>
      <c r="G47" s="20" t="str">
        <f t="shared" si="43"/>
        <v>-</v>
      </c>
      <c r="H47" s="27">
        <v>0</v>
      </c>
      <c r="I47" s="27">
        <v>0</v>
      </c>
      <c r="J47" s="20" t="str">
        <f t="shared" si="47"/>
        <v>-</v>
      </c>
      <c r="K47" s="27">
        <v>0</v>
      </c>
      <c r="L47" s="27">
        <v>0</v>
      </c>
      <c r="M47" s="20" t="str">
        <f t="shared" si="48"/>
        <v>-</v>
      </c>
      <c r="N47" s="27">
        <v>0</v>
      </c>
      <c r="O47" s="27">
        <v>0</v>
      </c>
      <c r="P47" s="20" t="str">
        <f t="shared" si="46"/>
        <v>-</v>
      </c>
      <c r="Q47" s="27">
        <v>0</v>
      </c>
      <c r="R47" s="27">
        <v>0</v>
      </c>
      <c r="S47" s="20" t="str">
        <f t="shared" si="49"/>
        <v>-</v>
      </c>
      <c r="T47" s="13" t="str">
        <f t="shared" si="6"/>
        <v>-</v>
      </c>
      <c r="U47" s="13" t="str">
        <f t="shared" si="7"/>
        <v>-</v>
      </c>
    </row>
    <row r="48" spans="1:21" x14ac:dyDescent="0.3">
      <c r="A48" s="5" t="s">
        <v>61</v>
      </c>
      <c r="B48" s="27">
        <v>9759941455.5499992</v>
      </c>
      <c r="C48" s="27">
        <v>0</v>
      </c>
      <c r="D48" s="20">
        <f t="shared" si="42"/>
        <v>0</v>
      </c>
      <c r="E48" s="27">
        <v>8694362169.5400009</v>
      </c>
      <c r="F48" s="27">
        <v>0</v>
      </c>
      <c r="G48" s="20">
        <f t="shared" si="43"/>
        <v>0</v>
      </c>
      <c r="H48" s="27">
        <v>6008869308.71</v>
      </c>
      <c r="I48" s="27">
        <v>0</v>
      </c>
      <c r="J48" s="20">
        <f t="shared" si="47"/>
        <v>0</v>
      </c>
      <c r="K48" s="27">
        <v>4364806699.5100002</v>
      </c>
      <c r="L48" s="27">
        <v>0</v>
      </c>
      <c r="M48" s="20">
        <f t="shared" si="48"/>
        <v>0</v>
      </c>
      <c r="N48" s="27">
        <v>5156384272.9099998</v>
      </c>
      <c r="O48" s="27">
        <v>0</v>
      </c>
      <c r="P48" s="20">
        <f t="shared" si="46"/>
        <v>0</v>
      </c>
      <c r="Q48" s="27">
        <v>3625039264.6700001</v>
      </c>
      <c r="R48" s="27">
        <v>0</v>
      </c>
      <c r="S48" s="20">
        <f t="shared" si="49"/>
        <v>0</v>
      </c>
      <c r="T48" s="13">
        <f t="shared" si="6"/>
        <v>-29.698038920124674</v>
      </c>
      <c r="U48" s="13" t="str">
        <f t="shared" si="7"/>
        <v>-</v>
      </c>
    </row>
    <row r="49" spans="1:21" x14ac:dyDescent="0.3">
      <c r="A49" s="5" t="s">
        <v>62</v>
      </c>
      <c r="B49" s="27">
        <v>135098804.61000001</v>
      </c>
      <c r="C49" s="27">
        <v>0</v>
      </c>
      <c r="D49" s="20">
        <f t="shared" si="42"/>
        <v>0</v>
      </c>
      <c r="E49" s="27">
        <v>129200878.16</v>
      </c>
      <c r="F49" s="27">
        <v>0</v>
      </c>
      <c r="G49" s="20">
        <f t="shared" si="43"/>
        <v>0</v>
      </c>
      <c r="H49" s="27">
        <v>126014615.5</v>
      </c>
      <c r="I49" s="27">
        <v>0</v>
      </c>
      <c r="J49" s="20">
        <f t="shared" si="47"/>
        <v>0</v>
      </c>
      <c r="K49" s="27">
        <v>1750697.34</v>
      </c>
      <c r="L49" s="27">
        <v>0</v>
      </c>
      <c r="M49" s="20">
        <f t="shared" si="48"/>
        <v>0</v>
      </c>
      <c r="N49" s="27">
        <v>2842798.65</v>
      </c>
      <c r="O49" s="27">
        <v>0</v>
      </c>
      <c r="P49" s="20">
        <f t="shared" si="46"/>
        <v>0</v>
      </c>
      <c r="Q49" s="27">
        <v>3806528.74</v>
      </c>
      <c r="R49" s="27">
        <v>0</v>
      </c>
      <c r="S49" s="20">
        <f t="shared" si="49"/>
        <v>0</v>
      </c>
      <c r="T49" s="13">
        <f t="shared" si="6"/>
        <v>33.900750937812631</v>
      </c>
      <c r="U49" s="13" t="str">
        <f t="shared" si="7"/>
        <v>-</v>
      </c>
    </row>
    <row r="50" spans="1:21" x14ac:dyDescent="0.3">
      <c r="A50" s="5" t="s">
        <v>63</v>
      </c>
      <c r="B50" s="27">
        <f t="shared" ref="B50:C50" si="50">SUM(B23:B32)</f>
        <v>21683388738.749996</v>
      </c>
      <c r="C50" s="27">
        <f t="shared" si="50"/>
        <v>18866805018.98</v>
      </c>
      <c r="D50" s="20">
        <f t="shared" si="42"/>
        <v>87.010408042279252</v>
      </c>
      <c r="E50" s="27">
        <f t="shared" ref="E50:F50" si="51">SUM(E23:E32)</f>
        <v>22886916525.740002</v>
      </c>
      <c r="F50" s="27">
        <f t="shared" si="51"/>
        <v>16470689818.929998</v>
      </c>
      <c r="G50" s="20">
        <f t="shared" si="43"/>
        <v>71.965525807751646</v>
      </c>
      <c r="H50" s="27">
        <f t="shared" ref="H50:I50" si="52">SUM(H23:H32)</f>
        <v>22926260028.080002</v>
      </c>
      <c r="I50" s="27">
        <f t="shared" si="52"/>
        <v>19954472362.380001</v>
      </c>
      <c r="J50" s="20">
        <f t="shared" si="47"/>
        <v>87.037625578440768</v>
      </c>
      <c r="K50" s="27">
        <f t="shared" ref="K50:L50" si="53">SUM(K23:K32)</f>
        <v>23146416196.489998</v>
      </c>
      <c r="L50" s="27">
        <f t="shared" si="53"/>
        <v>20247984184.809998</v>
      </c>
      <c r="M50" s="20">
        <f t="shared" si="48"/>
        <v>87.477836797389273</v>
      </c>
      <c r="N50" s="27">
        <f t="shared" ref="N50:O50" si="54">SUM(N23:N32)</f>
        <v>24492023316.460003</v>
      </c>
      <c r="O50" s="27">
        <f t="shared" si="54"/>
        <v>20553912034.510002</v>
      </c>
      <c r="P50" s="20">
        <f t="shared" si="46"/>
        <v>83.920841365101211</v>
      </c>
      <c r="Q50" s="27">
        <f t="shared" ref="Q50:R50" si="55">SUM(Q23:Q32)</f>
        <v>25489164329.73</v>
      </c>
      <c r="R50" s="27">
        <f t="shared" si="55"/>
        <v>21808989876.360001</v>
      </c>
      <c r="S50" s="20">
        <f t="shared" si="49"/>
        <v>85.561808124570319</v>
      </c>
      <c r="T50" s="13">
        <f t="shared" si="6"/>
        <v>4.0712888452946459</v>
      </c>
      <c r="U50" s="13">
        <f t="shared" si="7"/>
        <v>6.1062723229656939</v>
      </c>
    </row>
    <row r="51" spans="1:21" x14ac:dyDescent="0.3">
      <c r="A51" s="5" t="s">
        <v>64</v>
      </c>
      <c r="B51" s="27">
        <f t="shared" ref="B51:C51" si="56">SUM(B33:B37)</f>
        <v>1123930131.6800001</v>
      </c>
      <c r="C51" s="27">
        <f t="shared" si="56"/>
        <v>761647547.08000004</v>
      </c>
      <c r="D51" s="20">
        <f t="shared" si="42"/>
        <v>67.766449676148781</v>
      </c>
      <c r="E51" s="27">
        <f t="shared" ref="E51:F51" si="57">SUM(E33:E37)</f>
        <v>892703341.49000001</v>
      </c>
      <c r="F51" s="27">
        <f t="shared" si="57"/>
        <v>484412509.59999996</v>
      </c>
      <c r="G51" s="20">
        <f t="shared" si="43"/>
        <v>54.263548380078099</v>
      </c>
      <c r="H51" s="27">
        <f t="shared" ref="H51:I51" si="58">SUM(H33:H37)</f>
        <v>997885620.5</v>
      </c>
      <c r="I51" s="27">
        <f t="shared" si="58"/>
        <v>443693273.35000002</v>
      </c>
      <c r="J51" s="20">
        <f t="shared" si="47"/>
        <v>44.463339708982211</v>
      </c>
      <c r="K51" s="27">
        <f t="shared" ref="K51:L51" si="59">SUM(K33:K37)</f>
        <v>1060426883.54</v>
      </c>
      <c r="L51" s="27">
        <f t="shared" si="59"/>
        <v>603082306.16000009</v>
      </c>
      <c r="M51" s="20">
        <f t="shared" si="48"/>
        <v>56.87165381423975</v>
      </c>
      <c r="N51" s="27">
        <f t="shared" ref="N51:O51" si="60">SUM(N33:N37)</f>
        <v>1243248363.23</v>
      </c>
      <c r="O51" s="27">
        <f t="shared" si="60"/>
        <v>717711938.3900001</v>
      </c>
      <c r="P51" s="20">
        <f t="shared" si="46"/>
        <v>57.728765998562103</v>
      </c>
      <c r="Q51" s="27">
        <f t="shared" ref="Q51:R51" si="61">SUM(Q33:Q37)</f>
        <v>1690704029.9200001</v>
      </c>
      <c r="R51" s="27">
        <f t="shared" si="61"/>
        <v>1106751610.4400003</v>
      </c>
      <c r="S51" s="20">
        <f t="shared" si="49"/>
        <v>65.460990856712456</v>
      </c>
      <c r="T51" s="13">
        <f t="shared" si="6"/>
        <v>35.990851057908941</v>
      </c>
      <c r="U51" s="13">
        <f t="shared" si="7"/>
        <v>54.205545601304806</v>
      </c>
    </row>
    <row r="52" spans="1:21" x14ac:dyDescent="0.3">
      <c r="A52" s="5" t="s">
        <v>65</v>
      </c>
      <c r="B52" s="27">
        <f t="shared" ref="B52:C52" si="62">SUM(B38:B41)</f>
        <v>100914096.81</v>
      </c>
      <c r="C52" s="27">
        <f t="shared" si="62"/>
        <v>100762974.36000001</v>
      </c>
      <c r="D52" s="20">
        <f t="shared" si="42"/>
        <v>99.85024644249205</v>
      </c>
      <c r="E52" s="27">
        <f t="shared" ref="E52:F52" si="63">SUM(E38:E41)</f>
        <v>294783709.55000001</v>
      </c>
      <c r="F52" s="27">
        <f t="shared" si="63"/>
        <v>173834972.70000002</v>
      </c>
      <c r="G52" s="20">
        <f t="shared" si="43"/>
        <v>58.970345737682237</v>
      </c>
      <c r="H52" s="27">
        <f t="shared" ref="H52:I52" si="64">SUM(H38:H41)</f>
        <v>350034618.69999999</v>
      </c>
      <c r="I52" s="27">
        <f t="shared" si="64"/>
        <v>159094207</v>
      </c>
      <c r="J52" s="20">
        <f t="shared" si="47"/>
        <v>45.450992130682074</v>
      </c>
      <c r="K52" s="27">
        <f t="shared" ref="K52:L52" si="65">SUM(K38:K41)</f>
        <v>496436753.58000004</v>
      </c>
      <c r="L52" s="27">
        <f t="shared" si="65"/>
        <v>492223110.99000001</v>
      </c>
      <c r="M52" s="20">
        <f t="shared" si="48"/>
        <v>99.151222676481183</v>
      </c>
      <c r="N52" s="27">
        <f t="shared" ref="N52:O52" si="66">SUM(N38:N41)</f>
        <v>359620129.15999997</v>
      </c>
      <c r="O52" s="27">
        <f t="shared" si="66"/>
        <v>359253494</v>
      </c>
      <c r="P52" s="20">
        <f t="shared" si="46"/>
        <v>99.898049321973062</v>
      </c>
      <c r="Q52" s="27">
        <f t="shared" ref="Q52:R52" si="67">SUM(Q38:Q41)</f>
        <v>603584751.38</v>
      </c>
      <c r="R52" s="27">
        <f t="shared" si="67"/>
        <v>591431960.74000001</v>
      </c>
      <c r="S52" s="20">
        <f t="shared" si="49"/>
        <v>97.986564337118438</v>
      </c>
      <c r="T52" s="13">
        <f t="shared" si="6"/>
        <v>67.839534675061742</v>
      </c>
      <c r="U52" s="13">
        <f t="shared" si="7"/>
        <v>64.628033023389321</v>
      </c>
    </row>
    <row r="53" spans="1:21" x14ac:dyDescent="0.3">
      <c r="A53" s="5" t="s">
        <v>66</v>
      </c>
      <c r="B53" s="27">
        <f t="shared" ref="B53:C53" si="68">SUM(B42:B46)</f>
        <v>362479140.79000002</v>
      </c>
      <c r="C53" s="27">
        <f t="shared" si="68"/>
        <v>362479140.79000002</v>
      </c>
      <c r="D53" s="20">
        <f t="shared" si="42"/>
        <v>100</v>
      </c>
      <c r="E53" s="27">
        <f t="shared" ref="E53:F53" si="69">SUM(E42:E46)</f>
        <v>62708263.060000002</v>
      </c>
      <c r="F53" s="27">
        <f t="shared" si="69"/>
        <v>59623279.240000002</v>
      </c>
      <c r="G53" s="20">
        <f t="shared" si="43"/>
        <v>95.080418960020864</v>
      </c>
      <c r="H53" s="27">
        <f t="shared" ref="H53:I53" si="70">SUM(H42:H46)</f>
        <v>68378551.859999999</v>
      </c>
      <c r="I53" s="27">
        <f t="shared" si="70"/>
        <v>68378551.859999999</v>
      </c>
      <c r="J53" s="20">
        <f t="shared" si="47"/>
        <v>100</v>
      </c>
      <c r="K53" s="27">
        <f t="shared" ref="K53:L53" si="71">SUM(K42:K46)</f>
        <v>69397972.129999995</v>
      </c>
      <c r="L53" s="27">
        <f t="shared" si="71"/>
        <v>69397972.129999995</v>
      </c>
      <c r="M53" s="20">
        <f t="shared" si="48"/>
        <v>100</v>
      </c>
      <c r="N53" s="27">
        <f t="shared" ref="N53:O53" si="72">SUM(N42:N46)</f>
        <v>348683608.64999998</v>
      </c>
      <c r="O53" s="27">
        <f t="shared" si="72"/>
        <v>348683608.64999998</v>
      </c>
      <c r="P53" s="20">
        <f t="shared" si="46"/>
        <v>100</v>
      </c>
      <c r="Q53" s="27">
        <f t="shared" ref="Q53:R53" si="73">SUM(Q42:Q46)</f>
        <v>80948954.819999993</v>
      </c>
      <c r="R53" s="27">
        <f t="shared" si="73"/>
        <v>80948954.819999993</v>
      </c>
      <c r="S53" s="20">
        <f t="shared" si="49"/>
        <v>100</v>
      </c>
      <c r="T53" s="13">
        <f t="shared" si="6"/>
        <v>-76.784410619870982</v>
      </c>
      <c r="U53" s="13">
        <f t="shared" si="7"/>
        <v>-76.784410619870982</v>
      </c>
    </row>
    <row r="54" spans="1:21" x14ac:dyDescent="0.3">
      <c r="A54" s="5" t="s">
        <v>67</v>
      </c>
      <c r="B54" s="27">
        <f t="shared" ref="B54:C54" si="74">B47</f>
        <v>0</v>
      </c>
      <c r="C54" s="27">
        <f t="shared" si="74"/>
        <v>0</v>
      </c>
      <c r="D54" s="20" t="str">
        <f t="shared" si="42"/>
        <v>-</v>
      </c>
      <c r="E54" s="27">
        <f t="shared" ref="E54:F54" si="75">E47</f>
        <v>0</v>
      </c>
      <c r="F54" s="27">
        <f t="shared" si="75"/>
        <v>0</v>
      </c>
      <c r="G54" s="20" t="str">
        <f t="shared" si="43"/>
        <v>-</v>
      </c>
      <c r="H54" s="27">
        <f t="shared" ref="H54:I54" si="76">H47</f>
        <v>0</v>
      </c>
      <c r="I54" s="27">
        <f t="shared" si="76"/>
        <v>0</v>
      </c>
      <c r="J54" s="20" t="str">
        <f t="shared" si="47"/>
        <v>-</v>
      </c>
      <c r="K54" s="27">
        <f t="shared" ref="K54:L54" si="77">K47</f>
        <v>0</v>
      </c>
      <c r="L54" s="27">
        <f t="shared" si="77"/>
        <v>0</v>
      </c>
      <c r="M54" s="20" t="str">
        <f t="shared" si="48"/>
        <v>-</v>
      </c>
      <c r="N54" s="27">
        <f t="shared" ref="N54:O54" si="78">N47</f>
        <v>0</v>
      </c>
      <c r="O54" s="27">
        <f t="shared" si="78"/>
        <v>0</v>
      </c>
      <c r="P54" s="20" t="str">
        <f t="shared" si="46"/>
        <v>-</v>
      </c>
      <c r="Q54" s="27">
        <f t="shared" ref="Q54:R54" si="79">Q47</f>
        <v>0</v>
      </c>
      <c r="R54" s="27">
        <f t="shared" si="79"/>
        <v>0</v>
      </c>
      <c r="S54" s="20" t="str">
        <f t="shared" si="49"/>
        <v>-</v>
      </c>
      <c r="T54" s="13" t="str">
        <f t="shared" si="6"/>
        <v>-</v>
      </c>
      <c r="U54" s="13" t="str">
        <f t="shared" si="7"/>
        <v>-</v>
      </c>
    </row>
    <row r="55" spans="1:21" x14ac:dyDescent="0.3">
      <c r="A55" s="5" t="s">
        <v>68</v>
      </c>
      <c r="B55" s="27">
        <f>SUM(B48:B49)</f>
        <v>9895040260.1599998</v>
      </c>
      <c r="C55" s="29">
        <v>5156795742.2399998</v>
      </c>
      <c r="D55" s="20">
        <f t="shared" si="42"/>
        <v>52.114954630377788</v>
      </c>
      <c r="E55" s="27">
        <f>SUM(E48:E49)</f>
        <v>8823563047.7000008</v>
      </c>
      <c r="F55" s="29">
        <v>3463391068.25</v>
      </c>
      <c r="G55" s="20">
        <f t="shared" si="43"/>
        <v>39.25161581015491</v>
      </c>
      <c r="H55" s="27">
        <f>SUM(H48:H49)</f>
        <v>6134883924.21</v>
      </c>
      <c r="I55" s="29">
        <v>2659336800.6399999</v>
      </c>
      <c r="J55" s="20">
        <f t="shared" si="47"/>
        <v>43.347793267049425</v>
      </c>
      <c r="K55" s="27">
        <f>SUM(K48:K49)</f>
        <v>4366557396.8500004</v>
      </c>
      <c r="L55" s="29">
        <v>1380330517.3299999</v>
      </c>
      <c r="M55" s="20">
        <f t="shared" si="48"/>
        <v>31.611413566343117</v>
      </c>
      <c r="N55" s="27">
        <f>SUM(N48:N49)</f>
        <v>5159227071.5599995</v>
      </c>
      <c r="O55" s="29">
        <v>2576277582.1300001</v>
      </c>
      <c r="P55" s="20">
        <f t="shared" si="46"/>
        <v>49.935340049900326</v>
      </c>
      <c r="Q55" s="27">
        <f>SUM(Q48:Q49)</f>
        <v>3628845793.4099998</v>
      </c>
      <c r="R55" s="29">
        <v>1419195096.5799999</v>
      </c>
      <c r="S55" s="20">
        <f t="shared" si="49"/>
        <v>39.108718787589829</v>
      </c>
      <c r="T55" s="13">
        <f t="shared" si="6"/>
        <v>-29.662995191395154</v>
      </c>
      <c r="U55" s="13">
        <f t="shared" si="7"/>
        <v>-44.912958664700795</v>
      </c>
    </row>
    <row r="56" spans="1:21" x14ac:dyDescent="0.3">
      <c r="A56" s="5" t="s">
        <v>69</v>
      </c>
      <c r="B56" s="19">
        <f t="shared" ref="B56:C56" si="80">SUM(B50:B55)</f>
        <v>33165752368.189999</v>
      </c>
      <c r="C56" s="19">
        <f t="shared" si="80"/>
        <v>25248490423.450005</v>
      </c>
      <c r="D56" s="20">
        <f t="shared" si="42"/>
        <v>76.128200389225569</v>
      </c>
      <c r="E56" s="19">
        <f t="shared" ref="E56:F56" si="81">SUM(E50:E55)</f>
        <v>32960674887.540005</v>
      </c>
      <c r="F56" s="19">
        <f t="shared" si="81"/>
        <v>20651951648.720001</v>
      </c>
      <c r="G56" s="20">
        <f t="shared" si="43"/>
        <v>62.656337344982518</v>
      </c>
      <c r="H56" s="24">
        <f t="shared" ref="H56:I56" si="82">SUM(H50:H55)</f>
        <v>30477442743.350002</v>
      </c>
      <c r="I56" s="19">
        <f t="shared" si="82"/>
        <v>23284975195.23</v>
      </c>
      <c r="J56" s="20">
        <f t="shared" si="47"/>
        <v>76.400685553943475</v>
      </c>
      <c r="K56" s="24">
        <f t="shared" ref="K56:L56" si="83">SUM(K50:K55)</f>
        <v>29139235202.590004</v>
      </c>
      <c r="L56" s="19">
        <f t="shared" si="83"/>
        <v>22793018091.419998</v>
      </c>
      <c r="M56" s="20">
        <f t="shared" si="48"/>
        <v>78.221058078401697</v>
      </c>
      <c r="N56" s="24">
        <f t="shared" ref="N56:O56" si="84">SUM(N50:N55)</f>
        <v>31602802489.060005</v>
      </c>
      <c r="O56" s="19">
        <f t="shared" si="84"/>
        <v>24555838657.680004</v>
      </c>
      <c r="P56" s="20">
        <f t="shared" si="46"/>
        <v>77.701459122748815</v>
      </c>
      <c r="Q56" s="24">
        <f t="shared" ref="Q56:R56" si="85">SUM(Q50:Q55)</f>
        <v>31493247859.260002</v>
      </c>
      <c r="R56" s="19">
        <f t="shared" si="85"/>
        <v>25007317498.940002</v>
      </c>
      <c r="S56" s="20">
        <f t="shared" si="49"/>
        <v>79.405330344761722</v>
      </c>
      <c r="T56" s="13">
        <f t="shared" si="6"/>
        <v>-0.34666112234168622</v>
      </c>
      <c r="U56" s="13">
        <f t="shared" si="7"/>
        <v>1.8385804189130965</v>
      </c>
    </row>
    <row r="57" spans="1:21" x14ac:dyDescent="0.3">
      <c r="A57" s="14" t="s">
        <v>70</v>
      </c>
      <c r="B57" s="15">
        <f t="shared" ref="B57:C57" si="86">B56-B55</f>
        <v>23270712108.029999</v>
      </c>
      <c r="C57" s="15">
        <f t="shared" si="86"/>
        <v>20091694681.210007</v>
      </c>
      <c r="D57" s="21">
        <f t="shared" si="42"/>
        <v>86.33897659830096</v>
      </c>
      <c r="E57" s="15">
        <f t="shared" ref="E57:F57" si="87">E56-E55</f>
        <v>24137111839.840004</v>
      </c>
      <c r="F57" s="15">
        <f t="shared" si="87"/>
        <v>17188560580.470001</v>
      </c>
      <c r="G57" s="21">
        <f t="shared" si="43"/>
        <v>71.212167779324247</v>
      </c>
      <c r="H57" s="25">
        <f t="shared" ref="H57:I57" si="88">H56-H55</f>
        <v>24342558819.140003</v>
      </c>
      <c r="I57" s="15">
        <f t="shared" si="88"/>
        <v>20625638394.59</v>
      </c>
      <c r="J57" s="21">
        <f t="shared" si="47"/>
        <v>84.730773571644932</v>
      </c>
      <c r="K57" s="25">
        <f t="shared" ref="K57:L57" si="89">K56-K55</f>
        <v>24772677805.740005</v>
      </c>
      <c r="L57" s="15">
        <f t="shared" si="89"/>
        <v>21412687574.089996</v>
      </c>
      <c r="M57" s="21">
        <f t="shared" si="48"/>
        <v>86.436709595958675</v>
      </c>
      <c r="N57" s="25">
        <f t="shared" ref="N57:O57" si="90">N56-N55</f>
        <v>26443575417.500008</v>
      </c>
      <c r="O57" s="15">
        <f t="shared" si="90"/>
        <v>21979561075.550003</v>
      </c>
      <c r="P57" s="21">
        <f t="shared" si="46"/>
        <v>83.118718738027468</v>
      </c>
      <c r="Q57" s="25">
        <f t="shared" ref="Q57:R57" si="91">Q56-Q55</f>
        <v>27864402065.850002</v>
      </c>
      <c r="R57" s="15">
        <f t="shared" si="91"/>
        <v>23588122402.360001</v>
      </c>
      <c r="S57" s="21">
        <f t="shared" si="49"/>
        <v>84.6532516528287</v>
      </c>
      <c r="T57" s="16">
        <f t="shared" si="6"/>
        <v>5.3730504514518458</v>
      </c>
      <c r="U57" s="16">
        <f t="shared" si="7"/>
        <v>7.3184415343005043</v>
      </c>
    </row>
    <row r="58" spans="1:21" x14ac:dyDescent="0.3">
      <c r="A58" s="5" t="s">
        <v>71</v>
      </c>
      <c r="B58" s="19">
        <f>B14-B50</f>
        <v>632233648.76000214</v>
      </c>
      <c r="C58" s="19">
        <f>C14-C50</f>
        <v>-1816179880.5699978</v>
      </c>
      <c r="D58" s="22"/>
      <c r="E58" s="19">
        <f>E14-E50</f>
        <v>765987408.21999741</v>
      </c>
      <c r="F58" s="19">
        <f>F14-F50</f>
        <v>771343511.02000237</v>
      </c>
      <c r="G58" s="22"/>
      <c r="H58" s="19">
        <f>H14-H50</f>
        <v>702208586.43999863</v>
      </c>
      <c r="I58" s="19">
        <f>I14-I50</f>
        <v>-537141559.77999878</v>
      </c>
      <c r="J58" s="22"/>
      <c r="K58" s="19">
        <f>K14-K50</f>
        <v>988457936.81999969</v>
      </c>
      <c r="L58" s="19">
        <f>L14-L50</f>
        <v>-105153366.57999802</v>
      </c>
      <c r="M58" s="22"/>
      <c r="N58" s="19">
        <f>N14-N50</f>
        <v>741571336.86999893</v>
      </c>
      <c r="O58" s="19">
        <f>O14-O50</f>
        <v>958799840.36000061</v>
      </c>
      <c r="P58" s="22"/>
      <c r="Q58" s="19">
        <f>Q14-Q50</f>
        <v>632718562.42000198</v>
      </c>
      <c r="R58" s="19">
        <f>R14-R50</f>
        <v>903578036.20999527</v>
      </c>
      <c r="S58" s="22"/>
      <c r="T58" s="13">
        <f t="shared" si="6"/>
        <v>-14.678665293272971</v>
      </c>
      <c r="U58" s="13">
        <f t="shared" si="7"/>
        <v>-5.759471562831223</v>
      </c>
    </row>
    <row r="59" spans="1:21" x14ac:dyDescent="0.3">
      <c r="A59" s="5" t="s">
        <v>72</v>
      </c>
      <c r="B59" s="19">
        <f>B15-B51</f>
        <v>-582724382.69000006</v>
      </c>
      <c r="C59" s="19">
        <f>C15-C51</f>
        <v>-574739436.10000002</v>
      </c>
      <c r="D59" s="22"/>
      <c r="E59" s="19">
        <f>E15-E51</f>
        <v>-354484560.12</v>
      </c>
      <c r="F59" s="19">
        <f>F15-F51</f>
        <v>-341745606.97999996</v>
      </c>
      <c r="G59" s="22"/>
      <c r="H59" s="19">
        <f>H15-H51</f>
        <v>-145164003.47000003</v>
      </c>
      <c r="I59" s="19">
        <f>I15-I51</f>
        <v>139556703.01999998</v>
      </c>
      <c r="J59" s="22"/>
      <c r="K59" s="19">
        <f>K15-K51</f>
        <v>-353735751.66999996</v>
      </c>
      <c r="L59" s="19">
        <f>L15-L51</f>
        <v>-223489155.21000004</v>
      </c>
      <c r="M59" s="22"/>
      <c r="N59" s="19">
        <f>N15-N51</f>
        <v>-406622762.56000006</v>
      </c>
      <c r="O59" s="19">
        <f>O15-O51</f>
        <v>-163876542.72000003</v>
      </c>
      <c r="P59" s="22"/>
      <c r="Q59" s="19">
        <f>Q15-Q51</f>
        <v>-844676828.4000001</v>
      </c>
      <c r="R59" s="19">
        <f>R15-R51</f>
        <v>-566162620.30000031</v>
      </c>
      <c r="S59" s="22"/>
      <c r="T59" s="13" t="str">
        <f t="shared" si="6"/>
        <v>-</v>
      </c>
      <c r="U59" s="13" t="str">
        <f t="shared" si="7"/>
        <v>-</v>
      </c>
    </row>
    <row r="60" spans="1:21" x14ac:dyDescent="0.3">
      <c r="A60" s="5" t="s">
        <v>365</v>
      </c>
      <c r="B60" s="19">
        <f>SUM(B14:B16)-SUM(B50:B52)</f>
        <v>254939011.85000229</v>
      </c>
      <c r="C60" s="19">
        <f>SUM(C14:C16)-SUM(C50:C52)</f>
        <v>-2200278300.7099991</v>
      </c>
      <c r="D60" s="22"/>
      <c r="E60" s="19">
        <f>SUM(E14:E16)-SUM(E50:E52)</f>
        <v>414512348.49999619</v>
      </c>
      <c r="F60" s="19">
        <f>SUM(F14:F16)-SUM(F50:F52)</f>
        <v>458395655.5</v>
      </c>
      <c r="G60" s="22"/>
      <c r="H60" s="19">
        <f>SUM(H14:H16)-SUM(H50:H52)</f>
        <v>580064616.89999771</v>
      </c>
      <c r="I60" s="19">
        <f>SUM(I14:I16)-SUM(I50:I52)</f>
        <v>-206018691.15999985</v>
      </c>
      <c r="J60" s="22"/>
      <c r="K60" s="19">
        <f>SUM(K14:K16)-SUM(K50:K52)</f>
        <v>544904607.96999741</v>
      </c>
      <c r="L60" s="19">
        <f>SUM(L14:L16)-SUM(L50:L52)</f>
        <v>-415970152.11999893</v>
      </c>
      <c r="M60" s="22"/>
      <c r="N60" s="19">
        <f>SUM(N14:N16)-SUM(N50:N52)</f>
        <v>327824308.56999588</v>
      </c>
      <c r="O60" s="19">
        <f>SUM(O14:O16)-SUM(O50:O52)</f>
        <v>604024716.63000107</v>
      </c>
      <c r="P60" s="22"/>
      <c r="Q60" s="19">
        <f>SUM(Q14:Q16)-SUM(Q50:Q52)</f>
        <v>-36078456.760002136</v>
      </c>
      <c r="R60" s="19">
        <f>SUM(R14:R16)-SUM(R50:R52)</f>
        <v>511629029.36999512</v>
      </c>
      <c r="S60" s="22"/>
      <c r="T60" s="13">
        <f t="shared" si="6"/>
        <v>-111.00542449624318</v>
      </c>
      <c r="U60" s="13">
        <f t="shared" si="7"/>
        <v>-15.296673251303957</v>
      </c>
    </row>
    <row r="61" spans="1:21" x14ac:dyDescent="0.3">
      <c r="A61" s="5" t="s">
        <v>366</v>
      </c>
      <c r="B61" s="28">
        <f>B21-B57</f>
        <v>-37231703.169998169</v>
      </c>
      <c r="C61" s="28">
        <f>C21-C57</f>
        <v>-2492449015.7300034</v>
      </c>
      <c r="D61" s="106"/>
      <c r="E61" s="28">
        <f>E21-E57</f>
        <v>351804085.43999481</v>
      </c>
      <c r="F61" s="28">
        <f>F21-F57</f>
        <v>398772376.25999832</v>
      </c>
      <c r="G61" s="106"/>
      <c r="H61" s="28">
        <f>H21-H57</f>
        <v>511686065.0399971</v>
      </c>
      <c r="I61" s="28">
        <f>I21-I57</f>
        <v>-274397243.02000046</v>
      </c>
      <c r="J61" s="106"/>
      <c r="K61" s="28">
        <f>K21-K57</f>
        <v>475506635.83999634</v>
      </c>
      <c r="L61" s="28">
        <f>L21-L57</f>
        <v>-485368124.24999619</v>
      </c>
      <c r="M61" s="106"/>
      <c r="N61" s="28">
        <f>N21-N57</f>
        <v>255521867.64999008</v>
      </c>
      <c r="O61" s="28">
        <f>O21-O57</f>
        <v>531722275.70999908</v>
      </c>
      <c r="P61" s="106"/>
      <c r="Q61" s="28">
        <f>Q21-Q57</f>
        <v>-117027411.58000183</v>
      </c>
      <c r="R61" s="28">
        <f>R21-R57</f>
        <v>430680074.54999542</v>
      </c>
      <c r="S61" s="106"/>
      <c r="T61" s="13">
        <f t="shared" si="6"/>
        <v>-145.79937234190231</v>
      </c>
      <c r="U61" s="13">
        <f t="shared" si="7"/>
        <v>-19.002815149146016</v>
      </c>
    </row>
    <row r="62" spans="1:21" x14ac:dyDescent="0.3">
      <c r="A62" s="5" t="s">
        <v>367</v>
      </c>
      <c r="C62" s="6">
        <f>SUM(C14:C16)/SUM(B14:B16)*100</f>
        <v>75.675892988809267</v>
      </c>
      <c r="D62" s="106"/>
      <c r="F62" s="6">
        <f>SUM(F14:F16)/SUM(E14:E16)*100</f>
        <v>71.817523529387955</v>
      </c>
      <c r="G62" s="106"/>
      <c r="I62" s="6">
        <f>SUM(I14:I16)/SUM(H14:H16)*100</f>
        <v>81.882355494629365</v>
      </c>
      <c r="J62" s="106"/>
      <c r="L62" s="6">
        <f>SUM(L14:L16)/SUM(K14:K16)*100</f>
        <v>82.88643287703421</v>
      </c>
      <c r="M62" s="106"/>
      <c r="O62" s="6">
        <f>SUM(O14:O16)/SUM(N14:N16)*100</f>
        <v>84.150706099706952</v>
      </c>
      <c r="P62" s="106"/>
      <c r="R62" s="6">
        <f>SUM(R14:R16)/SUM(Q14:Q16)*100</f>
        <v>86.562432576711473</v>
      </c>
      <c r="S62" s="106"/>
    </row>
    <row r="63" spans="1:21" x14ac:dyDescent="0.3">
      <c r="A63" s="5" t="s">
        <v>368</v>
      </c>
      <c r="C63" s="6">
        <f>SUM(C50:C52)/SUM(B50:B52)*100</f>
        <v>86.122816930637285</v>
      </c>
      <c r="D63" s="106"/>
      <c r="F63" s="6">
        <f>SUM(F50:F52)/SUM(E50:E52)*100</f>
        <v>71.149996495659934</v>
      </c>
      <c r="G63" s="106"/>
      <c r="I63" s="6">
        <f>SUM(I50:I52)/SUM(H50:H52)*100</f>
        <v>84.687761301829966</v>
      </c>
      <c r="J63" s="106"/>
      <c r="L63" s="6">
        <f>SUM(L50:L52)/SUM(K50:K52)*100</f>
        <v>86.398606766869179</v>
      </c>
      <c r="M63" s="106"/>
      <c r="O63" s="6">
        <f>SUM(O50:O52)/SUM(N50:N52)*100</f>
        <v>82.893148687299629</v>
      </c>
      <c r="P63" s="106"/>
      <c r="R63" s="6">
        <f>SUM(R50:R52)/SUM(Q50:Q52)*100</f>
        <v>84.608537871801389</v>
      </c>
      <c r="S63" s="106"/>
    </row>
    <row r="65" spans="9:18" x14ac:dyDescent="0.3">
      <c r="R65" s="1"/>
    </row>
    <row r="71" spans="9:18" x14ac:dyDescent="0.3">
      <c r="I71" s="1"/>
      <c r="Q71">
        <v>46</v>
      </c>
    </row>
  </sheetData>
  <mergeCells count="7">
    <mergeCell ref="T1:U1"/>
    <mergeCell ref="B1:D1"/>
    <mergeCell ref="E1:G1"/>
    <mergeCell ref="N1:P1"/>
    <mergeCell ref="H1:J1"/>
    <mergeCell ref="K1:M1"/>
    <mergeCell ref="Q1:S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topLeftCell="A131" workbookViewId="0">
      <selection activeCell="H100" sqref="H100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9" x14ac:dyDescent="0.3">
      <c r="A1" s="125" t="s">
        <v>210</v>
      </c>
      <c r="B1" s="125"/>
      <c r="C1" s="2" t="s">
        <v>211</v>
      </c>
      <c r="D1" s="99">
        <v>2016</v>
      </c>
      <c r="E1" s="99">
        <v>2017</v>
      </c>
      <c r="F1" s="99">
        <v>2018</v>
      </c>
      <c r="G1" s="99">
        <v>2019</v>
      </c>
      <c r="H1" s="99">
        <v>2020</v>
      </c>
      <c r="I1" s="99">
        <v>2021</v>
      </c>
    </row>
    <row r="2" spans="1:9" x14ac:dyDescent="0.3">
      <c r="A2" t="s">
        <v>77</v>
      </c>
    </row>
    <row r="3" spans="1:9" x14ac:dyDescent="0.3">
      <c r="A3" s="8" t="s">
        <v>78</v>
      </c>
      <c r="B3" s="8" t="s">
        <v>79</v>
      </c>
      <c r="C3" s="9">
        <v>48</v>
      </c>
      <c r="D3" s="7">
        <v>2.85</v>
      </c>
      <c r="E3" s="7">
        <v>1.36</v>
      </c>
      <c r="F3" s="7">
        <v>1.4</v>
      </c>
      <c r="G3" s="7">
        <v>1.35</v>
      </c>
      <c r="H3" s="7">
        <v>2.35</v>
      </c>
      <c r="I3" s="7">
        <v>1.24</v>
      </c>
    </row>
    <row r="4" spans="1:9" x14ac:dyDescent="0.3">
      <c r="A4" t="s">
        <v>80</v>
      </c>
      <c r="D4" s="7"/>
      <c r="E4" s="7"/>
      <c r="F4" s="7"/>
      <c r="G4" s="7"/>
      <c r="H4" s="7"/>
      <c r="I4" s="7"/>
    </row>
    <row r="5" spans="1:9" x14ac:dyDescent="0.3">
      <c r="A5" t="s">
        <v>81</v>
      </c>
      <c r="B5" t="s">
        <v>82</v>
      </c>
      <c r="D5" s="7">
        <v>102.38</v>
      </c>
      <c r="E5" s="7">
        <v>107.13</v>
      </c>
      <c r="F5" s="7">
        <v>104.55</v>
      </c>
      <c r="G5" s="7">
        <v>105.65</v>
      </c>
      <c r="H5" s="7">
        <v>107.3</v>
      </c>
      <c r="I5" s="7">
        <v>111.8</v>
      </c>
    </row>
    <row r="6" spans="1:9" x14ac:dyDescent="0.3">
      <c r="A6" t="s">
        <v>83</v>
      </c>
      <c r="B6" t="s">
        <v>84</v>
      </c>
      <c r="D6" s="7">
        <v>99.59</v>
      </c>
      <c r="E6" s="7">
        <v>99.51</v>
      </c>
      <c r="F6" s="7">
        <v>99.92</v>
      </c>
      <c r="G6" s="7">
        <v>100.34</v>
      </c>
      <c r="H6" s="7">
        <v>99.3</v>
      </c>
      <c r="I6" s="7">
        <v>98.72</v>
      </c>
    </row>
    <row r="7" spans="1:9" x14ac:dyDescent="0.3">
      <c r="A7" t="s">
        <v>85</v>
      </c>
      <c r="B7" t="s">
        <v>86</v>
      </c>
      <c r="D7" s="7">
        <v>94.01</v>
      </c>
      <c r="E7" s="7">
        <v>97.83</v>
      </c>
      <c r="F7" s="7">
        <v>93.9</v>
      </c>
      <c r="G7" s="7">
        <v>95.33</v>
      </c>
      <c r="H7" s="7">
        <v>104.2</v>
      </c>
      <c r="I7" s="7">
        <v>96.21</v>
      </c>
    </row>
    <row r="8" spans="1:9" x14ac:dyDescent="0.3">
      <c r="A8" t="s">
        <v>87</v>
      </c>
      <c r="B8" t="s">
        <v>88</v>
      </c>
      <c r="D8" s="7">
        <v>91.45</v>
      </c>
      <c r="E8" s="7">
        <v>90.87</v>
      </c>
      <c r="F8" s="7">
        <v>89.74</v>
      </c>
      <c r="G8" s="7">
        <v>90.53</v>
      </c>
      <c r="H8" s="7">
        <v>100.27</v>
      </c>
      <c r="I8" s="7">
        <v>84.95</v>
      </c>
    </row>
    <row r="9" spans="1:9" x14ac:dyDescent="0.3">
      <c r="A9" t="s">
        <v>89</v>
      </c>
      <c r="B9" t="s">
        <v>90</v>
      </c>
      <c r="D9" s="7">
        <v>62.99</v>
      </c>
      <c r="E9" s="7">
        <v>60.04</v>
      </c>
      <c r="F9" s="7">
        <v>61.14</v>
      </c>
      <c r="G9" s="7">
        <v>65.94</v>
      </c>
      <c r="H9" s="7">
        <v>81.239999999999995</v>
      </c>
      <c r="I9" s="7">
        <v>77.319999999999993</v>
      </c>
    </row>
    <row r="10" spans="1:9" x14ac:dyDescent="0.3">
      <c r="A10" t="s">
        <v>91</v>
      </c>
      <c r="B10" t="s">
        <v>92</v>
      </c>
      <c r="D10" s="7">
        <v>91.59</v>
      </c>
      <c r="E10" s="7">
        <v>75.8</v>
      </c>
      <c r="F10" s="7">
        <v>65.02</v>
      </c>
      <c r="G10" s="7">
        <v>79.19</v>
      </c>
      <c r="H10" s="7">
        <v>86.99</v>
      </c>
      <c r="I10" s="7">
        <v>83.17</v>
      </c>
    </row>
    <row r="11" spans="1:9" x14ac:dyDescent="0.3">
      <c r="A11" t="s">
        <v>93</v>
      </c>
      <c r="B11" t="s">
        <v>94</v>
      </c>
      <c r="D11" s="7">
        <v>56.02</v>
      </c>
      <c r="E11" s="7">
        <v>55.32</v>
      </c>
      <c r="F11" s="7">
        <v>54.71</v>
      </c>
      <c r="G11" s="7">
        <v>59.74</v>
      </c>
      <c r="H11" s="7">
        <v>81.05</v>
      </c>
      <c r="I11" s="7">
        <v>67.819999999999993</v>
      </c>
    </row>
    <row r="12" spans="1:9" x14ac:dyDescent="0.3">
      <c r="A12" s="8" t="s">
        <v>95</v>
      </c>
      <c r="B12" s="8" t="s">
        <v>96</v>
      </c>
      <c r="C12" s="9">
        <v>22</v>
      </c>
      <c r="D12" s="7">
        <v>81.459999999999994</v>
      </c>
      <c r="E12" s="7">
        <v>69.84</v>
      </c>
      <c r="F12" s="7">
        <v>58.19</v>
      </c>
      <c r="G12" s="7">
        <v>71.739999999999995</v>
      </c>
      <c r="H12" s="7">
        <v>86.83</v>
      </c>
      <c r="I12" s="7">
        <v>72.95</v>
      </c>
    </row>
    <row r="13" spans="1:9" x14ac:dyDescent="0.3">
      <c r="A13" t="s">
        <v>97</v>
      </c>
      <c r="D13" s="7"/>
      <c r="E13" s="7"/>
      <c r="F13" s="7"/>
      <c r="G13" s="7"/>
      <c r="H13" s="7"/>
      <c r="I13" s="7"/>
    </row>
    <row r="14" spans="1:9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9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9" x14ac:dyDescent="0.3">
      <c r="A16" t="s">
        <v>102</v>
      </c>
      <c r="D16" s="7"/>
      <c r="E16" s="7"/>
      <c r="F16" s="7"/>
      <c r="G16" s="7"/>
      <c r="H16" s="7"/>
      <c r="I16" s="7"/>
    </row>
    <row r="17" spans="1:9" x14ac:dyDescent="0.3">
      <c r="A17" t="s">
        <v>103</v>
      </c>
      <c r="B17" t="s">
        <v>104</v>
      </c>
      <c r="D17" s="7">
        <v>0.8</v>
      </c>
      <c r="E17" s="7">
        <v>0.75</v>
      </c>
      <c r="F17" s="7">
        <v>0.76</v>
      </c>
      <c r="G17" s="7">
        <v>0.74</v>
      </c>
      <c r="H17" s="7">
        <v>0.66</v>
      </c>
      <c r="I17" s="7">
        <v>0.65</v>
      </c>
    </row>
    <row r="18" spans="1:9" x14ac:dyDescent="0.3">
      <c r="A18" t="s">
        <v>105</v>
      </c>
      <c r="B18" t="s">
        <v>106</v>
      </c>
      <c r="D18" s="7">
        <v>1.54</v>
      </c>
      <c r="E18" s="7">
        <v>23.74</v>
      </c>
      <c r="F18" s="7">
        <v>26.09</v>
      </c>
      <c r="G18" s="7">
        <v>26.59</v>
      </c>
      <c r="H18" s="7">
        <v>27.16</v>
      </c>
      <c r="I18" s="7">
        <v>28.19</v>
      </c>
    </row>
    <row r="19" spans="1:9" x14ac:dyDescent="0.3">
      <c r="A19" t="s">
        <v>107</v>
      </c>
      <c r="B19" t="s">
        <v>108</v>
      </c>
      <c r="D19" s="7">
        <v>35</v>
      </c>
      <c r="E19" s="7">
        <v>13.2</v>
      </c>
      <c r="F19" s="7">
        <v>12.56</v>
      </c>
      <c r="G19" s="7">
        <v>13.39</v>
      </c>
      <c r="H19" s="7">
        <v>18.239999999999998</v>
      </c>
      <c r="I19" s="7">
        <v>13.46</v>
      </c>
    </row>
    <row r="20" spans="1:9" x14ac:dyDescent="0.3">
      <c r="A20" t="s">
        <v>109</v>
      </c>
      <c r="B20" t="s">
        <v>110</v>
      </c>
      <c r="D20" s="7">
        <v>17.190000000000001</v>
      </c>
      <c r="E20" s="7">
        <v>17.2</v>
      </c>
      <c r="F20" s="7">
        <v>17.399999999999999</v>
      </c>
      <c r="G20" s="7">
        <v>16.93</v>
      </c>
      <c r="H20" s="7">
        <v>16.100000000000001</v>
      </c>
      <c r="I20" s="7">
        <v>16.489999999999998</v>
      </c>
    </row>
    <row r="21" spans="1:9" x14ac:dyDescent="0.3">
      <c r="A21" t="s">
        <v>111</v>
      </c>
      <c r="D21" s="7"/>
      <c r="E21" s="7"/>
      <c r="F21" s="7"/>
      <c r="G21" s="7"/>
      <c r="H21" s="7"/>
      <c r="I21" s="7"/>
    </row>
    <row r="22" spans="1:9" x14ac:dyDescent="0.3">
      <c r="A22" t="s">
        <v>112</v>
      </c>
      <c r="B22" t="s">
        <v>113</v>
      </c>
      <c r="D22" s="7">
        <v>3.02</v>
      </c>
      <c r="E22" s="7">
        <v>2.98</v>
      </c>
      <c r="F22" s="7">
        <v>2.86</v>
      </c>
      <c r="G22" s="7">
        <v>2.8</v>
      </c>
      <c r="H22" s="7">
        <v>3.02</v>
      </c>
      <c r="I22" s="7">
        <v>3.13</v>
      </c>
    </row>
    <row r="23" spans="1:9" x14ac:dyDescent="0.3">
      <c r="A23" t="s">
        <v>114</v>
      </c>
      <c r="D23" s="7"/>
      <c r="E23" s="7"/>
      <c r="F23" s="7"/>
      <c r="G23" s="7"/>
      <c r="H23" s="7"/>
      <c r="I23" s="7"/>
    </row>
    <row r="24" spans="1:9" x14ac:dyDescent="0.3">
      <c r="A24" t="s">
        <v>115</v>
      </c>
      <c r="B24" t="s">
        <v>116</v>
      </c>
      <c r="D24" s="7">
        <v>0.46</v>
      </c>
      <c r="E24" s="7">
        <v>0.37</v>
      </c>
      <c r="F24" s="7">
        <v>0.37</v>
      </c>
      <c r="G24" s="7">
        <v>0.36</v>
      </c>
      <c r="H24" s="7">
        <v>0.33</v>
      </c>
      <c r="I24" s="7">
        <v>0.3</v>
      </c>
    </row>
    <row r="25" spans="1:9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</row>
    <row r="27" spans="1:9" x14ac:dyDescent="0.3">
      <c r="A27" t="s">
        <v>121</v>
      </c>
      <c r="D27" s="7"/>
      <c r="E27" s="7"/>
      <c r="F27" s="7"/>
      <c r="G27" s="7"/>
      <c r="H27" s="7"/>
      <c r="I27" s="7"/>
    </row>
    <row r="28" spans="1:9" x14ac:dyDescent="0.3">
      <c r="A28" t="s">
        <v>122</v>
      </c>
      <c r="B28" t="s">
        <v>123</v>
      </c>
      <c r="D28" s="7">
        <v>4.91</v>
      </c>
      <c r="E28" s="7">
        <v>3.68</v>
      </c>
      <c r="F28" s="7">
        <v>4.09</v>
      </c>
      <c r="G28" s="7">
        <v>4.3</v>
      </c>
      <c r="H28" s="7">
        <v>4.83</v>
      </c>
      <c r="I28" s="7">
        <v>6.14</v>
      </c>
    </row>
    <row r="29" spans="1:9" x14ac:dyDescent="0.3">
      <c r="A29" t="s">
        <v>124</v>
      </c>
      <c r="B29" t="s">
        <v>125</v>
      </c>
      <c r="D29" s="7">
        <v>1.64</v>
      </c>
      <c r="E29" s="7">
        <v>5.84</v>
      </c>
      <c r="F29" s="7">
        <v>3.77</v>
      </c>
      <c r="G29" s="7">
        <v>4.58</v>
      </c>
      <c r="H29" s="7">
        <v>4.83</v>
      </c>
      <c r="I29" s="7">
        <v>5.96</v>
      </c>
    </row>
    <row r="30" spans="1:9" x14ac:dyDescent="0.3">
      <c r="A30" t="s">
        <v>126</v>
      </c>
      <c r="B30" t="s">
        <v>127</v>
      </c>
      <c r="D30" s="7">
        <v>107.36</v>
      </c>
      <c r="E30" s="7">
        <v>81.430000000000007</v>
      </c>
      <c r="F30" s="7">
        <v>93.61</v>
      </c>
      <c r="G30" s="7">
        <v>98.92</v>
      </c>
      <c r="H30" s="7">
        <v>119.44</v>
      </c>
      <c r="I30" s="7">
        <v>161.34</v>
      </c>
    </row>
    <row r="31" spans="1:9" x14ac:dyDescent="0.3">
      <c r="A31" t="s">
        <v>128</v>
      </c>
      <c r="B31" t="s">
        <v>129</v>
      </c>
      <c r="D31" s="7">
        <v>112</v>
      </c>
      <c r="E31" s="7">
        <v>87.27</v>
      </c>
      <c r="F31" s="7">
        <v>97.38</v>
      </c>
      <c r="G31" s="7">
        <v>103.51</v>
      </c>
      <c r="H31" s="7">
        <v>123.98</v>
      </c>
      <c r="I31" s="7">
        <v>167.3</v>
      </c>
    </row>
    <row r="32" spans="1:9" x14ac:dyDescent="0.3">
      <c r="A32" t="s">
        <v>130</v>
      </c>
      <c r="B32" t="s">
        <v>131</v>
      </c>
      <c r="D32" s="7">
        <v>49.11</v>
      </c>
      <c r="E32" s="7">
        <v>55.35</v>
      </c>
      <c r="F32" s="7">
        <v>12.67</v>
      </c>
      <c r="G32" s="7">
        <v>20.239999999999998</v>
      </c>
      <c r="H32" s="7">
        <v>22.91</v>
      </c>
      <c r="I32" s="7">
        <v>20.23</v>
      </c>
    </row>
    <row r="33" spans="1:9" x14ac:dyDescent="0.3">
      <c r="A33" t="s">
        <v>132</v>
      </c>
      <c r="B33" t="s">
        <v>133</v>
      </c>
      <c r="D33" s="7">
        <v>2.2400000000000002</v>
      </c>
      <c r="E33" s="7">
        <v>0.04</v>
      </c>
      <c r="F33" s="7">
        <v>2.84</v>
      </c>
      <c r="G33" s="7">
        <v>0.99</v>
      </c>
      <c r="H33" s="7">
        <v>0.9</v>
      </c>
      <c r="I33" s="7">
        <v>0.7</v>
      </c>
    </row>
    <row r="34" spans="1:9" x14ac:dyDescent="0.3">
      <c r="A34" t="s">
        <v>134</v>
      </c>
      <c r="B34" t="s">
        <v>135</v>
      </c>
      <c r="D34" s="7">
        <v>0</v>
      </c>
      <c r="E34" s="7">
        <v>0</v>
      </c>
      <c r="F34" s="7">
        <v>0</v>
      </c>
      <c r="G34" s="7">
        <v>0</v>
      </c>
      <c r="H34" s="7">
        <v>13.08</v>
      </c>
      <c r="I34" s="7">
        <v>0</v>
      </c>
    </row>
    <row r="35" spans="1:9" x14ac:dyDescent="0.3">
      <c r="A35" t="s">
        <v>136</v>
      </c>
      <c r="D35" s="7"/>
      <c r="E35" s="7"/>
      <c r="F35" s="7"/>
      <c r="G35" s="7"/>
      <c r="H35" s="7"/>
      <c r="I35" s="7"/>
    </row>
    <row r="36" spans="1:9" x14ac:dyDescent="0.3">
      <c r="A36" t="s">
        <v>137</v>
      </c>
      <c r="B36" t="s">
        <v>138</v>
      </c>
      <c r="D36" s="7">
        <v>42.63</v>
      </c>
      <c r="E36" s="7">
        <v>61.92</v>
      </c>
      <c r="F36" s="7">
        <v>41.25</v>
      </c>
      <c r="G36" s="7">
        <v>39.61</v>
      </c>
      <c r="H36" s="7">
        <v>43.24</v>
      </c>
      <c r="I36" s="7">
        <v>35.04</v>
      </c>
    </row>
    <row r="37" spans="1:9" x14ac:dyDescent="0.3">
      <c r="A37" t="s">
        <v>139</v>
      </c>
      <c r="B37" t="s">
        <v>140</v>
      </c>
      <c r="D37" s="7">
        <v>28.96</v>
      </c>
      <c r="E37" s="7">
        <v>27.79</v>
      </c>
      <c r="F37" s="7">
        <v>31.98</v>
      </c>
      <c r="G37" s="7">
        <v>25.3</v>
      </c>
      <c r="H37" s="7">
        <v>28.25</v>
      </c>
      <c r="I37" s="7">
        <v>28.05</v>
      </c>
    </row>
    <row r="38" spans="1:9" x14ac:dyDescent="0.3">
      <c r="A38" t="s">
        <v>141</v>
      </c>
      <c r="B38" t="s">
        <v>142</v>
      </c>
      <c r="D38" s="7">
        <v>10.19</v>
      </c>
      <c r="E38" s="7">
        <v>99.5</v>
      </c>
      <c r="F38" s="7">
        <v>99.79</v>
      </c>
      <c r="G38" s="7">
        <v>94.58</v>
      </c>
      <c r="H38" s="7">
        <v>79.900000000000006</v>
      </c>
      <c r="I38" s="7">
        <v>100</v>
      </c>
    </row>
    <row r="39" spans="1:9" x14ac:dyDescent="0.3">
      <c r="A39" t="s">
        <v>143</v>
      </c>
      <c r="B39" t="s">
        <v>144</v>
      </c>
      <c r="D39" s="7">
        <v>38.049999999999997</v>
      </c>
      <c r="E39" s="7">
        <v>47.63</v>
      </c>
      <c r="F39" s="7">
        <v>32.270000000000003</v>
      </c>
      <c r="G39" s="7">
        <v>36.54</v>
      </c>
      <c r="H39" s="7">
        <v>74.11</v>
      </c>
      <c r="I39" s="7">
        <v>64.09</v>
      </c>
    </row>
    <row r="40" spans="1:9" x14ac:dyDescent="0.3">
      <c r="A40" t="s">
        <v>145</v>
      </c>
      <c r="B40" t="s">
        <v>146</v>
      </c>
      <c r="D40" s="7">
        <v>58.97</v>
      </c>
      <c r="E40" s="7">
        <v>47.24</v>
      </c>
      <c r="F40" s="7">
        <v>37.14</v>
      </c>
      <c r="G40" s="7">
        <v>39.299999999999997</v>
      </c>
      <c r="H40" s="7">
        <v>31.68</v>
      </c>
      <c r="I40" s="7">
        <v>33.549999999999997</v>
      </c>
    </row>
    <row r="41" spans="1:9" x14ac:dyDescent="0.3">
      <c r="A41" t="s">
        <v>147</v>
      </c>
      <c r="B41" t="s">
        <v>148</v>
      </c>
      <c r="D41" s="7">
        <v>56.65</v>
      </c>
      <c r="E41" s="7">
        <v>81.72</v>
      </c>
      <c r="F41" s="7">
        <v>50.76</v>
      </c>
      <c r="G41" s="7">
        <v>10.51</v>
      </c>
      <c r="H41" s="7">
        <v>92.31</v>
      </c>
      <c r="I41" s="7">
        <v>49.22</v>
      </c>
    </row>
    <row r="42" spans="1:9" x14ac:dyDescent="0.3">
      <c r="A42" t="s">
        <v>149</v>
      </c>
      <c r="D42" s="7"/>
      <c r="E42" s="7"/>
      <c r="F42" s="7"/>
      <c r="G42" s="7"/>
      <c r="H42" s="7"/>
      <c r="I42" s="7"/>
    </row>
    <row r="43" spans="1:9" x14ac:dyDescent="0.3">
      <c r="A43" t="s">
        <v>150</v>
      </c>
      <c r="B43" t="s">
        <v>151</v>
      </c>
      <c r="D43" s="7">
        <v>83.58</v>
      </c>
      <c r="E43" s="7">
        <v>57.6</v>
      </c>
      <c r="F43" s="7">
        <v>83.2</v>
      </c>
      <c r="G43" s="7">
        <v>82.79</v>
      </c>
      <c r="H43" s="7">
        <v>42.02</v>
      </c>
      <c r="I43" s="7">
        <v>75.94</v>
      </c>
    </row>
    <row r="44" spans="1:9" x14ac:dyDescent="0.3">
      <c r="A44" t="s">
        <v>152</v>
      </c>
      <c r="B44" t="s">
        <v>153</v>
      </c>
      <c r="D44" s="7">
        <v>86.57</v>
      </c>
      <c r="E44" s="7">
        <v>61.5</v>
      </c>
      <c r="F44" s="7">
        <v>84.01</v>
      </c>
      <c r="G44" s="7">
        <v>62.34</v>
      </c>
      <c r="H44" s="7">
        <v>69.010000000000005</v>
      </c>
      <c r="I44" s="7">
        <v>77.739999999999995</v>
      </c>
    </row>
    <row r="45" spans="1:9" x14ac:dyDescent="0.3">
      <c r="A45" t="s">
        <v>154</v>
      </c>
      <c r="B45" t="s">
        <v>155</v>
      </c>
      <c r="D45" s="7">
        <v>85.85</v>
      </c>
      <c r="E45" s="7">
        <v>74.459999999999994</v>
      </c>
      <c r="F45" s="7">
        <v>86.16</v>
      </c>
      <c r="G45" s="7">
        <v>86.88</v>
      </c>
      <c r="H45" s="7">
        <v>85.55</v>
      </c>
      <c r="I45" s="7">
        <v>85.61</v>
      </c>
    </row>
    <row r="46" spans="1:9" x14ac:dyDescent="0.3">
      <c r="A46" t="s">
        <v>156</v>
      </c>
      <c r="B46" t="s">
        <v>157</v>
      </c>
      <c r="D46" s="7">
        <v>41.15</v>
      </c>
      <c r="E46" s="7">
        <v>33.71</v>
      </c>
      <c r="F46" s="7">
        <v>56.82</v>
      </c>
      <c r="G46" s="7">
        <v>25.51</v>
      </c>
      <c r="H46" s="7">
        <v>24.93</v>
      </c>
      <c r="I46" s="7">
        <v>17.34</v>
      </c>
    </row>
    <row r="47" spans="1:9" x14ac:dyDescent="0.3">
      <c r="A47" t="s">
        <v>158</v>
      </c>
      <c r="B47" t="s">
        <v>159</v>
      </c>
      <c r="D47" s="7">
        <v>-10.95</v>
      </c>
      <c r="E47" s="7">
        <v>-14.28</v>
      </c>
      <c r="F47" s="7">
        <v>-12.62</v>
      </c>
      <c r="G47" s="7">
        <v>-12.51</v>
      </c>
      <c r="H47" s="7">
        <v>-18.14</v>
      </c>
      <c r="I47" s="7">
        <v>-18.329999999999998</v>
      </c>
    </row>
    <row r="48" spans="1:9" x14ac:dyDescent="0.3">
      <c r="A48" t="s">
        <v>160</v>
      </c>
      <c r="D48" s="7"/>
      <c r="E48" s="7"/>
      <c r="F48" s="7"/>
      <c r="G48" s="7"/>
      <c r="H48" s="7"/>
      <c r="I48" s="7"/>
    </row>
    <row r="49" spans="1:10" x14ac:dyDescent="0.3">
      <c r="A49" t="s">
        <v>161</v>
      </c>
      <c r="B49" t="s">
        <v>162</v>
      </c>
      <c r="D49" s="7">
        <v>2.54</v>
      </c>
      <c r="E49" s="7">
        <v>0</v>
      </c>
      <c r="F49" s="7">
        <v>0</v>
      </c>
      <c r="G49" s="7">
        <v>4.01</v>
      </c>
      <c r="H49" s="7">
        <v>16.62</v>
      </c>
      <c r="I49" s="7">
        <v>0</v>
      </c>
    </row>
    <row r="50" spans="1:10" x14ac:dyDescent="0.3">
      <c r="A50" t="s">
        <v>163</v>
      </c>
      <c r="B50" t="s">
        <v>164</v>
      </c>
      <c r="D50" s="7">
        <v>0.95</v>
      </c>
      <c r="E50" s="7">
        <v>0.46</v>
      </c>
      <c r="F50" s="7">
        <v>3.81</v>
      </c>
      <c r="G50" s="7">
        <v>0.62</v>
      </c>
      <c r="H50" s="7">
        <v>4.3499999999999996</v>
      </c>
      <c r="I50" s="7">
        <v>5.1100000000000003</v>
      </c>
    </row>
    <row r="51" spans="1:10" x14ac:dyDescent="0.3">
      <c r="A51" s="8" t="s">
        <v>165</v>
      </c>
      <c r="B51" s="8" t="s">
        <v>166</v>
      </c>
      <c r="C51" s="9">
        <v>16</v>
      </c>
      <c r="D51" s="7">
        <v>0.84</v>
      </c>
      <c r="E51" s="7">
        <v>0.57999999999999996</v>
      </c>
      <c r="F51" s="7">
        <v>0.61</v>
      </c>
      <c r="G51" s="7">
        <v>0.61</v>
      </c>
      <c r="H51" s="7">
        <v>0.59</v>
      </c>
      <c r="I51" s="7">
        <v>0.59</v>
      </c>
    </row>
    <row r="52" spans="1:10" x14ac:dyDescent="0.3">
      <c r="A52" t="s">
        <v>167</v>
      </c>
      <c r="B52" t="s">
        <v>168</v>
      </c>
      <c r="D52" s="7">
        <v>1354.1287694903524</v>
      </c>
      <c r="E52" s="7">
        <v>1208.1657390445473</v>
      </c>
      <c r="F52" s="7">
        <v>1227.1239465944379</v>
      </c>
      <c r="G52" s="7">
        <v>1085.3185066459919</v>
      </c>
      <c r="H52" s="7">
        <v>495.93837031026959</v>
      </c>
      <c r="I52" s="110">
        <f>Stato_patrimoniale!J22/Popolazione!B3</f>
        <v>178.22081952369339</v>
      </c>
      <c r="J52" s="7">
        <v>158.62</v>
      </c>
    </row>
    <row r="53" spans="1:10" x14ac:dyDescent="0.3">
      <c r="A53" t="s">
        <v>169</v>
      </c>
      <c r="D53" s="7">
        <v>0</v>
      </c>
      <c r="E53" s="7">
        <v>0</v>
      </c>
      <c r="F53" s="7">
        <v>0</v>
      </c>
      <c r="G53" s="7">
        <v>10.500664999804995</v>
      </c>
      <c r="H53" s="7">
        <v>24.997965993627851</v>
      </c>
      <c r="I53" s="7">
        <v>0</v>
      </c>
    </row>
    <row r="54" spans="1:10" x14ac:dyDescent="0.3">
      <c r="A54" t="s">
        <v>170</v>
      </c>
      <c r="B54" t="s">
        <v>171</v>
      </c>
      <c r="D54" s="7">
        <v>0</v>
      </c>
      <c r="E54" s="7">
        <v>0</v>
      </c>
      <c r="F54" s="7">
        <v>0</v>
      </c>
      <c r="G54" s="7">
        <v>10.500664999804995</v>
      </c>
      <c r="H54" s="7">
        <v>24.997965993627851</v>
      </c>
      <c r="I54" s="7">
        <v>0</v>
      </c>
    </row>
    <row r="55" spans="1:10" x14ac:dyDescent="0.3">
      <c r="A55" t="s">
        <v>172</v>
      </c>
      <c r="B55" t="s">
        <v>173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</row>
    <row r="56" spans="1:10" x14ac:dyDescent="0.3">
      <c r="A56" t="s">
        <v>174</v>
      </c>
      <c r="B56" t="s">
        <v>175</v>
      </c>
      <c r="D56" s="7">
        <v>0</v>
      </c>
      <c r="E56" s="7">
        <v>0</v>
      </c>
      <c r="F56" s="7">
        <v>0</v>
      </c>
      <c r="G56" s="7">
        <v>36.23658573552509</v>
      </c>
      <c r="H56" s="7">
        <v>34.087775425061508</v>
      </c>
      <c r="I56" s="7">
        <v>0</v>
      </c>
    </row>
    <row r="57" spans="1:10" x14ac:dyDescent="0.3">
      <c r="A57" t="s">
        <v>176</v>
      </c>
      <c r="B57" t="s">
        <v>177</v>
      </c>
      <c r="D57" s="7">
        <v>0</v>
      </c>
      <c r="E57" s="7">
        <v>0</v>
      </c>
      <c r="F57" s="7">
        <v>0</v>
      </c>
      <c r="G57" s="7">
        <v>53.262749264669921</v>
      </c>
      <c r="H57" s="7">
        <v>40.914258581310648</v>
      </c>
      <c r="I57" s="7">
        <v>0</v>
      </c>
    </row>
    <row r="58" spans="1:10" x14ac:dyDescent="0.3">
      <c r="A58" t="s">
        <v>178</v>
      </c>
      <c r="D58" s="7"/>
      <c r="E58" s="7"/>
      <c r="F58" s="7"/>
      <c r="G58" s="7"/>
      <c r="H58" s="7"/>
      <c r="I58" s="7"/>
    </row>
    <row r="59" spans="1:10" x14ac:dyDescent="0.3">
      <c r="A59" t="s">
        <v>179</v>
      </c>
      <c r="B59" t="s">
        <v>180</v>
      </c>
      <c r="D59" s="7">
        <v>0</v>
      </c>
      <c r="E59" s="7">
        <v>0</v>
      </c>
      <c r="F59" s="7">
        <v>0</v>
      </c>
      <c r="G59" s="7" t="s">
        <v>369</v>
      </c>
      <c r="H59" s="7" t="s">
        <v>369</v>
      </c>
      <c r="I59" s="7" t="s">
        <v>369</v>
      </c>
    </row>
    <row r="60" spans="1:10" x14ac:dyDescent="0.3">
      <c r="A60" t="s">
        <v>181</v>
      </c>
      <c r="B60" t="s">
        <v>182</v>
      </c>
      <c r="D60" s="7"/>
      <c r="E60" s="7"/>
      <c r="F60" s="7"/>
      <c r="G60" s="7" t="s">
        <v>369</v>
      </c>
      <c r="H60" s="7" t="s">
        <v>369</v>
      </c>
      <c r="I60" s="7" t="s">
        <v>369</v>
      </c>
    </row>
    <row r="61" spans="1:10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</row>
    <row r="62" spans="1:10" x14ac:dyDescent="0.3">
      <c r="A62" s="8" t="s">
        <v>185</v>
      </c>
      <c r="B62" s="8" t="s">
        <v>186</v>
      </c>
      <c r="C62" s="9">
        <v>1.2</v>
      </c>
      <c r="D62" s="7">
        <v>9.8000000000000007</v>
      </c>
      <c r="E62" s="7">
        <v>6.89</v>
      </c>
      <c r="F62" s="7">
        <v>4.3</v>
      </c>
      <c r="G62" s="7">
        <v>1.83</v>
      </c>
      <c r="H62" s="7">
        <v>0</v>
      </c>
      <c r="I62" s="7">
        <v>0</v>
      </c>
    </row>
    <row r="63" spans="1:10" x14ac:dyDescent="0.3">
      <c r="A63" t="s">
        <v>353</v>
      </c>
      <c r="B63" t="s">
        <v>354</v>
      </c>
      <c r="C63" s="7"/>
      <c r="D63" s="7">
        <v>100</v>
      </c>
      <c r="E63" s="7">
        <v>100</v>
      </c>
      <c r="F63" s="7">
        <v>100</v>
      </c>
      <c r="G63" s="7">
        <v>0</v>
      </c>
      <c r="H63" s="7">
        <v>0</v>
      </c>
      <c r="I63" s="7">
        <v>100</v>
      </c>
    </row>
    <row r="64" spans="1:10" x14ac:dyDescent="0.3">
      <c r="A64" t="s">
        <v>187</v>
      </c>
      <c r="D64" s="7"/>
      <c r="E64" s="7"/>
      <c r="F64" s="7"/>
      <c r="G64" s="7"/>
      <c r="H64" s="7"/>
      <c r="I64" s="7"/>
    </row>
    <row r="65" spans="1:10" x14ac:dyDescent="0.3">
      <c r="A65" s="8" t="s">
        <v>188</v>
      </c>
      <c r="B65" s="8" t="s">
        <v>189</v>
      </c>
      <c r="C65" s="9">
        <v>1</v>
      </c>
      <c r="D65" s="7">
        <v>0</v>
      </c>
      <c r="E65" s="7">
        <v>0</v>
      </c>
      <c r="F65" s="7">
        <v>0</v>
      </c>
      <c r="G65" s="7">
        <v>0</v>
      </c>
      <c r="H65" s="7">
        <v>0.01</v>
      </c>
      <c r="I65" s="7">
        <v>0.03</v>
      </c>
    </row>
    <row r="66" spans="1:10" x14ac:dyDescent="0.3">
      <c r="A66" s="8" t="s">
        <v>190</v>
      </c>
      <c r="B66" s="8" t="s">
        <v>191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1:10" x14ac:dyDescent="0.3">
      <c r="A67" s="8" t="s">
        <v>192</v>
      </c>
      <c r="B67" s="8" t="s">
        <v>193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0.01</v>
      </c>
      <c r="I67" s="7">
        <v>0</v>
      </c>
    </row>
    <row r="68" spans="1:10" x14ac:dyDescent="0.3">
      <c r="A68" t="s">
        <v>194</v>
      </c>
      <c r="D68" s="7"/>
      <c r="E68" s="7"/>
      <c r="F68" s="7"/>
      <c r="G68" s="7"/>
      <c r="H68" s="7"/>
      <c r="I68" s="7"/>
    </row>
    <row r="69" spans="1:10" x14ac:dyDescent="0.3">
      <c r="A69" t="s">
        <v>195</v>
      </c>
      <c r="B69" t="s">
        <v>196</v>
      </c>
      <c r="D69" s="7">
        <v>37.1</v>
      </c>
      <c r="E69" s="7">
        <v>28.22</v>
      </c>
      <c r="F69" s="30">
        <v>27.07</v>
      </c>
      <c r="G69" s="30">
        <v>28.38</v>
      </c>
      <c r="H69" s="30">
        <v>32.82</v>
      </c>
      <c r="I69" s="30">
        <v>39.75</v>
      </c>
    </row>
    <row r="70" spans="1:10" x14ac:dyDescent="0.3">
      <c r="A70" t="s">
        <v>197</v>
      </c>
      <c r="D70" s="7"/>
      <c r="E70" s="7"/>
      <c r="F70" s="7"/>
      <c r="G70" s="7"/>
      <c r="H70" s="7"/>
      <c r="I70" s="7"/>
    </row>
    <row r="71" spans="1:10" x14ac:dyDescent="0.3">
      <c r="A71" t="s">
        <v>198</v>
      </c>
      <c r="B71" t="s">
        <v>199</v>
      </c>
      <c r="D71" s="7">
        <v>1.57</v>
      </c>
      <c r="E71" s="30">
        <v>14.85</v>
      </c>
      <c r="F71" s="7">
        <v>11.49</v>
      </c>
      <c r="G71" s="7">
        <v>1.74</v>
      </c>
      <c r="H71" s="7">
        <v>1.24</v>
      </c>
      <c r="I71" s="7">
        <v>1.24</v>
      </c>
    </row>
    <row r="72" spans="1:10" x14ac:dyDescent="0.3">
      <c r="A72" t="s">
        <v>200</v>
      </c>
      <c r="B72" t="s">
        <v>201</v>
      </c>
      <c r="D72" s="7">
        <v>1.62</v>
      </c>
      <c r="E72" s="30">
        <v>15.35</v>
      </c>
      <c r="F72" s="7">
        <v>11.84</v>
      </c>
      <c r="G72" s="7">
        <v>1.81</v>
      </c>
      <c r="H72" s="7">
        <v>1.28</v>
      </c>
      <c r="I72" s="7">
        <v>1.27</v>
      </c>
    </row>
    <row r="73" spans="1:10" x14ac:dyDescent="0.3">
      <c r="A73" t="s">
        <v>304</v>
      </c>
      <c r="D73" s="7"/>
      <c r="E73" s="7"/>
      <c r="F73" s="7"/>
      <c r="G73" s="7"/>
      <c r="H73" s="7"/>
      <c r="I73" s="7"/>
    </row>
    <row r="74" spans="1:10" x14ac:dyDescent="0.3">
      <c r="B74" t="s">
        <v>202</v>
      </c>
      <c r="D74" s="7">
        <v>61.08</v>
      </c>
      <c r="E74" s="7">
        <v>68.73</v>
      </c>
      <c r="F74" s="7">
        <v>69.41</v>
      </c>
      <c r="G74" s="7">
        <v>76.680000000000007</v>
      </c>
      <c r="H74" s="7">
        <v>90.08</v>
      </c>
      <c r="I74" s="7">
        <v>87.66</v>
      </c>
    </row>
    <row r="75" spans="1:10" x14ac:dyDescent="0.3">
      <c r="B75" t="s">
        <v>203</v>
      </c>
      <c r="D75" s="7">
        <v>77.760000000000005</v>
      </c>
      <c r="E75" s="7">
        <v>77.05</v>
      </c>
      <c r="F75" s="7">
        <v>85.83</v>
      </c>
      <c r="G75" s="7">
        <v>87.23</v>
      </c>
      <c r="H75" s="7">
        <v>89.37</v>
      </c>
      <c r="I75" s="7">
        <v>88.87</v>
      </c>
    </row>
    <row r="76" spans="1:10" x14ac:dyDescent="0.3">
      <c r="B76" t="s">
        <v>204</v>
      </c>
      <c r="D76" s="7">
        <v>23.65</v>
      </c>
      <c r="E76" s="7">
        <v>52.93</v>
      </c>
      <c r="F76" s="7">
        <v>35.68</v>
      </c>
      <c r="G76" s="7">
        <v>53.02</v>
      </c>
      <c r="H76" s="7">
        <v>92.25</v>
      </c>
      <c r="I76" s="7">
        <v>78.209999999999994</v>
      </c>
    </row>
    <row r="77" spans="1:10" x14ac:dyDescent="0.3">
      <c r="A77" s="8" t="s">
        <v>37</v>
      </c>
      <c r="B77" s="8"/>
      <c r="C77" s="9">
        <v>47</v>
      </c>
      <c r="D77" s="7">
        <v>64.444580496681553</v>
      </c>
      <c r="E77" s="7">
        <v>61.655881412616431</v>
      </c>
      <c r="F77" s="30">
        <v>69.05239581489036</v>
      </c>
      <c r="G77" s="30">
        <v>71.713148312169466</v>
      </c>
      <c r="H77" s="30">
        <v>84.375517411034849</v>
      </c>
      <c r="I77" s="30">
        <v>81.48</v>
      </c>
    </row>
    <row r="78" spans="1:10" x14ac:dyDescent="0.3">
      <c r="A78" s="31" t="s">
        <v>334</v>
      </c>
      <c r="B78" s="31"/>
      <c r="C78" s="63"/>
      <c r="D78" s="30">
        <v>59.58188773056284</v>
      </c>
      <c r="E78" s="30">
        <v>62.868168364394606</v>
      </c>
      <c r="F78" s="30">
        <v>64.743646046522557</v>
      </c>
      <c r="G78" s="30">
        <v>69.786282757770508</v>
      </c>
      <c r="H78" s="30">
        <v>84.047188388322084</v>
      </c>
      <c r="I78" s="30"/>
    </row>
    <row r="79" spans="1:10" x14ac:dyDescent="0.3">
      <c r="A79" t="s">
        <v>267</v>
      </c>
      <c r="D79" s="7"/>
      <c r="E79" s="7"/>
      <c r="F79" s="7"/>
      <c r="G79" s="7"/>
      <c r="H79" s="7"/>
      <c r="I79" s="7"/>
    </row>
    <row r="80" spans="1:10" x14ac:dyDescent="0.3">
      <c r="A80">
        <v>4</v>
      </c>
      <c r="B80" t="s">
        <v>205</v>
      </c>
      <c r="D80" s="7">
        <v>1.65266106442577</v>
      </c>
      <c r="E80" s="7">
        <v>1.4154758695066054</v>
      </c>
      <c r="F80" s="30">
        <v>1.5625</v>
      </c>
      <c r="G80" s="30">
        <v>1.6358962374386536</v>
      </c>
      <c r="H80" s="30">
        <v>1.4955489614243322</v>
      </c>
      <c r="I80" s="30">
        <f>J80/(100-J$85)*100</f>
        <v>1.6421099988752672</v>
      </c>
      <c r="J80" s="30">
        <v>1.46</v>
      </c>
    </row>
    <row r="81" spans="1:10" x14ac:dyDescent="0.3">
      <c r="A81">
        <v>9</v>
      </c>
      <c r="B81" t="s">
        <v>346</v>
      </c>
      <c r="D81" s="7">
        <v>1.3865546218487395</v>
      </c>
      <c r="E81" s="7">
        <v>1.2806686438393096</v>
      </c>
      <c r="F81" s="30">
        <v>1.1532738095238095</v>
      </c>
      <c r="G81" s="30">
        <v>1.0633325543351251</v>
      </c>
      <c r="H81" s="30">
        <v>0.96142433234421376</v>
      </c>
      <c r="I81" s="30">
        <f t="shared" ref="I81:I84" si="0">J81/(100-J$85)*100</f>
        <v>1.4171634236868744</v>
      </c>
      <c r="J81" s="30">
        <v>1.26</v>
      </c>
    </row>
    <row r="82" spans="1:10" x14ac:dyDescent="0.3">
      <c r="A82">
        <v>10</v>
      </c>
      <c r="B82" t="s">
        <v>206</v>
      </c>
      <c r="D82" s="7">
        <v>9.1316526610644235</v>
      </c>
      <c r="E82" s="7">
        <v>7.9131841466702619</v>
      </c>
      <c r="F82" s="30">
        <v>8.1101190476190474</v>
      </c>
      <c r="G82" s="30">
        <v>8.0743164290722138</v>
      </c>
      <c r="H82" s="30">
        <v>8.3442136498516319</v>
      </c>
      <c r="I82" s="30">
        <f t="shared" si="0"/>
        <v>8.8066584186255756</v>
      </c>
      <c r="J82" s="30">
        <v>7.83</v>
      </c>
    </row>
    <row r="83" spans="1:10" x14ac:dyDescent="0.3">
      <c r="A83">
        <v>12</v>
      </c>
      <c r="B83" t="s">
        <v>207</v>
      </c>
      <c r="D83" s="7">
        <v>1.0784313725490196</v>
      </c>
      <c r="E83" s="7">
        <v>0.88972768940415203</v>
      </c>
      <c r="F83" s="30">
        <v>1.4384920634920635</v>
      </c>
      <c r="G83" s="30">
        <v>1.6008413180649685</v>
      </c>
      <c r="H83" s="30">
        <v>1.7448071216617209</v>
      </c>
      <c r="I83" s="30">
        <f t="shared" si="0"/>
        <v>1.7770779439883029</v>
      </c>
      <c r="J83" s="30">
        <v>1.58</v>
      </c>
    </row>
    <row r="84" spans="1:10" x14ac:dyDescent="0.3">
      <c r="A84">
        <v>13</v>
      </c>
      <c r="B84" t="s">
        <v>355</v>
      </c>
      <c r="D84" s="7">
        <v>77.689075630252091</v>
      </c>
      <c r="E84" s="7">
        <v>81.005661903478028</v>
      </c>
      <c r="F84" s="30">
        <v>79.27827380952381</v>
      </c>
      <c r="G84" s="30">
        <v>78.931993456415057</v>
      </c>
      <c r="H84" s="30">
        <v>79.252225519287833</v>
      </c>
      <c r="I84" s="30">
        <f t="shared" si="0"/>
        <v>76.436846249015858</v>
      </c>
      <c r="J84" s="30">
        <v>67.959999999999994</v>
      </c>
    </row>
    <row r="85" spans="1:10" x14ac:dyDescent="0.3">
      <c r="A85" t="s">
        <v>208</v>
      </c>
      <c r="D85" s="7"/>
      <c r="E85" s="7"/>
      <c r="F85" s="7"/>
      <c r="G85" s="7"/>
      <c r="H85" s="7"/>
      <c r="I85" s="7"/>
      <c r="J85" s="30">
        <v>11.09</v>
      </c>
    </row>
    <row r="86" spans="1:10" x14ac:dyDescent="0.3">
      <c r="A86">
        <v>4</v>
      </c>
      <c r="B86" t="s">
        <v>205</v>
      </c>
      <c r="D86" s="7">
        <v>98.68</v>
      </c>
      <c r="E86" s="7">
        <v>93.45</v>
      </c>
      <c r="F86" s="7">
        <v>97.01</v>
      </c>
      <c r="G86" s="7">
        <v>92.14</v>
      </c>
      <c r="H86" s="7">
        <v>92.52</v>
      </c>
      <c r="I86" s="7">
        <v>86.32</v>
      </c>
    </row>
    <row r="87" spans="1:10" x14ac:dyDescent="0.3">
      <c r="A87">
        <v>9</v>
      </c>
      <c r="B87" t="s">
        <v>346</v>
      </c>
      <c r="D87" s="7">
        <v>95.76</v>
      </c>
      <c r="E87" s="7">
        <v>88.41</v>
      </c>
      <c r="F87" s="7">
        <v>89.76</v>
      </c>
      <c r="G87" s="7">
        <v>86.2</v>
      </c>
      <c r="H87" s="7">
        <v>86.11</v>
      </c>
      <c r="I87" s="7">
        <v>87.55</v>
      </c>
    </row>
    <row r="88" spans="1:10" x14ac:dyDescent="0.3">
      <c r="A88">
        <v>10</v>
      </c>
      <c r="B88" t="s">
        <v>206</v>
      </c>
      <c r="D88" s="7">
        <v>93.5</v>
      </c>
      <c r="E88" s="7">
        <v>92.25</v>
      </c>
      <c r="F88" s="7">
        <v>91.76</v>
      </c>
      <c r="G88" s="7">
        <v>91.29</v>
      </c>
      <c r="H88" s="7">
        <v>94.26</v>
      </c>
      <c r="I88" s="7">
        <v>84.76</v>
      </c>
    </row>
    <row r="89" spans="1:10" x14ac:dyDescent="0.3">
      <c r="A89">
        <v>12</v>
      </c>
      <c r="B89" t="s">
        <v>207</v>
      </c>
      <c r="D89" s="7">
        <v>98.15</v>
      </c>
      <c r="E89" s="7">
        <v>83.11</v>
      </c>
      <c r="F89" s="7">
        <v>89.07</v>
      </c>
      <c r="G89" s="7">
        <v>83.24</v>
      </c>
      <c r="H89" s="7">
        <v>89.36</v>
      </c>
      <c r="I89" s="7">
        <v>87.91</v>
      </c>
    </row>
    <row r="90" spans="1:10" x14ac:dyDescent="0.3">
      <c r="A90">
        <v>13</v>
      </c>
      <c r="B90" t="s">
        <v>355</v>
      </c>
      <c r="D90" s="7">
        <v>72.44</v>
      </c>
      <c r="E90" s="7">
        <v>59.71</v>
      </c>
      <c r="F90" s="7">
        <v>73.8</v>
      </c>
      <c r="G90" s="7">
        <v>71.12</v>
      </c>
      <c r="H90" s="7">
        <v>66.040000000000006</v>
      </c>
      <c r="I90" s="7">
        <v>65.06</v>
      </c>
    </row>
    <row r="91" spans="1:10" x14ac:dyDescent="0.3">
      <c r="B91" s="68" t="s">
        <v>359</v>
      </c>
      <c r="D91" s="7"/>
      <c r="E91" s="7"/>
      <c r="F91" s="7"/>
      <c r="G91" s="7"/>
      <c r="H91" s="7"/>
      <c r="I91" s="7"/>
    </row>
    <row r="92" spans="1:10" x14ac:dyDescent="0.3">
      <c r="B92" t="s">
        <v>110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  <c r="I92" s="7"/>
    </row>
    <row r="93" spans="1:10" x14ac:dyDescent="0.3">
      <c r="B93" t="s">
        <v>129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>
        <v>263.17</v>
      </c>
      <c r="I93" s="7"/>
    </row>
    <row r="94" spans="1:10" x14ac:dyDescent="0.3">
      <c r="B94" t="s">
        <v>159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  <c r="I94" s="7"/>
    </row>
    <row r="95" spans="1:10" x14ac:dyDescent="0.3">
      <c r="B95" t="s">
        <v>168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>
        <v>1283.5700238509917</v>
      </c>
      <c r="I95" s="7"/>
    </row>
    <row r="96" spans="1:10" x14ac:dyDescent="0.3">
      <c r="D96" s="7"/>
      <c r="E96" s="7"/>
      <c r="F96" s="7"/>
      <c r="G96" s="7"/>
      <c r="H96" s="7"/>
      <c r="I96" s="7"/>
    </row>
    <row r="97" spans="2:9" x14ac:dyDescent="0.3">
      <c r="B97" s="39" t="s">
        <v>302</v>
      </c>
      <c r="D97" s="7"/>
      <c r="E97" s="7"/>
      <c r="F97" s="7"/>
      <c r="G97" s="7"/>
      <c r="H97" s="7"/>
      <c r="I97" s="7"/>
    </row>
    <row r="98" spans="2:9" x14ac:dyDescent="0.3">
      <c r="D98" s="7"/>
      <c r="E98" s="7"/>
      <c r="F98" s="7"/>
      <c r="G98" s="7"/>
      <c r="H98" s="7"/>
      <c r="I98" s="7"/>
    </row>
    <row r="99" spans="2:9" x14ac:dyDescent="0.3">
      <c r="D99" s="7"/>
      <c r="E99" s="7"/>
      <c r="F99" s="7"/>
      <c r="G99" s="7"/>
      <c r="H99" s="7"/>
      <c r="I99" s="7"/>
    </row>
    <row r="100" spans="2:9" x14ac:dyDescent="0.3">
      <c r="D100" s="7"/>
      <c r="E100" s="7"/>
      <c r="F100" s="7"/>
      <c r="G100" s="7"/>
      <c r="H100" s="7"/>
      <c r="I100" s="7"/>
    </row>
    <row r="101" spans="2:9" x14ac:dyDescent="0.3">
      <c r="D101" s="7"/>
      <c r="E101" s="7"/>
      <c r="F101" s="7"/>
      <c r="G101" s="7"/>
      <c r="H101" s="7"/>
      <c r="I101" s="7"/>
    </row>
    <row r="102" spans="2:9" x14ac:dyDescent="0.3">
      <c r="D102" s="7"/>
      <c r="E102" s="7"/>
      <c r="F102" s="7"/>
      <c r="G102" s="7"/>
      <c r="H102" s="7"/>
      <c r="I102" s="7"/>
    </row>
    <row r="103" spans="2:9" x14ac:dyDescent="0.3">
      <c r="D103" s="7"/>
      <c r="E103" s="7"/>
      <c r="F103" s="7"/>
      <c r="G103" s="7"/>
      <c r="H103" s="7"/>
      <c r="I103" s="7"/>
    </row>
    <row r="104" spans="2:9" x14ac:dyDescent="0.3">
      <c r="D104" s="7"/>
      <c r="E104" s="7"/>
      <c r="F104" s="7"/>
      <c r="G104" s="7"/>
      <c r="H104" s="7"/>
      <c r="I104" s="7"/>
    </row>
    <row r="105" spans="2:9" x14ac:dyDescent="0.3">
      <c r="D105" s="7"/>
      <c r="E105" s="7"/>
      <c r="F105" s="7"/>
      <c r="G105" s="7"/>
      <c r="H105" s="7"/>
      <c r="I105" s="7"/>
    </row>
    <row r="106" spans="2:9" x14ac:dyDescent="0.3">
      <c r="D106" s="7"/>
      <c r="E106" s="7"/>
      <c r="F106" s="7"/>
      <c r="G106" s="7"/>
      <c r="H106" s="7"/>
      <c r="I106" s="7"/>
    </row>
    <row r="107" spans="2:9" x14ac:dyDescent="0.3">
      <c r="D107" s="7"/>
      <c r="E107" s="7"/>
      <c r="F107" s="7"/>
      <c r="G107" s="7"/>
      <c r="H107" s="7"/>
      <c r="I107" s="7"/>
    </row>
    <row r="108" spans="2:9" x14ac:dyDescent="0.3">
      <c r="D108" s="7"/>
      <c r="E108" s="7"/>
      <c r="F108" s="7"/>
      <c r="G108" s="7"/>
      <c r="H108" s="7"/>
      <c r="I108" s="7"/>
    </row>
    <row r="109" spans="2:9" x14ac:dyDescent="0.3">
      <c r="D109" s="7"/>
      <c r="E109" s="7"/>
      <c r="F109" s="7"/>
      <c r="G109" s="7"/>
      <c r="H109" s="7"/>
      <c r="I109" s="7"/>
    </row>
    <row r="110" spans="2:9" x14ac:dyDescent="0.3">
      <c r="D110" s="7"/>
      <c r="E110" s="7"/>
      <c r="F110" s="7"/>
      <c r="G110" s="7"/>
      <c r="H110" s="7"/>
      <c r="I110" s="7"/>
    </row>
    <row r="111" spans="2:9" x14ac:dyDescent="0.3">
      <c r="D111" s="7"/>
      <c r="E111" s="7"/>
      <c r="F111" s="7"/>
      <c r="G111" s="7"/>
      <c r="H111" s="7"/>
      <c r="I111" s="7"/>
    </row>
    <row r="112" spans="2:9" x14ac:dyDescent="0.3">
      <c r="D112" s="7"/>
      <c r="E112" s="7"/>
      <c r="F112" s="7"/>
      <c r="G112" s="7"/>
      <c r="H112" s="7"/>
      <c r="I112" s="7"/>
    </row>
    <row r="113" spans="2:9" x14ac:dyDescent="0.3">
      <c r="D113" s="7"/>
      <c r="E113" s="7"/>
      <c r="F113" s="7"/>
      <c r="G113" s="7"/>
      <c r="H113" s="7"/>
      <c r="I113" s="7"/>
    </row>
    <row r="114" spans="2:9" x14ac:dyDescent="0.3">
      <c r="D114" s="7"/>
      <c r="E114" s="7"/>
      <c r="F114" s="7"/>
      <c r="G114" s="7"/>
      <c r="H114" s="7"/>
      <c r="I114" s="7"/>
    </row>
    <row r="115" spans="2:9" x14ac:dyDescent="0.3">
      <c r="D115" s="7"/>
      <c r="E115" s="7"/>
      <c r="F115" s="7"/>
      <c r="G115" s="7"/>
      <c r="H115" s="7"/>
      <c r="I115" s="7"/>
    </row>
    <row r="116" spans="2:9" x14ac:dyDescent="0.3">
      <c r="D116" s="7"/>
      <c r="E116" s="7"/>
      <c r="F116" s="7"/>
      <c r="G116" s="7"/>
      <c r="H116" s="7"/>
      <c r="I116" s="7"/>
    </row>
    <row r="117" spans="2:9" x14ac:dyDescent="0.3">
      <c r="D117" s="7"/>
      <c r="E117" s="7"/>
      <c r="F117" s="7"/>
      <c r="G117" s="7"/>
      <c r="H117" s="7"/>
      <c r="I117" s="7"/>
    </row>
    <row r="118" spans="2:9" x14ac:dyDescent="0.3">
      <c r="B118" s="39" t="s">
        <v>303</v>
      </c>
      <c r="D118" s="7"/>
      <c r="E118" s="7"/>
      <c r="F118" s="7"/>
      <c r="G118" s="7"/>
      <c r="H118" s="7"/>
      <c r="I118" s="7"/>
    </row>
    <row r="119" spans="2:9" x14ac:dyDescent="0.3">
      <c r="D119" s="7"/>
      <c r="E119" s="7"/>
      <c r="F119" s="7"/>
      <c r="G119" s="7"/>
      <c r="H119" s="7"/>
      <c r="I119" s="7"/>
    </row>
    <row r="120" spans="2:9" x14ac:dyDescent="0.3">
      <c r="D120" s="7"/>
      <c r="E120" s="7"/>
      <c r="F120" s="7"/>
      <c r="G120" s="7"/>
      <c r="H120" s="7"/>
      <c r="I120" s="7"/>
    </row>
    <row r="121" spans="2:9" x14ac:dyDescent="0.3">
      <c r="D121" s="7"/>
      <c r="E121" s="7"/>
      <c r="F121" s="7"/>
      <c r="G121" s="7"/>
      <c r="H121" s="7"/>
      <c r="I121" s="7"/>
    </row>
    <row r="122" spans="2:9" x14ac:dyDescent="0.3">
      <c r="D122" s="7"/>
      <c r="E122" s="7"/>
      <c r="F122" s="7"/>
      <c r="G122" s="7"/>
      <c r="H122" s="7"/>
      <c r="I122" s="7"/>
    </row>
    <row r="123" spans="2:9" x14ac:dyDescent="0.3">
      <c r="D123" s="7"/>
      <c r="E123" s="7"/>
      <c r="F123" s="7"/>
      <c r="G123" s="7"/>
      <c r="H123" s="7"/>
      <c r="I123" s="7"/>
    </row>
    <row r="124" spans="2:9" x14ac:dyDescent="0.3">
      <c r="D124" s="7"/>
      <c r="E124" s="7"/>
      <c r="F124" s="7"/>
      <c r="G124" s="7"/>
      <c r="H124" s="7"/>
      <c r="I124" s="7"/>
    </row>
    <row r="125" spans="2:9" x14ac:dyDescent="0.3">
      <c r="D125" s="7"/>
      <c r="E125" s="7"/>
      <c r="F125" s="7"/>
      <c r="G125" s="7"/>
      <c r="H125" s="7"/>
      <c r="I125" s="7"/>
    </row>
    <row r="126" spans="2:9" x14ac:dyDescent="0.3">
      <c r="D126" s="7"/>
      <c r="E126" s="7"/>
      <c r="F126" s="7"/>
      <c r="G126" s="7"/>
      <c r="H126" s="7"/>
      <c r="I126" s="7"/>
    </row>
    <row r="127" spans="2:9" x14ac:dyDescent="0.3">
      <c r="D127" s="7"/>
      <c r="E127" s="7"/>
      <c r="F127" s="7"/>
      <c r="G127" s="7"/>
      <c r="H127" s="7"/>
      <c r="I127" s="7"/>
    </row>
    <row r="128" spans="2:9" x14ac:dyDescent="0.3">
      <c r="D128" s="7"/>
      <c r="E128" s="7"/>
      <c r="F128" s="7"/>
      <c r="G128" s="7"/>
      <c r="H128" s="7"/>
      <c r="I128" s="7"/>
    </row>
    <row r="129" spans="2:9" x14ac:dyDescent="0.3">
      <c r="D129" s="7"/>
      <c r="E129" s="7"/>
      <c r="F129" s="7"/>
      <c r="G129" s="7"/>
      <c r="H129" s="7"/>
      <c r="I129" s="7"/>
    </row>
    <row r="130" spans="2:9" x14ac:dyDescent="0.3">
      <c r="D130" s="7"/>
      <c r="E130" s="7"/>
      <c r="F130" s="7"/>
      <c r="G130" s="7"/>
      <c r="H130" s="7"/>
      <c r="I130" s="7"/>
    </row>
    <row r="131" spans="2:9" x14ac:dyDescent="0.3">
      <c r="D131" s="7"/>
      <c r="E131" s="7"/>
      <c r="F131" s="7"/>
      <c r="G131" s="7"/>
      <c r="H131" s="7"/>
      <c r="I131" s="7"/>
    </row>
    <row r="132" spans="2:9" x14ac:dyDescent="0.3">
      <c r="D132" s="7"/>
      <c r="E132" s="7"/>
      <c r="F132" s="7"/>
      <c r="G132" s="7"/>
      <c r="H132" s="7"/>
      <c r="I132" s="7"/>
    </row>
    <row r="133" spans="2:9" x14ac:dyDescent="0.3">
      <c r="D133" s="7"/>
      <c r="E133" s="7"/>
      <c r="F133" s="7"/>
      <c r="G133" s="7"/>
      <c r="H133" s="7"/>
      <c r="I133" s="7"/>
    </row>
    <row r="134" spans="2:9" x14ac:dyDescent="0.3">
      <c r="D134" s="7"/>
      <c r="E134" s="7"/>
      <c r="F134" s="7"/>
      <c r="G134" s="7"/>
      <c r="H134" s="7"/>
      <c r="I134" s="7"/>
    </row>
    <row r="135" spans="2:9" x14ac:dyDescent="0.3">
      <c r="D135" s="7"/>
      <c r="E135" s="7"/>
      <c r="F135" s="7"/>
      <c r="G135" s="7"/>
      <c r="H135" s="7"/>
      <c r="I135" s="7"/>
    </row>
    <row r="136" spans="2:9" x14ac:dyDescent="0.3">
      <c r="D136" s="7"/>
      <c r="E136" s="7"/>
      <c r="F136" s="7"/>
      <c r="G136" s="7"/>
      <c r="H136" s="7"/>
      <c r="I136" s="7"/>
    </row>
    <row r="137" spans="2:9" x14ac:dyDescent="0.3">
      <c r="D137" s="7"/>
      <c r="E137" s="7"/>
      <c r="F137" s="7"/>
      <c r="G137" s="7"/>
      <c r="H137" s="7"/>
      <c r="I137" s="7"/>
    </row>
    <row r="138" spans="2:9" x14ac:dyDescent="0.3">
      <c r="D138" s="7"/>
      <c r="E138" s="7"/>
      <c r="F138" s="7"/>
      <c r="G138" s="7"/>
      <c r="H138" s="7"/>
      <c r="I138" s="7"/>
    </row>
    <row r="139" spans="2:9" x14ac:dyDescent="0.3">
      <c r="B139" s="39" t="s">
        <v>159</v>
      </c>
      <c r="D139" s="7"/>
      <c r="E139" s="7"/>
      <c r="F139" s="7"/>
      <c r="G139" s="7"/>
      <c r="H139" s="7"/>
      <c r="I139" s="7"/>
    </row>
    <row r="140" spans="2:9" x14ac:dyDescent="0.3">
      <c r="D140" s="7"/>
      <c r="E140" s="7"/>
      <c r="F140" s="7"/>
      <c r="G140" s="7"/>
      <c r="H140" s="7"/>
      <c r="I140" s="7"/>
    </row>
    <row r="141" spans="2:9" x14ac:dyDescent="0.3">
      <c r="D141" s="7"/>
      <c r="E141" s="7"/>
      <c r="F141" s="7"/>
      <c r="G141" s="7"/>
      <c r="H141" s="7"/>
      <c r="I141" s="7"/>
    </row>
    <row r="142" spans="2:9" x14ac:dyDescent="0.3">
      <c r="D142" s="7"/>
      <c r="E142" s="7"/>
      <c r="F142" s="7"/>
      <c r="G142" s="7"/>
      <c r="H142" s="7"/>
      <c r="I142" s="7"/>
    </row>
    <row r="143" spans="2:9" x14ac:dyDescent="0.3">
      <c r="D143" s="7"/>
      <c r="E143" s="7"/>
      <c r="F143" s="7"/>
      <c r="G143" s="7"/>
      <c r="H143" s="7"/>
      <c r="I143" s="7"/>
    </row>
    <row r="144" spans="2:9" x14ac:dyDescent="0.3">
      <c r="D144" s="7"/>
      <c r="E144" s="7"/>
      <c r="F144" s="7"/>
      <c r="G144" s="7"/>
      <c r="H144" s="7"/>
      <c r="I144" s="7"/>
    </row>
    <row r="145" spans="2:9" x14ac:dyDescent="0.3">
      <c r="D145" s="7"/>
      <c r="E145" s="7"/>
      <c r="F145" s="7"/>
      <c r="G145" s="7"/>
      <c r="H145" s="7"/>
      <c r="I145" s="7"/>
    </row>
    <row r="146" spans="2:9" x14ac:dyDescent="0.3">
      <c r="D146" s="7"/>
      <c r="E146" s="7"/>
      <c r="F146" s="7"/>
      <c r="G146" s="7"/>
      <c r="H146" s="7"/>
      <c r="I146" s="7"/>
    </row>
    <row r="147" spans="2:9" x14ac:dyDescent="0.3">
      <c r="D147" s="7"/>
      <c r="E147" s="7"/>
      <c r="F147" s="7"/>
      <c r="G147" s="7"/>
      <c r="H147" s="7"/>
      <c r="I147" s="7"/>
    </row>
    <row r="148" spans="2:9" x14ac:dyDescent="0.3">
      <c r="D148" s="7"/>
      <c r="E148" s="7"/>
      <c r="F148" s="7"/>
      <c r="G148" s="7"/>
      <c r="H148" s="7"/>
      <c r="I148" s="7"/>
    </row>
    <row r="149" spans="2:9" x14ac:dyDescent="0.3">
      <c r="D149" s="7"/>
      <c r="E149" s="7"/>
      <c r="F149" s="7"/>
      <c r="G149" s="7"/>
      <c r="H149" s="7"/>
      <c r="I149" s="7"/>
    </row>
    <row r="150" spans="2:9" x14ac:dyDescent="0.3">
      <c r="D150" s="7"/>
      <c r="E150" s="7"/>
      <c r="F150" s="7"/>
      <c r="G150" s="7"/>
      <c r="H150" s="7"/>
      <c r="I150" s="7"/>
    </row>
    <row r="151" spans="2:9" x14ac:dyDescent="0.3">
      <c r="D151" s="7"/>
      <c r="E151" s="7"/>
      <c r="F151" s="7"/>
      <c r="G151" s="7"/>
      <c r="H151" s="7"/>
      <c r="I151" s="7"/>
    </row>
    <row r="152" spans="2:9" x14ac:dyDescent="0.3">
      <c r="D152" s="7"/>
      <c r="E152" s="7"/>
      <c r="F152" s="7"/>
      <c r="G152" s="7"/>
      <c r="H152" s="7"/>
      <c r="I152" s="7"/>
    </row>
    <row r="153" spans="2:9" x14ac:dyDescent="0.3">
      <c r="D153" s="7"/>
      <c r="E153" s="7"/>
      <c r="F153" s="7"/>
      <c r="G153" s="7"/>
      <c r="H153" s="7"/>
      <c r="I153" s="7"/>
    </row>
    <row r="154" spans="2:9" x14ac:dyDescent="0.3">
      <c r="D154" s="7"/>
      <c r="E154" s="7"/>
      <c r="F154" s="7"/>
      <c r="G154" s="7"/>
      <c r="H154" s="7"/>
      <c r="I154" s="7"/>
    </row>
    <row r="155" spans="2:9" x14ac:dyDescent="0.3">
      <c r="D155" s="7"/>
      <c r="E155" s="7"/>
      <c r="F155" s="7"/>
      <c r="G155" s="7"/>
      <c r="H155" s="7"/>
      <c r="I155" s="7"/>
    </row>
    <row r="156" spans="2:9" x14ac:dyDescent="0.3">
      <c r="D156" s="7"/>
      <c r="E156" s="7"/>
      <c r="F156" s="7"/>
      <c r="G156" s="7"/>
      <c r="H156" s="7"/>
      <c r="I156" s="7"/>
    </row>
    <row r="157" spans="2:9" x14ac:dyDescent="0.3">
      <c r="D157" s="7"/>
      <c r="E157" s="7"/>
      <c r="F157" s="7"/>
      <c r="G157" s="7"/>
      <c r="H157" s="7"/>
      <c r="I157" s="7"/>
    </row>
    <row r="158" spans="2:9" x14ac:dyDescent="0.3">
      <c r="D158" s="7"/>
      <c r="E158" s="7"/>
      <c r="F158" s="7"/>
      <c r="G158" s="7"/>
      <c r="H158" s="7"/>
      <c r="I158" s="7"/>
    </row>
    <row r="159" spans="2:9" x14ac:dyDescent="0.3">
      <c r="D159" s="7"/>
      <c r="E159" s="7"/>
      <c r="F159" s="7"/>
      <c r="G159" s="7"/>
      <c r="H159" s="7"/>
      <c r="I159" s="7"/>
    </row>
    <row r="160" spans="2:9" x14ac:dyDescent="0.3">
      <c r="B160" s="39" t="s">
        <v>168</v>
      </c>
      <c r="D160" s="7"/>
      <c r="E160" s="7"/>
      <c r="F160" s="7"/>
      <c r="G160" s="7"/>
      <c r="H160" s="7"/>
      <c r="I160" s="7"/>
    </row>
    <row r="161" spans="4:9" x14ac:dyDescent="0.3">
      <c r="D161" s="7"/>
      <c r="E161" s="7"/>
      <c r="F161" s="7"/>
      <c r="G161" s="7"/>
      <c r="H161" s="7"/>
      <c r="I161" s="7"/>
    </row>
    <row r="162" spans="4:9" x14ac:dyDescent="0.3">
      <c r="D162" s="7"/>
      <c r="E162" s="7"/>
      <c r="F162" s="7"/>
      <c r="G162" s="7"/>
      <c r="H162" s="7"/>
      <c r="I162" s="7"/>
    </row>
    <row r="163" spans="4:9" x14ac:dyDescent="0.3">
      <c r="D163" s="7"/>
      <c r="E163" s="7"/>
      <c r="F163" s="7"/>
      <c r="G163" s="7"/>
      <c r="H163" s="7"/>
      <c r="I163" s="7"/>
    </row>
    <row r="164" spans="4:9" x14ac:dyDescent="0.3">
      <c r="D164" s="7"/>
      <c r="E164" s="7"/>
      <c r="F164" s="7"/>
      <c r="G164" s="7"/>
      <c r="H164" s="7"/>
      <c r="I164" s="7"/>
    </row>
    <row r="165" spans="4:9" x14ac:dyDescent="0.3">
      <c r="D165" s="7"/>
      <c r="E165" s="7"/>
      <c r="F165" s="7"/>
      <c r="G165" s="7"/>
      <c r="H165" s="7"/>
      <c r="I165" s="7"/>
    </row>
    <row r="166" spans="4:9" x14ac:dyDescent="0.3">
      <c r="D166" s="7"/>
      <c r="E166" s="7"/>
      <c r="F166" s="7"/>
      <c r="G166" s="7"/>
      <c r="H166" s="7"/>
      <c r="I166" s="7"/>
    </row>
    <row r="167" spans="4:9" x14ac:dyDescent="0.3">
      <c r="D167" s="7"/>
      <c r="E167" s="7"/>
      <c r="F167" s="7"/>
      <c r="G167" s="7"/>
      <c r="H167" s="7"/>
      <c r="I167" s="7"/>
    </row>
    <row r="168" spans="4:9" x14ac:dyDescent="0.3">
      <c r="D168" s="7"/>
      <c r="E168" s="7"/>
      <c r="F168" s="7"/>
      <c r="G168" s="7"/>
      <c r="H168" s="7"/>
      <c r="I168" s="7"/>
    </row>
    <row r="169" spans="4:9" x14ac:dyDescent="0.3">
      <c r="D169" s="7"/>
      <c r="E169" s="7"/>
      <c r="F169" s="7"/>
      <c r="G169" s="7"/>
      <c r="H169" s="7"/>
      <c r="I169" s="7"/>
    </row>
    <row r="170" spans="4:9" x14ac:dyDescent="0.3">
      <c r="D170" s="7"/>
      <c r="E170" s="7"/>
      <c r="F170" s="7"/>
      <c r="G170" s="7"/>
      <c r="H170" s="7"/>
      <c r="I170" s="7"/>
    </row>
    <row r="171" spans="4:9" x14ac:dyDescent="0.3">
      <c r="D171" s="7"/>
      <c r="E171" s="7"/>
      <c r="F171" s="7"/>
      <c r="G171" s="7"/>
      <c r="H171" s="7"/>
      <c r="I171" s="7"/>
    </row>
    <row r="172" spans="4:9" x14ac:dyDescent="0.3">
      <c r="D172" s="7"/>
      <c r="E172" s="7"/>
      <c r="F172" s="7"/>
      <c r="G172" s="7"/>
      <c r="H172" s="7"/>
      <c r="I172" s="7"/>
    </row>
    <row r="173" spans="4:9" x14ac:dyDescent="0.3">
      <c r="D173" s="7"/>
      <c r="E173" s="7"/>
      <c r="F173" s="7"/>
      <c r="G173" s="7"/>
      <c r="H173" s="7"/>
      <c r="I173" s="7"/>
    </row>
    <row r="174" spans="4:9" x14ac:dyDescent="0.3">
      <c r="D174" s="7"/>
      <c r="E174" s="7"/>
      <c r="F174" s="7"/>
      <c r="G174" s="7"/>
      <c r="H174" s="7"/>
      <c r="I174" s="7"/>
    </row>
    <row r="175" spans="4:9" x14ac:dyDescent="0.3">
      <c r="D175" s="7"/>
      <c r="E175" s="7"/>
      <c r="F175" s="7"/>
      <c r="G175" s="7"/>
      <c r="H175" s="7"/>
      <c r="I175" s="7"/>
    </row>
    <row r="176" spans="4:9" x14ac:dyDescent="0.3">
      <c r="D176" s="7"/>
      <c r="E176" s="7"/>
      <c r="F176" s="7"/>
      <c r="G176" s="7"/>
      <c r="H176" s="7"/>
      <c r="I176" s="7"/>
    </row>
    <row r="177" spans="2:9" x14ac:dyDescent="0.3">
      <c r="D177" s="7"/>
      <c r="E177" s="7"/>
      <c r="F177" s="7"/>
      <c r="G177" s="7"/>
      <c r="H177" s="7"/>
      <c r="I177" s="7"/>
    </row>
    <row r="178" spans="2:9" x14ac:dyDescent="0.3">
      <c r="D178" s="7"/>
      <c r="E178" s="7"/>
      <c r="F178" s="7"/>
      <c r="G178" s="7"/>
      <c r="H178" s="7"/>
      <c r="I178" s="7"/>
    </row>
    <row r="179" spans="2:9" x14ac:dyDescent="0.3">
      <c r="D179" s="7"/>
      <c r="E179" s="7"/>
      <c r="F179" s="7"/>
      <c r="G179" s="7"/>
      <c r="H179" s="7"/>
      <c r="I179" s="7"/>
    </row>
    <row r="180" spans="2:9" x14ac:dyDescent="0.3">
      <c r="D180" s="7"/>
      <c r="E180" s="7"/>
      <c r="F180" s="7"/>
      <c r="G180" s="7"/>
      <c r="H180" s="7"/>
      <c r="I180" s="7"/>
    </row>
    <row r="181" spans="2:9" x14ac:dyDescent="0.3">
      <c r="B181" s="39" t="s">
        <v>301</v>
      </c>
    </row>
    <row r="182" spans="2:9" x14ac:dyDescent="0.3">
      <c r="E182" s="31"/>
    </row>
    <row r="202" spans="2:2" x14ac:dyDescent="0.3">
      <c r="B202" s="39" t="s">
        <v>267</v>
      </c>
    </row>
    <row r="221" spans="2:2" x14ac:dyDescent="0.3">
      <c r="B221" s="39" t="s">
        <v>208</v>
      </c>
    </row>
  </sheetData>
  <mergeCells count="1">
    <mergeCell ref="A1:B1"/>
  </mergeCells>
  <conditionalFormatting sqref="D3">
    <cfRule type="cellIs" dxfId="64" priority="46" operator="greaterThan">
      <formula>$C3</formula>
    </cfRule>
  </conditionalFormatting>
  <conditionalFormatting sqref="D12">
    <cfRule type="cellIs" dxfId="63" priority="44" operator="lessThan">
      <formula>$C12</formula>
    </cfRule>
  </conditionalFormatting>
  <conditionalFormatting sqref="D15:F15 I15">
    <cfRule type="cellIs" dxfId="62" priority="42" operator="greaterThan">
      <formula>$C$15</formula>
    </cfRule>
  </conditionalFormatting>
  <conditionalFormatting sqref="E3:F3 I3">
    <cfRule type="cellIs" dxfId="61" priority="38" operator="greaterThan">
      <formula>$C3</formula>
    </cfRule>
  </conditionalFormatting>
  <conditionalFormatting sqref="D51:F51 I51">
    <cfRule type="cellIs" dxfId="60" priority="37" operator="greaterThan">
      <formula>$C51</formula>
    </cfRule>
  </conditionalFormatting>
  <conditionalFormatting sqref="D62:F62 I62">
    <cfRule type="cellIs" dxfId="59" priority="36" operator="greaterThan">
      <formula>$C62</formula>
    </cfRule>
  </conditionalFormatting>
  <conditionalFormatting sqref="D65:F65 I65">
    <cfRule type="cellIs" dxfId="58" priority="35" operator="greaterThan">
      <formula>$C65</formula>
    </cfRule>
  </conditionalFormatting>
  <conditionalFormatting sqref="E12:F12 I12">
    <cfRule type="cellIs" dxfId="57" priority="34" operator="lessThan">
      <formula>$C12</formula>
    </cfRule>
  </conditionalFormatting>
  <conditionalFormatting sqref="D77:F78">
    <cfRule type="cellIs" dxfId="56" priority="33" operator="lessThan">
      <formula>$C77</formula>
    </cfRule>
  </conditionalFormatting>
  <conditionalFormatting sqref="E77:F78 I77:I78">
    <cfRule type="cellIs" dxfId="55" priority="32" operator="lessThan">
      <formula>$C77</formula>
    </cfRule>
  </conditionalFormatting>
  <conditionalFormatting sqref="D66">
    <cfRule type="expression" dxfId="54" priority="23">
      <formula>D$66+D$67&gt;=$C$67</formula>
    </cfRule>
  </conditionalFormatting>
  <conditionalFormatting sqref="E66:F66 I66">
    <cfRule type="expression" dxfId="53" priority="22">
      <formula>E$66+E$67&gt;=$C$67</formula>
    </cfRule>
  </conditionalFormatting>
  <conditionalFormatting sqref="D67">
    <cfRule type="expression" dxfId="52" priority="21">
      <formula>D$66+D$67&gt;=$C$67</formula>
    </cfRule>
  </conditionalFormatting>
  <conditionalFormatting sqref="E67:F67 I67">
    <cfRule type="expression" dxfId="51" priority="20">
      <formula>E$66+E$67&gt;=$C$67</formula>
    </cfRule>
  </conditionalFormatting>
  <conditionalFormatting sqref="C63">
    <cfRule type="cellIs" dxfId="50" priority="19" operator="greaterThan">
      <formula>$C63</formula>
    </cfRule>
  </conditionalFormatting>
  <conditionalFormatting sqref="G15">
    <cfRule type="cellIs" dxfId="49" priority="18" operator="greaterThan">
      <formula>$C$15</formula>
    </cfRule>
  </conditionalFormatting>
  <conditionalFormatting sqref="G3">
    <cfRule type="cellIs" dxfId="48" priority="17" operator="greaterThan">
      <formula>$C3</formula>
    </cfRule>
  </conditionalFormatting>
  <conditionalFormatting sqref="G51">
    <cfRule type="cellIs" dxfId="47" priority="16" operator="greaterThan">
      <formula>$C51</formula>
    </cfRule>
  </conditionalFormatting>
  <conditionalFormatting sqref="G62">
    <cfRule type="cellIs" dxfId="46" priority="15" operator="greaterThan">
      <formula>$C62</formula>
    </cfRule>
  </conditionalFormatting>
  <conditionalFormatting sqref="G65">
    <cfRule type="cellIs" dxfId="45" priority="14" operator="greaterThan">
      <formula>$C65</formula>
    </cfRule>
  </conditionalFormatting>
  <conditionalFormatting sqref="G12">
    <cfRule type="cellIs" dxfId="44" priority="13" operator="lessThan">
      <formula>$C12</formula>
    </cfRule>
  </conditionalFormatting>
  <conditionalFormatting sqref="G77:G78">
    <cfRule type="cellIs" dxfId="43" priority="12" operator="lessThan">
      <formula>$C77</formula>
    </cfRule>
  </conditionalFormatting>
  <conditionalFormatting sqref="G66">
    <cfRule type="expression" dxfId="42" priority="11">
      <formula>G$66+G$67&gt;=$C$67</formula>
    </cfRule>
  </conditionalFormatting>
  <conditionalFormatting sqref="G67">
    <cfRule type="expression" dxfId="41" priority="10">
      <formula>G$66+G$67&gt;=$C$67</formula>
    </cfRule>
  </conditionalFormatting>
  <conditionalFormatting sqref="H15">
    <cfRule type="cellIs" dxfId="40" priority="9" operator="greaterThan">
      <formula>$C$15</formula>
    </cfRule>
  </conditionalFormatting>
  <conditionalFormatting sqref="H3">
    <cfRule type="cellIs" dxfId="39" priority="8" operator="greaterThan">
      <formula>$C3</formula>
    </cfRule>
  </conditionalFormatting>
  <conditionalFormatting sqref="H51">
    <cfRule type="cellIs" dxfId="38" priority="7" operator="greaterThan">
      <formula>$C51</formula>
    </cfRule>
  </conditionalFormatting>
  <conditionalFormatting sqref="H62">
    <cfRule type="cellIs" dxfId="37" priority="6" operator="greaterThan">
      <formula>$C62</formula>
    </cfRule>
  </conditionalFormatting>
  <conditionalFormatting sqref="H65">
    <cfRule type="cellIs" dxfId="36" priority="5" operator="greaterThan">
      <formula>$C65</formula>
    </cfRule>
  </conditionalFormatting>
  <conditionalFormatting sqref="H12">
    <cfRule type="cellIs" dxfId="35" priority="4" operator="lessThan">
      <formula>$C12</formula>
    </cfRule>
  </conditionalFormatting>
  <conditionalFormatting sqref="H77:H78">
    <cfRule type="cellIs" dxfId="34" priority="3" operator="lessThan">
      <formula>$C77</formula>
    </cfRule>
  </conditionalFormatting>
  <conditionalFormatting sqref="H66">
    <cfRule type="expression" dxfId="33" priority="2">
      <formula>H$66+H$67&gt;=$C$67</formula>
    </cfRule>
  </conditionalFormatting>
  <conditionalFormatting sqref="H67">
    <cfRule type="expression" dxfId="32" priority="1">
      <formula>H$66+H$67&gt;=$C$67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tabSelected="1" workbookViewId="0">
      <selection activeCell="L3" sqref="L3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0" width="7.5546875" customWidth="1"/>
  </cols>
  <sheetData>
    <row r="1" spans="1:10" ht="23.25" customHeight="1" x14ac:dyDescent="0.3">
      <c r="A1" s="74" t="s">
        <v>309</v>
      </c>
      <c r="B1" s="74" t="s">
        <v>310</v>
      </c>
      <c r="C1" s="74" t="s">
        <v>320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2020</v>
      </c>
    </row>
    <row r="2" spans="1:10" ht="29.25" customHeight="1" x14ac:dyDescent="0.3">
      <c r="A2" s="75" t="s">
        <v>311</v>
      </c>
      <c r="B2" s="75" t="s">
        <v>78</v>
      </c>
      <c r="C2" s="77" t="s">
        <v>319</v>
      </c>
      <c r="D2" s="89" t="s">
        <v>326</v>
      </c>
      <c r="E2" s="82">
        <f>Piano_indicatori!D3</f>
        <v>2.85</v>
      </c>
      <c r="F2" s="82">
        <f>Piano_indicatori!E3</f>
        <v>1.36</v>
      </c>
      <c r="G2" s="82">
        <f>Piano_indicatori!F3</f>
        <v>1.4</v>
      </c>
      <c r="H2" s="82">
        <f>Piano_indicatori!G3</f>
        <v>1.35</v>
      </c>
      <c r="I2" s="82">
        <f>Piano_indicatori!H3</f>
        <v>2.35</v>
      </c>
      <c r="J2" s="82">
        <f>Piano_indicatori!I3</f>
        <v>1.24</v>
      </c>
    </row>
    <row r="3" spans="1:10" ht="29.25" customHeight="1" x14ac:dyDescent="0.3">
      <c r="A3" s="76" t="s">
        <v>312</v>
      </c>
      <c r="B3" s="76" t="s">
        <v>95</v>
      </c>
      <c r="C3" s="78" t="s">
        <v>96</v>
      </c>
      <c r="D3" s="90" t="s">
        <v>327</v>
      </c>
      <c r="E3" s="83">
        <f>Piano_indicatori!D12</f>
        <v>81.459999999999994</v>
      </c>
      <c r="F3" s="83">
        <f>Piano_indicatori!E12</f>
        <v>69.84</v>
      </c>
      <c r="G3" s="83">
        <f>Piano_indicatori!F12</f>
        <v>58.19</v>
      </c>
      <c r="H3" s="83">
        <f>Piano_indicatori!G12</f>
        <v>71.739999999999995</v>
      </c>
      <c r="I3" s="83">
        <f>Piano_indicatori!H12</f>
        <v>86.83</v>
      </c>
      <c r="J3" s="83">
        <f>Piano_indicatori!I12</f>
        <v>72.95</v>
      </c>
    </row>
    <row r="4" spans="1:10" ht="29.25" customHeight="1" x14ac:dyDescent="0.3">
      <c r="A4" s="75" t="s">
        <v>313</v>
      </c>
      <c r="B4" s="75" t="s">
        <v>100</v>
      </c>
      <c r="C4" s="79" t="s">
        <v>322</v>
      </c>
      <c r="D4" s="89" t="s">
        <v>328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  <c r="J4" s="84">
        <f>Piano_indicatori!I15</f>
        <v>0</v>
      </c>
    </row>
    <row r="5" spans="1:10" ht="29.25" customHeight="1" x14ac:dyDescent="0.3">
      <c r="A5" s="76" t="s">
        <v>314</v>
      </c>
      <c r="B5" s="76" t="s">
        <v>165</v>
      </c>
      <c r="C5" s="80" t="s">
        <v>323</v>
      </c>
      <c r="D5" s="91" t="s">
        <v>329</v>
      </c>
      <c r="E5" s="85">
        <f>Piano_indicatori!D51</f>
        <v>0.84</v>
      </c>
      <c r="F5" s="85">
        <f>Piano_indicatori!E51</f>
        <v>0.57999999999999996</v>
      </c>
      <c r="G5" s="85">
        <f>Piano_indicatori!F51</f>
        <v>0.61</v>
      </c>
      <c r="H5" s="85">
        <f>Piano_indicatori!G51</f>
        <v>0.61</v>
      </c>
      <c r="I5" s="85">
        <f>Piano_indicatori!H51</f>
        <v>0.59</v>
      </c>
      <c r="J5" s="85">
        <f>Piano_indicatori!I51</f>
        <v>0.59</v>
      </c>
    </row>
    <row r="6" spans="1:10" ht="29.25" customHeight="1" x14ac:dyDescent="0.3">
      <c r="A6" s="75" t="s">
        <v>315</v>
      </c>
      <c r="B6" s="75" t="s">
        <v>185</v>
      </c>
      <c r="C6" s="93" t="s">
        <v>186</v>
      </c>
      <c r="D6" s="92" t="s">
        <v>330</v>
      </c>
      <c r="E6" s="86">
        <f>Piano_indicatori!D62</f>
        <v>9.8000000000000007</v>
      </c>
      <c r="F6" s="86">
        <f>Piano_indicatori!E62</f>
        <v>6.89</v>
      </c>
      <c r="G6" s="86">
        <f>Piano_indicatori!F62</f>
        <v>4.3</v>
      </c>
      <c r="H6" s="86">
        <f>Piano_indicatori!G62</f>
        <v>1.83</v>
      </c>
      <c r="I6" s="86">
        <f>Piano_indicatori!H62</f>
        <v>0</v>
      </c>
      <c r="J6" s="86">
        <f>Piano_indicatori!I62</f>
        <v>0</v>
      </c>
    </row>
    <row r="7" spans="1:10" ht="29.25" customHeight="1" x14ac:dyDescent="0.3">
      <c r="A7" s="76" t="s">
        <v>316</v>
      </c>
      <c r="B7" s="76" t="s">
        <v>188</v>
      </c>
      <c r="C7" s="80" t="s">
        <v>189</v>
      </c>
      <c r="D7" s="90" t="s">
        <v>331</v>
      </c>
      <c r="E7" s="87">
        <f>Piano_indicatori!D65</f>
        <v>0</v>
      </c>
      <c r="F7" s="87">
        <f>Piano_indicatori!E65</f>
        <v>0</v>
      </c>
      <c r="G7" s="87">
        <f>Piano_indicatori!F65</f>
        <v>0</v>
      </c>
      <c r="H7" s="87">
        <f>Piano_indicatori!G65</f>
        <v>0</v>
      </c>
      <c r="I7" s="87">
        <f>Piano_indicatori!H65</f>
        <v>0.01</v>
      </c>
      <c r="J7" s="87">
        <f>Piano_indicatori!I65</f>
        <v>0.03</v>
      </c>
    </row>
    <row r="8" spans="1:10" ht="29.25" customHeight="1" x14ac:dyDescent="0.3">
      <c r="A8" s="75" t="s">
        <v>317</v>
      </c>
      <c r="B8" s="75" t="s">
        <v>321</v>
      </c>
      <c r="C8" s="79" t="s">
        <v>324</v>
      </c>
      <c r="D8" s="89" t="s">
        <v>332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0.01</v>
      </c>
      <c r="J8" s="84">
        <f>Piano_indicatori!I66+Piano_indicatori!I67</f>
        <v>0</v>
      </c>
    </row>
    <row r="9" spans="1:10" ht="29.25" customHeight="1" x14ac:dyDescent="0.3">
      <c r="A9" s="76" t="s">
        <v>318</v>
      </c>
      <c r="B9" s="76"/>
      <c r="C9" s="81" t="s">
        <v>325</v>
      </c>
      <c r="D9" s="91" t="s">
        <v>333</v>
      </c>
      <c r="E9" s="88">
        <f>Piano_indicatori!D77</f>
        <v>64.444580496681553</v>
      </c>
      <c r="F9" s="88">
        <f>Piano_indicatori!E77</f>
        <v>61.655881412616431</v>
      </c>
      <c r="G9" s="88">
        <f>Piano_indicatori!F77</f>
        <v>69.05239581489036</v>
      </c>
      <c r="H9" s="88">
        <f>Piano_indicatori!G77</f>
        <v>71.713148312169466</v>
      </c>
      <c r="I9" s="88">
        <f>Piano_indicatori!H77</f>
        <v>84.375517411034849</v>
      </c>
      <c r="J9" s="88">
        <f>Piano_indicatori!I77</f>
        <v>81.48</v>
      </c>
    </row>
  </sheetData>
  <conditionalFormatting sqref="E2:G2 J2">
    <cfRule type="cellIs" dxfId="31" priority="24" operator="greaterThan">
      <formula>48</formula>
    </cfRule>
  </conditionalFormatting>
  <conditionalFormatting sqref="E3:G3 J3">
    <cfRule type="cellIs" dxfId="30" priority="23" operator="lessThan">
      <formula>22</formula>
    </cfRule>
  </conditionalFormatting>
  <conditionalFormatting sqref="E4:G4 J4">
    <cfRule type="cellIs" dxfId="29" priority="22" operator="greaterThan">
      <formula>0</formula>
    </cfRule>
  </conditionalFormatting>
  <conditionalFormatting sqref="E5:G5 J5">
    <cfRule type="cellIs" dxfId="28" priority="21" operator="greaterThan">
      <formula>16</formula>
    </cfRule>
  </conditionalFormatting>
  <conditionalFormatting sqref="E6:G6 J6">
    <cfRule type="cellIs" dxfId="27" priority="20" operator="greaterThan">
      <formula>1.2</formula>
    </cfRule>
  </conditionalFormatting>
  <conditionalFormatting sqref="E7:G7 J7">
    <cfRule type="cellIs" dxfId="26" priority="19" operator="greaterThan">
      <formula>1</formula>
    </cfRule>
  </conditionalFormatting>
  <conditionalFormatting sqref="E8:G8 J8">
    <cfRule type="cellIs" dxfId="25" priority="18" operator="greaterThan">
      <formula>0.6</formula>
    </cfRule>
  </conditionalFormatting>
  <conditionalFormatting sqref="E9:G9 J9">
    <cfRule type="cellIs" dxfId="24" priority="17" operator="lessThan">
      <formula>47</formula>
    </cfRule>
  </conditionalFormatting>
  <conditionalFormatting sqref="H2">
    <cfRule type="cellIs" dxfId="23" priority="16" operator="greaterThan">
      <formula>48</formula>
    </cfRule>
  </conditionalFormatting>
  <conditionalFormatting sqref="H3">
    <cfRule type="cellIs" dxfId="22" priority="15" operator="lessThan">
      <formula>22</formula>
    </cfRule>
  </conditionalFormatting>
  <conditionalFormatting sqref="H4">
    <cfRule type="cellIs" dxfId="21" priority="14" operator="greaterThan">
      <formula>0</formula>
    </cfRule>
  </conditionalFormatting>
  <conditionalFormatting sqref="H5">
    <cfRule type="cellIs" dxfId="20" priority="13" operator="greaterThan">
      <formula>16</formula>
    </cfRule>
  </conditionalFormatting>
  <conditionalFormatting sqref="H6">
    <cfRule type="cellIs" dxfId="19" priority="12" operator="greaterThan">
      <formula>1.2</formula>
    </cfRule>
  </conditionalFormatting>
  <conditionalFormatting sqref="H7">
    <cfRule type="cellIs" dxfId="18" priority="11" operator="greaterThan">
      <formula>1</formula>
    </cfRule>
  </conditionalFormatting>
  <conditionalFormatting sqref="H8">
    <cfRule type="cellIs" dxfId="17" priority="10" operator="greaterThan">
      <formula>0.6</formula>
    </cfRule>
  </conditionalFormatting>
  <conditionalFormatting sqref="H9">
    <cfRule type="cellIs" dxfId="16" priority="9" operator="lessThan">
      <formula>47</formula>
    </cfRule>
  </conditionalFormatting>
  <conditionalFormatting sqref="I2">
    <cfRule type="cellIs" dxfId="15" priority="8" operator="greaterThan">
      <formula>48</formula>
    </cfRule>
  </conditionalFormatting>
  <conditionalFormatting sqref="I3">
    <cfRule type="cellIs" dxfId="13" priority="7" operator="lessThan">
      <formula>22</formula>
    </cfRule>
  </conditionalFormatting>
  <conditionalFormatting sqref="I4">
    <cfRule type="cellIs" dxfId="11" priority="6" operator="greaterThan">
      <formula>0</formula>
    </cfRule>
  </conditionalFormatting>
  <conditionalFormatting sqref="I5">
    <cfRule type="cellIs" dxfId="9" priority="5" operator="greaterThan">
      <formula>16</formula>
    </cfRule>
  </conditionalFormatting>
  <conditionalFormatting sqref="I6">
    <cfRule type="cellIs" dxfId="7" priority="4" operator="greaterThan">
      <formula>1.2</formula>
    </cfRule>
  </conditionalFormatting>
  <conditionalFormatting sqref="I7">
    <cfRule type="cellIs" dxfId="5" priority="3" operator="greaterThan">
      <formula>1</formula>
    </cfRule>
  </conditionalFormatting>
  <conditionalFormatting sqref="I8">
    <cfRule type="cellIs" dxfId="3" priority="2" operator="greaterThan">
      <formula>0.6</formula>
    </cfRule>
  </conditionalFormatting>
  <conditionalFormatting sqref="I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activeCell="O14" sqref="O14"/>
    </sheetView>
  </sheetViews>
  <sheetFormatPr defaultRowHeight="14.4" x14ac:dyDescent="0.3"/>
  <cols>
    <col min="2" max="2" width="12.33203125" bestFit="1" customWidth="1"/>
    <col min="5" max="6" width="10.33203125" customWidth="1"/>
  </cols>
  <sheetData>
    <row r="1" spans="1:22" ht="28.8" x14ac:dyDescent="0.3">
      <c r="A1" s="101" t="s">
        <v>361</v>
      </c>
      <c r="B1" s="101" t="s">
        <v>362</v>
      </c>
      <c r="C1" s="101" t="s">
        <v>233</v>
      </c>
      <c r="D1" s="101" t="s">
        <v>347</v>
      </c>
      <c r="E1" s="105" t="s">
        <v>348</v>
      </c>
      <c r="F1" s="105" t="s">
        <v>374</v>
      </c>
      <c r="G1" s="105" t="s">
        <v>349</v>
      </c>
    </row>
    <row r="2" spans="1:22" x14ac:dyDescent="0.3">
      <c r="A2" s="31">
        <v>2022</v>
      </c>
      <c r="B2" s="95">
        <v>9943004</v>
      </c>
      <c r="C2" s="102">
        <f>B2/B3*100-100</f>
        <v>-0.3862124074067026</v>
      </c>
    </row>
    <row r="3" spans="1:22" x14ac:dyDescent="0.3">
      <c r="A3" s="31">
        <v>2021</v>
      </c>
      <c r="B3" s="95">
        <v>9981554</v>
      </c>
      <c r="C3" s="102">
        <f>B3/B4*100-100</f>
        <v>-0.45921248170799345</v>
      </c>
      <c r="D3" s="95">
        <v>-38902</v>
      </c>
      <c r="E3" s="1">
        <v>20035</v>
      </c>
      <c r="F3" s="1">
        <v>-19683</v>
      </c>
      <c r="G3" s="1">
        <f>B2-B3-D3-E3-F3</f>
        <v>0</v>
      </c>
    </row>
    <row r="4" spans="1:22" x14ac:dyDescent="0.3">
      <c r="A4" s="31">
        <v>2020</v>
      </c>
      <c r="B4" s="95">
        <v>10027602</v>
      </c>
      <c r="C4" s="102">
        <f>B4/B5*100-100</f>
        <v>0.16750853800078858</v>
      </c>
      <c r="D4" s="95">
        <v>-66360</v>
      </c>
      <c r="E4" s="1">
        <v>5948</v>
      </c>
      <c r="F4" s="1">
        <v>14364</v>
      </c>
      <c r="G4" s="1">
        <f t="shared" ref="G4:G5" si="0">B3-B4-D4-E4-F4</f>
        <v>0</v>
      </c>
    </row>
    <row r="5" spans="1:22" x14ac:dyDescent="0.3">
      <c r="A5" s="31">
        <v>2019</v>
      </c>
      <c r="B5" s="95">
        <v>10010833</v>
      </c>
      <c r="C5" s="102">
        <f>B5/B6*100-100</f>
        <v>0.23902163640954655</v>
      </c>
      <c r="D5" s="95">
        <v>-26866</v>
      </c>
      <c r="E5" s="1">
        <v>42099</v>
      </c>
      <c r="F5" s="1">
        <v>1536</v>
      </c>
      <c r="G5" s="1">
        <f t="shared" si="0"/>
        <v>0</v>
      </c>
      <c r="M5" s="108"/>
      <c r="N5" s="109"/>
      <c r="O5" s="109"/>
      <c r="P5" s="109"/>
      <c r="Q5" s="109"/>
      <c r="R5" s="109"/>
      <c r="S5" s="109"/>
      <c r="T5" s="109"/>
      <c r="U5" s="109"/>
      <c r="V5" s="109"/>
    </row>
    <row r="6" spans="1:22" x14ac:dyDescent="0.3">
      <c r="A6" s="31">
        <v>2018</v>
      </c>
      <c r="B6" s="95">
        <v>9986962</v>
      </c>
      <c r="C6" s="102">
        <f t="shared" ref="C6:C8" si="1">B6/B7*100-100</f>
        <v>0.16592081034909256</v>
      </c>
      <c r="D6" s="95">
        <v>-23849</v>
      </c>
      <c r="E6" s="95">
        <v>47720</v>
      </c>
      <c r="F6" s="95"/>
      <c r="G6" s="1">
        <f t="shared" ref="G6:G9" si="2">B5-B6-D6-E6</f>
        <v>0</v>
      </c>
      <c r="M6" s="108"/>
      <c r="N6" s="109"/>
      <c r="O6" s="109"/>
      <c r="P6" s="109"/>
      <c r="Q6" s="109"/>
      <c r="R6" s="109"/>
      <c r="S6" s="109"/>
      <c r="T6" s="109"/>
      <c r="U6" s="109"/>
      <c r="V6" s="109"/>
    </row>
    <row r="7" spans="1:22" x14ac:dyDescent="0.3">
      <c r="A7" s="31">
        <v>2017</v>
      </c>
      <c r="B7" s="95">
        <v>9970419</v>
      </c>
      <c r="C7" s="102">
        <f t="shared" si="1"/>
        <v>0.1202195482890005</v>
      </c>
      <c r="D7" s="95">
        <v>-20447</v>
      </c>
      <c r="E7" s="95">
        <v>36990</v>
      </c>
      <c r="F7" s="95"/>
      <c r="G7" s="1">
        <f t="shared" si="2"/>
        <v>0</v>
      </c>
      <c r="M7" s="108"/>
      <c r="N7" s="109"/>
      <c r="O7" s="109"/>
      <c r="P7" s="109"/>
      <c r="Q7" s="109"/>
      <c r="R7" s="109"/>
      <c r="S7" s="109"/>
      <c r="T7" s="109"/>
      <c r="U7" s="109"/>
      <c r="V7" s="109"/>
    </row>
    <row r="8" spans="1:22" x14ac:dyDescent="0.3">
      <c r="A8" s="31">
        <v>2016</v>
      </c>
      <c r="B8" s="95">
        <v>9958447</v>
      </c>
      <c r="C8" s="102">
        <f t="shared" si="1"/>
        <v>3.6947115498108474E-2</v>
      </c>
      <c r="D8" s="95">
        <v>-12713</v>
      </c>
      <c r="E8" s="95">
        <v>24685</v>
      </c>
      <c r="F8" s="95"/>
      <c r="G8" s="1">
        <f t="shared" si="2"/>
        <v>0</v>
      </c>
      <c r="M8" s="108"/>
      <c r="N8" s="109"/>
      <c r="O8" s="109"/>
      <c r="P8" s="109"/>
      <c r="Q8" s="109"/>
      <c r="R8" s="109"/>
      <c r="S8" s="109"/>
      <c r="T8" s="109"/>
      <c r="U8" s="109"/>
      <c r="V8" s="109"/>
    </row>
    <row r="9" spans="1:22" x14ac:dyDescent="0.3">
      <c r="A9" s="103">
        <v>2015</v>
      </c>
      <c r="B9" s="104">
        <v>9954769</v>
      </c>
      <c r="C9" s="104"/>
      <c r="D9" s="104">
        <v>-15321</v>
      </c>
      <c r="E9" s="104">
        <v>18999</v>
      </c>
      <c r="F9" s="104"/>
      <c r="G9" s="1">
        <f t="shared" si="2"/>
        <v>0</v>
      </c>
    </row>
    <row r="10" spans="1:22" x14ac:dyDescent="0.3">
      <c r="A10" t="s">
        <v>363</v>
      </c>
    </row>
    <row r="30" spans="2:6" x14ac:dyDescent="0.3">
      <c r="B30" s="108"/>
      <c r="C30" s="109"/>
      <c r="D30" s="109"/>
      <c r="E30" s="109"/>
      <c r="F30" s="109"/>
    </row>
    <row r="31" spans="2:6" x14ac:dyDescent="0.3">
      <c r="B31" s="108"/>
      <c r="C31" s="109"/>
      <c r="D31" s="109"/>
      <c r="E31" s="109"/>
      <c r="F31" s="109"/>
    </row>
    <row r="32" spans="2:6" x14ac:dyDescent="0.3">
      <c r="B32" s="108"/>
      <c r="C32" s="109"/>
      <c r="D32" s="109"/>
      <c r="E32" s="109"/>
      <c r="F32" s="109"/>
    </row>
    <row r="33" spans="2:7" x14ac:dyDescent="0.3">
      <c r="B33" s="108"/>
      <c r="C33" s="109"/>
      <c r="D33" s="109"/>
      <c r="E33" s="109"/>
      <c r="F33" s="109"/>
    </row>
    <row r="34" spans="2:7" x14ac:dyDescent="0.3">
      <c r="B34" s="108"/>
      <c r="C34" s="109"/>
      <c r="D34" s="109"/>
      <c r="E34" s="109"/>
      <c r="F34" s="109"/>
    </row>
    <row r="35" spans="2:7" x14ac:dyDescent="0.3">
      <c r="B35" s="108"/>
      <c r="C35" s="109"/>
      <c r="D35" s="109"/>
      <c r="E35" s="109"/>
      <c r="F35" s="109"/>
    </row>
    <row r="36" spans="2:7" x14ac:dyDescent="0.3">
      <c r="B36" s="108"/>
      <c r="C36" s="109"/>
      <c r="D36" s="109"/>
      <c r="E36" s="109"/>
      <c r="F36" s="109"/>
    </row>
    <row r="37" spans="2:7" x14ac:dyDescent="0.3">
      <c r="B37" s="108"/>
      <c r="C37" s="109"/>
      <c r="D37" s="109"/>
      <c r="E37" s="109"/>
      <c r="F37" s="109"/>
    </row>
    <row r="38" spans="2:7" x14ac:dyDescent="0.3">
      <c r="B38" s="108"/>
      <c r="C38" s="109"/>
      <c r="D38" s="109"/>
      <c r="E38" s="109"/>
      <c r="F38" s="109"/>
    </row>
    <row r="39" spans="2:7" x14ac:dyDescent="0.3">
      <c r="B39" s="108"/>
      <c r="C39" s="109"/>
      <c r="D39" s="109"/>
      <c r="E39" s="109"/>
      <c r="F39" s="109"/>
      <c r="G39" s="1"/>
    </row>
    <row r="40" spans="2:7" x14ac:dyDescent="0.3">
      <c r="B40" s="108"/>
      <c r="C40" s="109"/>
      <c r="D40" s="109"/>
      <c r="E40" s="109"/>
      <c r="F40" s="109"/>
      <c r="G40" s="1"/>
    </row>
    <row r="41" spans="2:7" x14ac:dyDescent="0.3">
      <c r="B41" s="108"/>
      <c r="C41" s="109"/>
      <c r="D41" s="109"/>
      <c r="E41" s="109"/>
      <c r="F41" s="109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sqref="A1:K21"/>
    </sheetView>
  </sheetViews>
  <sheetFormatPr defaultRowHeight="14.4" x14ac:dyDescent="0.3"/>
  <cols>
    <col min="1" max="1" width="55.6640625" bestFit="1" customWidth="1"/>
    <col min="2" max="7" width="15.33203125" bestFit="1" customWidth="1"/>
    <col min="8" max="8" width="8.44140625" customWidth="1"/>
    <col min="9" max="9" width="6.5546875" bestFit="1" customWidth="1"/>
    <col min="10" max="10" width="15.33203125" bestFit="1" customWidth="1"/>
    <col min="11" max="11" width="7" bestFit="1" customWidth="1"/>
  </cols>
  <sheetData>
    <row r="1" spans="1:11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54" t="s">
        <v>296</v>
      </c>
      <c r="I1" s="42" t="s">
        <v>233</v>
      </c>
      <c r="J1" s="54" t="s">
        <v>370</v>
      </c>
      <c r="K1" s="42" t="s">
        <v>268</v>
      </c>
    </row>
    <row r="2" spans="1:11" x14ac:dyDescent="0.3">
      <c r="A2" s="55" t="s">
        <v>20</v>
      </c>
      <c r="B2" s="56">
        <f>Entrate_Uscite!B3</f>
        <v>20354748567.650002</v>
      </c>
      <c r="C2" s="56">
        <f>Entrate_Uscite!E3</f>
        <v>21356690142.450001</v>
      </c>
      <c r="D2" s="56">
        <f>Entrate_Uscite!H3</f>
        <v>20735390535.380001</v>
      </c>
      <c r="E2" s="56">
        <f>Entrate_Uscite!K3</f>
        <v>21142712464.27</v>
      </c>
      <c r="F2" s="56">
        <f>Entrate_Uscite!N3</f>
        <v>21693501929.540001</v>
      </c>
      <c r="G2" s="56">
        <f>Entrate_Uscite!Q3</f>
        <v>22133064343.080002</v>
      </c>
      <c r="H2" s="56">
        <f t="shared" ref="H2:H18" si="0">G2/G$21*100</f>
        <v>79.766336883601269</v>
      </c>
      <c r="I2" s="57">
        <f>IF(F2&gt;0,G2/F2*100-100,"-")</f>
        <v>2.0262400001977028</v>
      </c>
      <c r="J2" s="56">
        <f>Entrate_Uscite!R3</f>
        <v>19670652384.099998</v>
      </c>
      <c r="K2" s="58">
        <f t="shared" ref="K2:K21" si="1">IF(G2&gt;0,J2/G2*100,"-")</f>
        <v>88.874509553622261</v>
      </c>
    </row>
    <row r="3" spans="1:11" x14ac:dyDescent="0.3">
      <c r="A3" s="55" t="s">
        <v>21</v>
      </c>
      <c r="B3" s="56">
        <f>Entrate_Uscite!B4</f>
        <v>852509181.85000002</v>
      </c>
      <c r="C3" s="56">
        <f>Entrate_Uscite!E4</f>
        <v>1072908400.5</v>
      </c>
      <c r="D3" s="56">
        <f>Entrate_Uscite!H4</f>
        <v>1422174928.4400001</v>
      </c>
      <c r="E3" s="56">
        <f>Entrate_Uscite!K4</f>
        <v>1396374150.8299999</v>
      </c>
      <c r="F3" s="56">
        <f>Entrate_Uscite!N4</f>
        <v>1932850295.45</v>
      </c>
      <c r="G3" s="56">
        <f>Entrate_Uscite!Q4</f>
        <v>2702086524.9200001</v>
      </c>
      <c r="H3" s="56">
        <f t="shared" si="0"/>
        <v>9.7381700380226075</v>
      </c>
      <c r="I3" s="57">
        <f t="shared" ref="I3:I21" si="2">IF(F3&gt;0,G3/F3*100-100,"-")</f>
        <v>39.798024258826985</v>
      </c>
      <c r="J3" s="56">
        <f>Entrate_Uscite!R4</f>
        <v>2038116732.21</v>
      </c>
      <c r="K3" s="58">
        <f t="shared" si="1"/>
        <v>75.427515492692891</v>
      </c>
    </row>
    <row r="4" spans="1:11" x14ac:dyDescent="0.3">
      <c r="A4" s="55" t="s">
        <v>22</v>
      </c>
      <c r="B4" s="56">
        <f>Entrate_Uscite!B5</f>
        <v>1108364638.01</v>
      </c>
      <c r="C4" s="56">
        <f>Entrate_Uscite!E5</f>
        <v>1223305391.01</v>
      </c>
      <c r="D4" s="56">
        <f>Entrate_Uscite!H5</f>
        <v>1470903150.7</v>
      </c>
      <c r="E4" s="56">
        <f>Entrate_Uscite!K5</f>
        <v>1595787518.21</v>
      </c>
      <c r="F4" s="56">
        <f>Entrate_Uscite!N5</f>
        <v>1607242428.3399999</v>
      </c>
      <c r="G4" s="56">
        <f>Entrate_Uscite!Q5</f>
        <v>1286732024.1500001</v>
      </c>
      <c r="H4" s="56">
        <f t="shared" si="0"/>
        <v>4.6373108814169814</v>
      </c>
      <c r="I4" s="57">
        <f t="shared" si="2"/>
        <v>-19.941634101896568</v>
      </c>
      <c r="J4" s="56">
        <f>Entrate_Uscite!R5</f>
        <v>1003798796.26</v>
      </c>
      <c r="K4" s="58">
        <f t="shared" si="1"/>
        <v>78.011487817216448</v>
      </c>
    </row>
    <row r="5" spans="1:11" x14ac:dyDescent="0.3">
      <c r="A5" s="4" t="s">
        <v>31</v>
      </c>
      <c r="B5" s="43">
        <f t="shared" ref="B5:G5" si="3">SUM(B2:B4)</f>
        <v>22315622387.509998</v>
      </c>
      <c r="C5" s="43">
        <f t="shared" si="3"/>
        <v>23652903933.959999</v>
      </c>
      <c r="D5" s="43">
        <f t="shared" si="3"/>
        <v>23628468614.52</v>
      </c>
      <c r="E5" s="43">
        <f t="shared" si="3"/>
        <v>24134874133.309998</v>
      </c>
      <c r="F5" s="43">
        <f t="shared" si="3"/>
        <v>25233594653.330002</v>
      </c>
      <c r="G5" s="43">
        <f t="shared" si="3"/>
        <v>26121882892.150002</v>
      </c>
      <c r="H5" s="43">
        <f t="shared" si="0"/>
        <v>94.141817803040865</v>
      </c>
      <c r="I5" s="44">
        <f t="shared" si="2"/>
        <v>3.5202603950158107</v>
      </c>
      <c r="J5" s="43">
        <f>SUM(J2:J4)</f>
        <v>22712567912.569996</v>
      </c>
      <c r="K5" s="45">
        <f t="shared" si="1"/>
        <v>86.948433259362972</v>
      </c>
    </row>
    <row r="6" spans="1:11" x14ac:dyDescent="0.3">
      <c r="A6" s="55" t="s">
        <v>23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>Entrate_Uscite!Q6</f>
        <v>0</v>
      </c>
      <c r="H6" s="56">
        <f t="shared" si="0"/>
        <v>0</v>
      </c>
      <c r="I6" s="57" t="str">
        <f t="shared" si="2"/>
        <v>-</v>
      </c>
      <c r="J6" s="56">
        <f>Entrate_Uscite!R6</f>
        <v>0</v>
      </c>
      <c r="K6" s="58" t="str">
        <f t="shared" si="1"/>
        <v>-</v>
      </c>
    </row>
    <row r="7" spans="1:11" x14ac:dyDescent="0.3">
      <c r="A7" s="55" t="s">
        <v>24</v>
      </c>
      <c r="B7" s="56">
        <f>Entrate_Uscite!B7</f>
        <v>506737951.02999997</v>
      </c>
      <c r="C7" s="56">
        <f>Entrate_Uscite!E7</f>
        <v>466214197.74000001</v>
      </c>
      <c r="D7" s="56">
        <f>Entrate_Uscite!H7</f>
        <v>571060859.55999994</v>
      </c>
      <c r="E7" s="56">
        <f>Entrate_Uscite!K7</f>
        <v>559158014.26999998</v>
      </c>
      <c r="F7" s="56">
        <f>Entrate_Uscite!N7</f>
        <v>626006810.54999995</v>
      </c>
      <c r="G7" s="56">
        <f>Entrate_Uscite!Q7</f>
        <v>757375859.78999996</v>
      </c>
      <c r="H7" s="56">
        <f t="shared" si="0"/>
        <v>2.7295406114158212</v>
      </c>
      <c r="I7" s="57">
        <f t="shared" si="2"/>
        <v>20.985242816221316</v>
      </c>
      <c r="J7" s="56">
        <f>Entrate_Uscite!R7</f>
        <v>460059261.88999999</v>
      </c>
      <c r="K7" s="58">
        <f t="shared" si="1"/>
        <v>60.743850750347676</v>
      </c>
    </row>
    <row r="8" spans="1:11" x14ac:dyDescent="0.3">
      <c r="A8" s="55" t="s">
        <v>25</v>
      </c>
      <c r="B8" s="56">
        <f>Entrate_Uscite!B8</f>
        <v>1048204.19</v>
      </c>
      <c r="C8" s="56">
        <f>Entrate_Uscite!E8</f>
        <v>0</v>
      </c>
      <c r="D8" s="56">
        <f>Entrate_Uscite!H8</f>
        <v>0</v>
      </c>
      <c r="E8" s="56">
        <f>Entrate_Uscite!K8</f>
        <v>0</v>
      </c>
      <c r="F8" s="56">
        <f>Entrate_Uscite!N8</f>
        <v>43706315.789999999</v>
      </c>
      <c r="G8" s="56">
        <f>Entrate_Uscite!Q8</f>
        <v>0</v>
      </c>
      <c r="H8" s="56">
        <f t="shared" si="0"/>
        <v>0</v>
      </c>
      <c r="I8" s="57">
        <f t="shared" si="2"/>
        <v>-100</v>
      </c>
      <c r="J8" s="56">
        <f>Entrate_Uscite!R8</f>
        <v>0</v>
      </c>
      <c r="K8" s="58" t="str">
        <f t="shared" si="1"/>
        <v>-</v>
      </c>
    </row>
    <row r="9" spans="1:11" x14ac:dyDescent="0.3">
      <c r="A9" s="55" t="s">
        <v>26</v>
      </c>
      <c r="B9" s="56">
        <f>Entrate_Uscite!B9</f>
        <v>0</v>
      </c>
      <c r="C9" s="56">
        <f>Entrate_Uscite!E9</f>
        <v>200494</v>
      </c>
      <c r="D9" s="56">
        <f>Entrate_Uscite!H9</f>
        <v>5770000</v>
      </c>
      <c r="E9" s="56">
        <f>Entrate_Uscite!K9</f>
        <v>0</v>
      </c>
      <c r="F9" s="56">
        <f>Entrate_Uscite!N9</f>
        <v>0</v>
      </c>
      <c r="G9" s="56">
        <f>Entrate_Uscite!Q9</f>
        <v>0</v>
      </c>
      <c r="H9" s="56">
        <f t="shared" si="0"/>
        <v>0</v>
      </c>
      <c r="I9" s="57" t="str">
        <f t="shared" si="2"/>
        <v>-</v>
      </c>
      <c r="J9" s="56">
        <f>Entrate_Uscite!R9</f>
        <v>0</v>
      </c>
      <c r="K9" s="58" t="str">
        <f t="shared" si="1"/>
        <v>-</v>
      </c>
    </row>
    <row r="10" spans="1:11" x14ac:dyDescent="0.3">
      <c r="A10" s="55" t="s">
        <v>27</v>
      </c>
      <c r="B10" s="56">
        <f>Entrate_Uscite!B10</f>
        <v>33419593.77</v>
      </c>
      <c r="C10" s="56">
        <f>Entrate_Uscite!E10</f>
        <v>71804089.629999995</v>
      </c>
      <c r="D10" s="56">
        <f>Entrate_Uscite!H10</f>
        <v>275890757.47000003</v>
      </c>
      <c r="E10" s="56">
        <f>Entrate_Uscite!K10</f>
        <v>147533117.59999999</v>
      </c>
      <c r="F10" s="56">
        <f>Entrate_Uscite!N10</f>
        <v>166912474.33000001</v>
      </c>
      <c r="G10" s="56">
        <f>Entrate_Uscite!Q10</f>
        <v>88651341.730000004</v>
      </c>
      <c r="H10" s="56">
        <f t="shared" si="0"/>
        <v>0.31949452095770647</v>
      </c>
      <c r="I10" s="57">
        <f t="shared" si="2"/>
        <v>-46.887527678291526</v>
      </c>
      <c r="J10" s="56">
        <f>Entrate_Uscite!R10</f>
        <v>80529728.25</v>
      </c>
      <c r="K10" s="58">
        <f t="shared" si="1"/>
        <v>90.83870213184646</v>
      </c>
    </row>
    <row r="11" spans="1:11" x14ac:dyDescent="0.3">
      <c r="A11" s="4" t="s">
        <v>32</v>
      </c>
      <c r="B11" s="46">
        <f t="shared" ref="B11:G11" si="4">SUM(B6:B10)</f>
        <v>541205748.99000001</v>
      </c>
      <c r="C11" s="46">
        <f t="shared" si="4"/>
        <v>538218781.37</v>
      </c>
      <c r="D11" s="46">
        <f t="shared" si="4"/>
        <v>852721617.02999997</v>
      </c>
      <c r="E11" s="46">
        <f t="shared" si="4"/>
        <v>706691131.87</v>
      </c>
      <c r="F11" s="46">
        <f t="shared" si="4"/>
        <v>836625600.66999996</v>
      </c>
      <c r="G11" s="46">
        <f t="shared" si="4"/>
        <v>846027201.51999998</v>
      </c>
      <c r="H11" s="46">
        <f t="shared" si="0"/>
        <v>3.0490351323735276</v>
      </c>
      <c r="I11" s="44">
        <f t="shared" si="2"/>
        <v>1.1237524697392587</v>
      </c>
      <c r="J11" s="46">
        <f>SUM(J6:J10)</f>
        <v>540588990.13999999</v>
      </c>
      <c r="K11" s="45">
        <f t="shared" si="1"/>
        <v>63.897353320172236</v>
      </c>
    </row>
    <row r="12" spans="1:11" x14ac:dyDescent="0.3">
      <c r="A12" s="55" t="s">
        <v>28</v>
      </c>
      <c r="B12" s="56">
        <f>Entrate_Uscite!B11</f>
        <v>0</v>
      </c>
      <c r="C12" s="56">
        <f>Entrate_Uscite!E11</f>
        <v>0</v>
      </c>
      <c r="D12" s="56">
        <f>Entrate_Uscite!H11</f>
        <v>0</v>
      </c>
      <c r="E12" s="56">
        <f>Entrate_Uscite!K11</f>
        <v>0</v>
      </c>
      <c r="F12" s="56">
        <f>Entrate_Uscite!N11</f>
        <v>0</v>
      </c>
      <c r="G12" s="56">
        <f>Entrate_Uscite!Q11</f>
        <v>519150716</v>
      </c>
      <c r="H12" s="56">
        <f t="shared" si="0"/>
        <v>1.8709903998795387</v>
      </c>
      <c r="I12" s="57" t="str">
        <f t="shared" si="2"/>
        <v>-</v>
      </c>
      <c r="J12" s="56">
        <f>Entrate_Uscite!R11</f>
        <v>519150716</v>
      </c>
      <c r="K12" s="58">
        <f t="shared" si="1"/>
        <v>100</v>
      </c>
    </row>
    <row r="13" spans="1:11" x14ac:dyDescent="0.3">
      <c r="A13" s="55" t="s">
        <v>29</v>
      </c>
      <c r="B13" s="56">
        <f>Entrate_Uscite!B12</f>
        <v>37324272.68</v>
      </c>
      <c r="C13" s="56">
        <f>Entrate_Uscite!E12</f>
        <v>39883896.169999994</v>
      </c>
      <c r="D13" s="56">
        <f>Entrate_Uscite!H12</f>
        <v>60634709.950000003</v>
      </c>
      <c r="E13" s="56">
        <f>Entrate_Uscite!K12</f>
        <v>144705893.22</v>
      </c>
      <c r="F13" s="56">
        <f>Entrate_Uscite!N12</f>
        <v>203510797.92999998</v>
      </c>
      <c r="G13" s="56">
        <f>Entrate_Uscite!Q12</f>
        <v>18570793.520000003</v>
      </c>
      <c r="H13" s="56">
        <f t="shared" si="0"/>
        <v>6.6928110321753179E-2</v>
      </c>
      <c r="I13" s="57">
        <f t="shared" si="2"/>
        <v>-90.874787132234786</v>
      </c>
      <c r="J13" s="56">
        <f>Entrate_Uscite!R12</f>
        <v>18031835.850000001</v>
      </c>
      <c r="K13" s="58">
        <f t="shared" si="1"/>
        <v>97.09782099822732</v>
      </c>
    </row>
    <row r="14" spans="1:11" x14ac:dyDescent="0.3">
      <c r="A14" s="55" t="s">
        <v>30</v>
      </c>
      <c r="B14" s="56">
        <f>Entrate_Uscite!B13</f>
        <v>269019569.91000003</v>
      </c>
      <c r="C14" s="56">
        <f>Entrate_Uscite!E13</f>
        <v>257909313.78</v>
      </c>
      <c r="D14" s="56">
        <f>Entrate_Uscite!H13</f>
        <v>312419942.68000001</v>
      </c>
      <c r="E14" s="56">
        <f>Entrate_Uscite!K13</f>
        <v>261913283.18000001</v>
      </c>
      <c r="F14" s="56">
        <f>Entrate_Uscite!N13</f>
        <v>148985065.49000001</v>
      </c>
      <c r="G14" s="56">
        <f>Entrate_Uscite!Q13</f>
        <v>241743051.08000001</v>
      </c>
      <c r="H14" s="56">
        <f t="shared" si="0"/>
        <v>0.87122855438432811</v>
      </c>
      <c r="I14" s="57">
        <f t="shared" si="2"/>
        <v>62.259922016294979</v>
      </c>
      <c r="J14" s="56">
        <f>Entrate_Uscite!R13</f>
        <v>228463022.34999999</v>
      </c>
      <c r="K14" s="58">
        <f t="shared" si="1"/>
        <v>94.50655203089778</v>
      </c>
    </row>
    <row r="15" spans="1:11" x14ac:dyDescent="0.3">
      <c r="A15" s="4" t="s">
        <v>33</v>
      </c>
      <c r="B15" s="43">
        <f t="shared" ref="B15:G15" si="5">SUM(B12:B14)</f>
        <v>306343842.59000003</v>
      </c>
      <c r="C15" s="43">
        <f t="shared" si="5"/>
        <v>297793209.94999999</v>
      </c>
      <c r="D15" s="43">
        <f t="shared" si="5"/>
        <v>373054652.63</v>
      </c>
      <c r="E15" s="43">
        <f t="shared" si="5"/>
        <v>406619176.39999998</v>
      </c>
      <c r="F15" s="43">
        <f t="shared" si="5"/>
        <v>352495863.41999996</v>
      </c>
      <c r="G15" s="43">
        <f t="shared" si="5"/>
        <v>779464560.60000002</v>
      </c>
      <c r="H15" s="43">
        <f t="shared" si="0"/>
        <v>2.8091470645856198</v>
      </c>
      <c r="I15" s="44">
        <f t="shared" si="2"/>
        <v>121.12729296663133</v>
      </c>
      <c r="J15" s="43">
        <f>SUM(J12:J14)</f>
        <v>765645574.20000005</v>
      </c>
      <c r="K15" s="45">
        <f t="shared" si="1"/>
        <v>98.227118063024861</v>
      </c>
    </row>
    <row r="16" spans="1:11" x14ac:dyDescent="0.3">
      <c r="A16" s="47" t="s">
        <v>344</v>
      </c>
      <c r="B16" s="48">
        <f>B5+B11+B15</f>
        <v>23163171979.09</v>
      </c>
      <c r="C16" s="48">
        <f t="shared" ref="C16:F16" si="6">C5+C11+C15</f>
        <v>24488915925.279999</v>
      </c>
      <c r="D16" s="48">
        <f t="shared" si="6"/>
        <v>24854244884.18</v>
      </c>
      <c r="E16" s="48">
        <f t="shared" ref="E16" si="7">E5+E11+E15</f>
        <v>25248184441.579998</v>
      </c>
      <c r="F16" s="48">
        <f t="shared" si="6"/>
        <v>26422716117.419998</v>
      </c>
      <c r="G16" s="48">
        <f t="shared" ref="G16" si="8">G5+G11+G15</f>
        <v>27747374654.27</v>
      </c>
      <c r="H16" s="48">
        <f t="shared" si="0"/>
        <v>100</v>
      </c>
      <c r="I16" s="49">
        <f t="shared" si="2"/>
        <v>5.0133322061340948</v>
      </c>
      <c r="J16" s="48">
        <f t="shared" ref="J16" si="9">J5+J11+J15</f>
        <v>24018802476.909996</v>
      </c>
      <c r="K16" s="50">
        <f t="shared" si="1"/>
        <v>86.562432576711473</v>
      </c>
    </row>
    <row r="17" spans="1:11" x14ac:dyDescent="0.3">
      <c r="A17" s="4" t="s">
        <v>34</v>
      </c>
      <c r="B17" s="43">
        <f>Entrate_Uscite!B17</f>
        <v>70308425.769999996</v>
      </c>
      <c r="C17" s="43">
        <f>Entrate_Uscite!E17</f>
        <v>0</v>
      </c>
      <c r="D17" s="43">
        <f>Entrate_Uscite!H17</f>
        <v>0</v>
      </c>
      <c r="E17" s="43">
        <f>Entrate_Uscite!K17</f>
        <v>0</v>
      </c>
      <c r="F17" s="43">
        <f>Entrate_Uscite!N17</f>
        <v>276381167.73000002</v>
      </c>
      <c r="G17" s="43">
        <f>Entrate_Uscite!Q17</f>
        <v>0</v>
      </c>
      <c r="H17" s="43">
        <f t="shared" si="0"/>
        <v>0</v>
      </c>
      <c r="I17" s="44">
        <f t="shared" si="2"/>
        <v>-100</v>
      </c>
      <c r="J17" s="43">
        <f>Entrate_Uscite!R17</f>
        <v>0</v>
      </c>
      <c r="K17" s="45" t="str">
        <f t="shared" si="1"/>
        <v>-</v>
      </c>
    </row>
    <row r="18" spans="1:11" x14ac:dyDescent="0.3">
      <c r="A18" s="4" t="s">
        <v>35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>Entrate_Uscite!Q18</f>
        <v>0</v>
      </c>
      <c r="H18" s="43">
        <f t="shared" si="0"/>
        <v>0</v>
      </c>
      <c r="I18" s="44" t="str">
        <f t="shared" si="2"/>
        <v>-</v>
      </c>
      <c r="J18" s="43">
        <f>Entrate_Uscite!R18</f>
        <v>0</v>
      </c>
      <c r="K18" s="45" t="str">
        <f t="shared" si="1"/>
        <v>-</v>
      </c>
    </row>
    <row r="19" spans="1:11" x14ac:dyDescent="0.3">
      <c r="A19" s="4" t="s">
        <v>36</v>
      </c>
      <c r="B19" s="43">
        <f>Entrate_Uscite!B19</f>
        <v>9895040260.1599998</v>
      </c>
      <c r="C19" s="43">
        <f>Entrate_Uscite!E19</f>
        <v>8823563047.7000008</v>
      </c>
      <c r="D19" s="43">
        <f>Entrate_Uscite!H19</f>
        <v>6134883924.21</v>
      </c>
      <c r="E19" s="43">
        <f>Entrate_Uscite!K19</f>
        <v>4366557396.8500004</v>
      </c>
      <c r="F19" s="43">
        <f>Entrate_Uscite!N19</f>
        <v>5159227071.5600004</v>
      </c>
      <c r="G19" s="43">
        <f>Entrate_Uscite!Q19</f>
        <v>3628845793.4099998</v>
      </c>
      <c r="H19" s="43"/>
      <c r="I19" s="44">
        <f t="shared" si="2"/>
        <v>-29.662995191395169</v>
      </c>
      <c r="J19" s="43">
        <f>Entrate_Uscite!R19</f>
        <v>3512459697.6799998</v>
      </c>
      <c r="K19" s="45">
        <f t="shared" si="1"/>
        <v>96.792751680400485</v>
      </c>
    </row>
    <row r="20" spans="1:11" x14ac:dyDescent="0.3">
      <c r="A20" s="47" t="s">
        <v>37</v>
      </c>
      <c r="B20" s="48">
        <f t="shared" ref="B20:G20" si="10">B5+B11+B15+B17+B18+B19</f>
        <v>33128520665.02</v>
      </c>
      <c r="C20" s="48">
        <f t="shared" si="10"/>
        <v>33312478972.98</v>
      </c>
      <c r="D20" s="48">
        <f t="shared" si="10"/>
        <v>30989128808.389999</v>
      </c>
      <c r="E20" s="48">
        <f t="shared" si="10"/>
        <v>29614741838.43</v>
      </c>
      <c r="F20" s="48">
        <f t="shared" si="10"/>
        <v>31858324356.709999</v>
      </c>
      <c r="G20" s="48">
        <f t="shared" si="10"/>
        <v>31376220447.68</v>
      </c>
      <c r="H20" s="48"/>
      <c r="I20" s="49">
        <f t="shared" si="2"/>
        <v>-1.5132745326841359</v>
      </c>
      <c r="J20" s="48">
        <f>J5+J11+J15+J17+J18+J19</f>
        <v>27531262174.589996</v>
      </c>
      <c r="K20" s="50">
        <f t="shared" si="1"/>
        <v>87.745629593910166</v>
      </c>
    </row>
    <row r="21" spans="1:11" x14ac:dyDescent="0.3">
      <c r="A21" s="38" t="s">
        <v>38</v>
      </c>
      <c r="B21" s="51">
        <f t="shared" ref="B21:G21" si="11">B20-B19</f>
        <v>23233480404.860001</v>
      </c>
      <c r="C21" s="51">
        <f t="shared" si="11"/>
        <v>24488915925.279999</v>
      </c>
      <c r="D21" s="51">
        <f t="shared" si="11"/>
        <v>24854244884.18</v>
      </c>
      <c r="E21" s="51">
        <f t="shared" si="11"/>
        <v>25248184441.580002</v>
      </c>
      <c r="F21" s="51">
        <f t="shared" si="11"/>
        <v>26699097285.149998</v>
      </c>
      <c r="G21" s="51">
        <f t="shared" si="11"/>
        <v>27747374654.27</v>
      </c>
      <c r="H21" s="51">
        <f>G21/G$21*100</f>
        <v>100</v>
      </c>
      <c r="I21" s="52">
        <f t="shared" si="2"/>
        <v>3.9262652138544638</v>
      </c>
      <c r="J21" s="51">
        <f>J20-J19</f>
        <v>24018802476.909996</v>
      </c>
      <c r="K21" s="53">
        <f t="shared" si="1"/>
        <v>86.562432576711473</v>
      </c>
    </row>
    <row r="22" spans="1:11" x14ac:dyDescent="0.3">
      <c r="J22" s="6"/>
    </row>
    <row r="23" spans="1:11" x14ac:dyDescent="0.3">
      <c r="J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workbookViewId="0">
      <selection activeCell="G11" sqref="G11"/>
    </sheetView>
  </sheetViews>
  <sheetFormatPr defaultRowHeight="14.4" x14ac:dyDescent="0.3"/>
  <cols>
    <col min="1" max="1" width="50.6640625" customWidth="1"/>
    <col min="2" max="7" width="15.109375" bestFit="1" customWidth="1"/>
    <col min="8" max="8" width="8.5546875" customWidth="1"/>
    <col min="9" max="9" width="8.109375" customWidth="1"/>
    <col min="10" max="10" width="15.109375" bestFit="1" customWidth="1"/>
    <col min="11" max="11" width="7" bestFit="1" customWidth="1"/>
  </cols>
  <sheetData>
    <row r="1" spans="1:11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54" t="s">
        <v>296</v>
      </c>
      <c r="I1" s="42" t="s">
        <v>233</v>
      </c>
      <c r="J1" s="54" t="s">
        <v>371</v>
      </c>
      <c r="K1" s="42" t="s">
        <v>335</v>
      </c>
    </row>
    <row r="2" spans="1:11" x14ac:dyDescent="0.3">
      <c r="A2" s="59" t="s">
        <v>269</v>
      </c>
      <c r="B2" s="56">
        <f>Entrate_Uscite!B23</f>
        <v>159672366.25999999</v>
      </c>
      <c r="C2" s="56">
        <f>Entrate_Uscite!E23</f>
        <v>159491848.91999999</v>
      </c>
      <c r="D2" s="56">
        <f>Entrate_Uscite!H23</f>
        <v>163564468.69</v>
      </c>
      <c r="E2" s="56">
        <f>Entrate_Uscite!K23</f>
        <v>157141990.25999999</v>
      </c>
      <c r="F2" s="56">
        <f>Entrate_Uscite!N23</f>
        <v>149952925.49000001</v>
      </c>
      <c r="G2" s="56">
        <f>Entrate_Uscite!Q23</f>
        <v>153384017.84</v>
      </c>
      <c r="H2" s="56">
        <f t="shared" ref="H2:H28" si="0">G2/G$31*100</f>
        <v>0.55046585057708475</v>
      </c>
      <c r="I2" s="57">
        <f>IF(F2&gt;0,G2/F2*100-100,"-")</f>
        <v>2.2881129786486127</v>
      </c>
      <c r="J2" s="56">
        <f>Entrate_Uscite!R23</f>
        <v>150567310.53</v>
      </c>
      <c r="K2" s="58">
        <f t="shared" ref="K2:K31" si="1">IF(G2&gt;0,J2/G2*100,"-")</f>
        <v>98.163623987905837</v>
      </c>
    </row>
    <row r="3" spans="1:11" x14ac:dyDescent="0.3">
      <c r="A3" s="59" t="s">
        <v>270</v>
      </c>
      <c r="B3" s="56">
        <f>Entrate_Uscite!B24</f>
        <v>12080781.75</v>
      </c>
      <c r="C3" s="56">
        <f>Entrate_Uscite!E24</f>
        <v>12674177.43</v>
      </c>
      <c r="D3" s="56">
        <f>Entrate_Uscite!H24</f>
        <v>12556579.630000001</v>
      </c>
      <c r="E3" s="56">
        <f>Entrate_Uscite!K24</f>
        <v>12474915.189999999</v>
      </c>
      <c r="F3" s="56">
        <f>Entrate_Uscite!N24</f>
        <v>12819318.619999999</v>
      </c>
      <c r="G3" s="56">
        <f>Entrate_Uscite!Q24</f>
        <v>12625179.93</v>
      </c>
      <c r="H3" s="56">
        <f t="shared" si="0"/>
        <v>4.5309351695987557E-2</v>
      </c>
      <c r="I3" s="57">
        <f t="shared" ref="I3:I31" si="2">IF(F3&gt;0,G3/F3*100-100,"-")</f>
        <v>-1.5144228469141439</v>
      </c>
      <c r="J3" s="56">
        <f>Entrate_Uscite!R24</f>
        <v>11464348.08</v>
      </c>
      <c r="K3" s="58">
        <f t="shared" si="1"/>
        <v>90.805423317242187</v>
      </c>
    </row>
    <row r="4" spans="1:11" x14ac:dyDescent="0.3">
      <c r="A4" s="59" t="s">
        <v>271</v>
      </c>
      <c r="B4" s="56">
        <f>Entrate_Uscite!B25</f>
        <v>1323173590.5599999</v>
      </c>
      <c r="C4" s="56">
        <f>Entrate_Uscite!E25</f>
        <v>1303994382.78</v>
      </c>
      <c r="D4" s="56">
        <f>Entrate_Uscite!H25</f>
        <v>1409922745.6199999</v>
      </c>
      <c r="E4" s="56">
        <f>Entrate_Uscite!K25</f>
        <v>1442225361.4200001</v>
      </c>
      <c r="F4" s="56">
        <f>Entrate_Uscite!N25</f>
        <v>1639202110.51</v>
      </c>
      <c r="G4" s="56">
        <f>Entrate_Uscite!Q25</f>
        <v>1343542817.6700001</v>
      </c>
      <c r="H4" s="56">
        <f t="shared" si="0"/>
        <v>4.8217177404162443</v>
      </c>
      <c r="I4" s="57">
        <f t="shared" si="2"/>
        <v>-18.036780879205452</v>
      </c>
      <c r="J4" s="56">
        <f>Entrate_Uscite!R25</f>
        <v>1039516482.64</v>
      </c>
      <c r="K4" s="58">
        <f t="shared" si="1"/>
        <v>77.37129542642721</v>
      </c>
    </row>
    <row r="5" spans="1:11" x14ac:dyDescent="0.3">
      <c r="A5" s="59" t="s">
        <v>272</v>
      </c>
      <c r="B5" s="56">
        <f>Entrate_Uscite!B26</f>
        <v>20006431744.049999</v>
      </c>
      <c r="C5" s="56">
        <f>Entrate_Uscite!E26</f>
        <v>20407900293.540001</v>
      </c>
      <c r="D5" s="56">
        <f>Entrate_Uscite!H26</f>
        <v>21039539727.09</v>
      </c>
      <c r="E5" s="56">
        <f>Entrate_Uscite!K26</f>
        <v>21347923106.509998</v>
      </c>
      <c r="F5" s="56">
        <f>Entrate_Uscite!N26</f>
        <v>22342274257.610001</v>
      </c>
      <c r="G5" s="56">
        <f>Entrate_Uscite!Q26</f>
        <v>23811659747.299999</v>
      </c>
      <c r="H5" s="56">
        <f t="shared" si="0"/>
        <v>85.455484352499511</v>
      </c>
      <c r="I5" s="57">
        <f t="shared" si="2"/>
        <v>6.5767050961229359</v>
      </c>
      <c r="J5" s="56">
        <f>Entrate_Uscite!R26</f>
        <v>20506276024.290001</v>
      </c>
      <c r="K5" s="58">
        <f t="shared" si="1"/>
        <v>86.118633652218236</v>
      </c>
    </row>
    <row r="6" spans="1:11" x14ac:dyDescent="0.3">
      <c r="A6" s="59" t="s">
        <v>273</v>
      </c>
      <c r="B6" s="56">
        <f>Entrate_Uscite!B29</f>
        <v>102565008.42</v>
      </c>
      <c r="C6" s="56">
        <f>Entrate_Uscite!E29</f>
        <v>87814032.890000001</v>
      </c>
      <c r="D6" s="56">
        <f>Entrate_Uscite!H29</f>
        <v>86791739.060000002</v>
      </c>
      <c r="E6" s="56">
        <f>Entrate_Uscite!K29</f>
        <v>86614977.269999996</v>
      </c>
      <c r="F6" s="56">
        <f>Entrate_Uscite!N29</f>
        <v>82739580.379999995</v>
      </c>
      <c r="G6" s="56">
        <f>Entrate_Uscite!Q29</f>
        <v>77724706.829999998</v>
      </c>
      <c r="H6" s="56">
        <f t="shared" si="0"/>
        <v>0.27893908021538955</v>
      </c>
      <c r="I6" s="57">
        <f t="shared" si="2"/>
        <v>-6.0610333373314944</v>
      </c>
      <c r="J6" s="56">
        <f>Entrate_Uscite!R29</f>
        <v>77724706.829999998</v>
      </c>
      <c r="K6" s="58">
        <f t="shared" si="1"/>
        <v>100</v>
      </c>
    </row>
    <row r="7" spans="1:11" x14ac:dyDescent="0.3">
      <c r="A7" s="59" t="s">
        <v>274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>Entrate_Uscite!Q30</f>
        <v>0</v>
      </c>
      <c r="H7" s="56">
        <f t="shared" si="0"/>
        <v>0</v>
      </c>
      <c r="I7" s="57" t="str">
        <f t="shared" si="2"/>
        <v>-</v>
      </c>
      <c r="J7" s="56">
        <f>Entrate_Uscite!R30</f>
        <v>0</v>
      </c>
      <c r="K7" s="58" t="str">
        <f t="shared" si="1"/>
        <v>-</v>
      </c>
    </row>
    <row r="8" spans="1:11" x14ac:dyDescent="0.3">
      <c r="A8" s="59" t="s">
        <v>275</v>
      </c>
      <c r="B8" s="56">
        <f>Entrate_Uscite!B31</f>
        <v>71444351.980000004</v>
      </c>
      <c r="C8" s="56">
        <f>Entrate_Uscite!E31</f>
        <v>909824657.52999997</v>
      </c>
      <c r="D8" s="56">
        <f>Entrate_Uscite!H31</f>
        <v>207585794.40000001</v>
      </c>
      <c r="E8" s="56">
        <f>Entrate_Uscite!K31</f>
        <v>92914411.019999996</v>
      </c>
      <c r="F8" s="56">
        <f>Entrate_Uscite!N31</f>
        <v>259075132.33000001</v>
      </c>
      <c r="G8" s="56">
        <f>Entrate_Uscite!Q31</f>
        <v>73346041.840000004</v>
      </c>
      <c r="H8" s="56">
        <f t="shared" si="0"/>
        <v>0.26322489054911857</v>
      </c>
      <c r="I8" s="57">
        <f t="shared" si="2"/>
        <v>-71.689277477015963</v>
      </c>
      <c r="J8" s="56">
        <f>Entrate_Uscite!R31</f>
        <v>7090281.5300000003</v>
      </c>
      <c r="K8" s="58">
        <f t="shared" si="1"/>
        <v>9.666890471699924</v>
      </c>
    </row>
    <row r="9" spans="1:11" x14ac:dyDescent="0.3">
      <c r="A9" s="59" t="s">
        <v>276</v>
      </c>
      <c r="B9" s="56">
        <f>Entrate_Uscite!B32</f>
        <v>8020895.7300000004</v>
      </c>
      <c r="C9" s="56">
        <f>Entrate_Uscite!E32</f>
        <v>5217132.6500000004</v>
      </c>
      <c r="D9" s="56">
        <f>Entrate_Uscite!H32</f>
        <v>6298973.5899999999</v>
      </c>
      <c r="E9" s="56">
        <f>Entrate_Uscite!K32</f>
        <v>7121434.8200000003</v>
      </c>
      <c r="F9" s="56">
        <f>Entrate_Uscite!N32</f>
        <v>5959991.5199999996</v>
      </c>
      <c r="G9" s="56">
        <f>Entrate_Uscite!Q32</f>
        <v>16881818.32</v>
      </c>
      <c r="H9" s="56">
        <f t="shared" si="0"/>
        <v>6.058561127600863E-2</v>
      </c>
      <c r="I9" s="57">
        <f t="shared" si="2"/>
        <v>183.25238825172022</v>
      </c>
      <c r="J9" s="56">
        <f>Entrate_Uscite!R32</f>
        <v>16350722.460000001</v>
      </c>
      <c r="K9" s="58">
        <f t="shared" si="1"/>
        <v>96.854036396240531</v>
      </c>
    </row>
    <row r="10" spans="1:11" x14ac:dyDescent="0.3">
      <c r="A10" s="4" t="s">
        <v>281</v>
      </c>
      <c r="B10" s="43">
        <f t="shared" ref="B10:G10" si="3">SUM(B2:B9)</f>
        <v>21683388738.749996</v>
      </c>
      <c r="C10" s="43">
        <f t="shared" si="3"/>
        <v>22886916525.740002</v>
      </c>
      <c r="D10" s="43">
        <f t="shared" si="3"/>
        <v>22926260028.080002</v>
      </c>
      <c r="E10" s="43">
        <f t="shared" si="3"/>
        <v>23146416196.489998</v>
      </c>
      <c r="F10" s="43">
        <f t="shared" si="3"/>
        <v>24492023316.460003</v>
      </c>
      <c r="G10" s="43">
        <f t="shared" si="3"/>
        <v>25489164329.73</v>
      </c>
      <c r="H10" s="43">
        <f t="shared" si="0"/>
        <v>91.475726877229349</v>
      </c>
      <c r="I10" s="44">
        <f t="shared" si="2"/>
        <v>4.0712888452946459</v>
      </c>
      <c r="J10" s="43">
        <f>SUM(J2:J9)</f>
        <v>21808989876.360001</v>
      </c>
      <c r="K10" s="45">
        <f t="shared" si="1"/>
        <v>85.561808124570319</v>
      </c>
    </row>
    <row r="11" spans="1:11" x14ac:dyDescent="0.3">
      <c r="A11" s="59" t="s">
        <v>277</v>
      </c>
      <c r="B11" s="56">
        <f>Entrate_Uscite!B34</f>
        <v>46474905.880000003</v>
      </c>
      <c r="C11" s="56">
        <f>Entrate_Uscite!E34</f>
        <v>58511788.740000002</v>
      </c>
      <c r="D11" s="56">
        <f>Entrate_Uscite!H34</f>
        <v>37848835.609999999</v>
      </c>
      <c r="E11" s="56">
        <f>Entrate_Uscite!K34</f>
        <v>46136525.539999999</v>
      </c>
      <c r="F11" s="56">
        <f>Entrate_Uscite!N34</f>
        <v>45558704.579999998</v>
      </c>
      <c r="G11" s="56">
        <f>Entrate_Uscite!Q34</f>
        <v>59478785.43</v>
      </c>
      <c r="H11" s="56">
        <f t="shared" si="0"/>
        <v>0.21345796435695238</v>
      </c>
      <c r="I11" s="57">
        <f t="shared" si="2"/>
        <v>30.554162982304888</v>
      </c>
      <c r="J11" s="56">
        <f>Entrate_Uscite!R34</f>
        <v>25976216.670000002</v>
      </c>
      <c r="K11" s="58">
        <f t="shared" si="1"/>
        <v>43.673078530783307</v>
      </c>
    </row>
    <row r="12" spans="1:11" x14ac:dyDescent="0.3">
      <c r="A12" s="59" t="s">
        <v>278</v>
      </c>
      <c r="B12" s="56">
        <f>Entrate_Uscite!B35</f>
        <v>1074443868.5799999</v>
      </c>
      <c r="C12" s="56">
        <f>Entrate_Uscite!E35</f>
        <v>815862143.75</v>
      </c>
      <c r="D12" s="56">
        <f>Entrate_Uscite!H35</f>
        <v>939459814.66999996</v>
      </c>
      <c r="E12" s="56">
        <f>Entrate_Uscite!K35</f>
        <v>995217862.92999995</v>
      </c>
      <c r="F12" s="56">
        <f>Entrate_Uscite!N35</f>
        <v>1197689658.6500001</v>
      </c>
      <c r="G12" s="56">
        <f>Entrate_Uscite!Q35</f>
        <v>1610465173.24</v>
      </c>
      <c r="H12" s="56">
        <f t="shared" si="0"/>
        <v>5.7796509303666364</v>
      </c>
      <c r="I12" s="57">
        <f t="shared" si="2"/>
        <v>34.464313155652377</v>
      </c>
      <c r="J12" s="56">
        <f>Entrate_Uscite!R35</f>
        <v>1080509371.3800001</v>
      </c>
      <c r="K12" s="58">
        <f t="shared" si="1"/>
        <v>67.092998304718805</v>
      </c>
    </row>
    <row r="13" spans="1:11" x14ac:dyDescent="0.3">
      <c r="A13" s="59" t="s">
        <v>279</v>
      </c>
      <c r="B13" s="56">
        <f>Entrate_Uscite!B36</f>
        <v>0</v>
      </c>
      <c r="C13" s="56">
        <f>Entrate_Uscite!E36</f>
        <v>0</v>
      </c>
      <c r="D13" s="56">
        <f>Entrate_Uscite!H36</f>
        <v>0</v>
      </c>
      <c r="E13" s="56">
        <f>Entrate_Uscite!K36</f>
        <v>0</v>
      </c>
      <c r="F13" s="56">
        <f>Entrate_Uscite!N36</f>
        <v>0</v>
      </c>
      <c r="G13" s="56">
        <f>Entrate_Uscite!Q36</f>
        <v>0</v>
      </c>
      <c r="H13" s="56">
        <f t="shared" si="0"/>
        <v>0</v>
      </c>
      <c r="I13" s="57" t="str">
        <f t="shared" si="2"/>
        <v>-</v>
      </c>
      <c r="J13" s="56">
        <f>Entrate_Uscite!R36</f>
        <v>0</v>
      </c>
      <c r="K13" s="58" t="str">
        <f t="shared" si="1"/>
        <v>-</v>
      </c>
    </row>
    <row r="14" spans="1:11" x14ac:dyDescent="0.3">
      <c r="A14" s="59" t="s">
        <v>280</v>
      </c>
      <c r="B14" s="56">
        <f>Entrate_Uscite!B37</f>
        <v>3011357.22</v>
      </c>
      <c r="C14" s="56">
        <f>Entrate_Uscite!E37</f>
        <v>18329409</v>
      </c>
      <c r="D14" s="56">
        <f>Entrate_Uscite!H37</f>
        <v>20576970.219999999</v>
      </c>
      <c r="E14" s="56">
        <f>Entrate_Uscite!K37</f>
        <v>19072495.07</v>
      </c>
      <c r="F14" s="56">
        <f>Entrate_Uscite!N37</f>
        <v>0</v>
      </c>
      <c r="G14" s="56">
        <f>Entrate_Uscite!Q37</f>
        <v>20760071.25</v>
      </c>
      <c r="H14" s="56">
        <f t="shared" si="0"/>
        <v>7.4503917941390482E-2</v>
      </c>
      <c r="I14" s="107" t="str">
        <f t="shared" si="2"/>
        <v>-</v>
      </c>
      <c r="J14" s="56">
        <f>Entrate_Uscite!R37</f>
        <v>266022.39</v>
      </c>
      <c r="K14" s="58">
        <f t="shared" si="1"/>
        <v>1.2814136656684163</v>
      </c>
    </row>
    <row r="15" spans="1:11" x14ac:dyDescent="0.3">
      <c r="A15" s="4" t="s">
        <v>282</v>
      </c>
      <c r="B15" s="46">
        <f t="shared" ref="B15:G15" si="4">SUM(B11:B14)</f>
        <v>1123930131.6800001</v>
      </c>
      <c r="C15" s="46">
        <f t="shared" si="4"/>
        <v>892703341.49000001</v>
      </c>
      <c r="D15" s="46">
        <f t="shared" si="4"/>
        <v>997885620.5</v>
      </c>
      <c r="E15" s="46">
        <f t="shared" si="4"/>
        <v>1060426883.54</v>
      </c>
      <c r="F15" s="46">
        <f t="shared" si="4"/>
        <v>1243248363.23</v>
      </c>
      <c r="G15" s="46">
        <f t="shared" si="4"/>
        <v>1690704029.9200001</v>
      </c>
      <c r="H15" s="46">
        <f t="shared" si="0"/>
        <v>6.0676128126649793</v>
      </c>
      <c r="I15" s="44">
        <f t="shared" si="2"/>
        <v>35.990851057908941</v>
      </c>
      <c r="J15" s="46">
        <f>SUM(J11:J14)</f>
        <v>1106751610.4400003</v>
      </c>
      <c r="K15" s="45">
        <f t="shared" si="1"/>
        <v>65.460990856712456</v>
      </c>
    </row>
    <row r="16" spans="1:11" x14ac:dyDescent="0.3">
      <c r="A16" s="59" t="s">
        <v>283</v>
      </c>
      <c r="B16" s="56">
        <f>Entrate_Uscite!B38</f>
        <v>764987</v>
      </c>
      <c r="C16" s="56">
        <f>Entrate_Uscite!E38</f>
        <v>20000000</v>
      </c>
      <c r="D16" s="56">
        <f>Entrate_Uscite!H38</f>
        <v>2000000</v>
      </c>
      <c r="E16" s="56">
        <f>Entrate_Uscite!K38</f>
        <v>112338575.91</v>
      </c>
      <c r="F16" s="56">
        <f>Entrate_Uscite!N38</f>
        <v>27591152</v>
      </c>
      <c r="G16" s="56">
        <f>Entrate_Uscite!Q38</f>
        <v>360100000</v>
      </c>
      <c r="H16" s="56">
        <f t="shared" si="0"/>
        <v>1.2923299023212511</v>
      </c>
      <c r="I16" s="57">
        <f t="shared" si="2"/>
        <v>1205.1285426574432</v>
      </c>
      <c r="J16" s="56">
        <f>Entrate_Uscite!R38</f>
        <v>360100000</v>
      </c>
      <c r="K16" s="58">
        <f t="shared" si="1"/>
        <v>100</v>
      </c>
    </row>
    <row r="17" spans="1:11" x14ac:dyDescent="0.3">
      <c r="A17" s="59" t="s">
        <v>284</v>
      </c>
      <c r="B17" s="56">
        <f>Entrate_Uscite!B39</f>
        <v>0</v>
      </c>
      <c r="C17" s="56">
        <f>Entrate_Uscite!E39</f>
        <v>0</v>
      </c>
      <c r="D17" s="56">
        <f>Entrate_Uscite!H39</f>
        <v>0</v>
      </c>
      <c r="E17" s="56">
        <f>Entrate_Uscite!K39</f>
        <v>120000000</v>
      </c>
      <c r="F17" s="56">
        <f>Entrate_Uscite!N39</f>
        <v>180000000</v>
      </c>
      <c r="G17" s="56">
        <f>Entrate_Uscite!Q39</f>
        <v>0</v>
      </c>
      <c r="H17" s="56">
        <f t="shared" si="0"/>
        <v>0</v>
      </c>
      <c r="I17" s="57">
        <f t="shared" si="2"/>
        <v>-100</v>
      </c>
      <c r="J17" s="56">
        <f>Entrate_Uscite!R39</f>
        <v>0</v>
      </c>
      <c r="K17" s="58" t="str">
        <f t="shared" si="1"/>
        <v>-</v>
      </c>
    </row>
    <row r="18" spans="1:11" x14ac:dyDescent="0.3">
      <c r="A18" s="59" t="s">
        <v>285</v>
      </c>
      <c r="B18" s="56">
        <f>Entrate_Uscite!B40</f>
        <v>12900366.07</v>
      </c>
      <c r="C18" s="56">
        <f>Entrate_Uscite!E40</f>
        <v>13098166.27</v>
      </c>
      <c r="D18" s="56">
        <f>Entrate_Uscite!H40</f>
        <v>35000000</v>
      </c>
      <c r="E18" s="56">
        <f>Entrate_Uscite!K40</f>
        <v>1026637.05</v>
      </c>
      <c r="F18" s="56">
        <f>Entrate_Uscite!N40</f>
        <v>1807232.42</v>
      </c>
      <c r="G18" s="56">
        <f>Entrate_Uscite!Q40</f>
        <v>447397.3</v>
      </c>
      <c r="H18" s="56">
        <f t="shared" si="0"/>
        <v>1.6056231852479628E-3</v>
      </c>
      <c r="I18" s="57">
        <f t="shared" si="2"/>
        <v>-75.244064070076831</v>
      </c>
      <c r="J18" s="56">
        <f>Entrate_Uscite!R40</f>
        <v>447397.3</v>
      </c>
      <c r="K18" s="58">
        <f t="shared" si="1"/>
        <v>100</v>
      </c>
    </row>
    <row r="19" spans="1:11" x14ac:dyDescent="0.3">
      <c r="A19" s="59" t="s">
        <v>286</v>
      </c>
      <c r="B19" s="56">
        <f>Entrate_Uscite!B41</f>
        <v>87248743.739999995</v>
      </c>
      <c r="C19" s="56">
        <f>Entrate_Uscite!E41</f>
        <v>261685543.28</v>
      </c>
      <c r="D19" s="56">
        <f>Entrate_Uscite!H41</f>
        <v>313034618.69999999</v>
      </c>
      <c r="E19" s="56">
        <f>Entrate_Uscite!K41</f>
        <v>263071540.62</v>
      </c>
      <c r="F19" s="56">
        <f>Entrate_Uscite!N41</f>
        <v>150221744.74000001</v>
      </c>
      <c r="G19" s="56">
        <f>Entrate_Uscite!Q41</f>
        <v>243037354.08000001</v>
      </c>
      <c r="H19" s="56">
        <f t="shared" si="0"/>
        <v>0.87221449613613367</v>
      </c>
      <c r="I19" s="57">
        <f t="shared" si="2"/>
        <v>61.785735148159091</v>
      </c>
      <c r="J19" s="56">
        <f>Entrate_Uscite!R41</f>
        <v>230884563.44</v>
      </c>
      <c r="K19" s="58">
        <f t="shared" si="1"/>
        <v>94.999620249321964</v>
      </c>
    </row>
    <row r="20" spans="1:11" x14ac:dyDescent="0.3">
      <c r="A20" s="4" t="s">
        <v>287</v>
      </c>
      <c r="B20" s="43">
        <f t="shared" ref="B20:G20" si="5">SUM(B16:B19)</f>
        <v>100914096.81</v>
      </c>
      <c r="C20" s="43">
        <f t="shared" si="5"/>
        <v>294783709.55000001</v>
      </c>
      <c r="D20" s="43">
        <f t="shared" si="5"/>
        <v>350034618.69999999</v>
      </c>
      <c r="E20" s="43">
        <f t="shared" si="5"/>
        <v>496436753.58000004</v>
      </c>
      <c r="F20" s="43">
        <f t="shared" si="5"/>
        <v>359620129.15999997</v>
      </c>
      <c r="G20" s="43">
        <f t="shared" si="5"/>
        <v>603584751.38</v>
      </c>
      <c r="H20" s="43">
        <f t="shared" si="0"/>
        <v>2.1661500216426326</v>
      </c>
      <c r="I20" s="44">
        <f t="shared" si="2"/>
        <v>67.839534675061742</v>
      </c>
      <c r="J20" s="43">
        <f>SUM(J16:J19)</f>
        <v>591431960.74000001</v>
      </c>
      <c r="K20" s="40">
        <f t="shared" si="1"/>
        <v>97.986564337118438</v>
      </c>
    </row>
    <row r="21" spans="1:11" x14ac:dyDescent="0.3">
      <c r="A21" s="47" t="s">
        <v>345</v>
      </c>
      <c r="B21" s="48">
        <f t="shared" ref="B21:G21" si="6">B10+B15+B20</f>
        <v>22908232967.239998</v>
      </c>
      <c r="C21" s="48">
        <f t="shared" si="6"/>
        <v>24074403576.780003</v>
      </c>
      <c r="D21" s="48">
        <f t="shared" si="6"/>
        <v>24274180267.280003</v>
      </c>
      <c r="E21" s="48">
        <f t="shared" si="6"/>
        <v>24703279833.610001</v>
      </c>
      <c r="F21" s="48">
        <f t="shared" si="6"/>
        <v>26094891808.850002</v>
      </c>
      <c r="G21" s="48">
        <f t="shared" si="6"/>
        <v>27783453111.030003</v>
      </c>
      <c r="H21" s="48">
        <f t="shared" si="0"/>
        <v>99.709489711536975</v>
      </c>
      <c r="I21" s="49">
        <f t="shared" si="2"/>
        <v>6.4708499830121013</v>
      </c>
      <c r="J21" s="48">
        <f>J10+J15+J20</f>
        <v>23507173447.540001</v>
      </c>
      <c r="K21" s="50">
        <f t="shared" si="1"/>
        <v>84.608537871801389</v>
      </c>
    </row>
    <row r="22" spans="1:11" x14ac:dyDescent="0.3">
      <c r="A22" s="59" t="s">
        <v>288</v>
      </c>
      <c r="B22" s="60">
        <f>Entrate_Uscite!B42</f>
        <v>0</v>
      </c>
      <c r="C22" s="60">
        <f>Entrate_Uscite!E42</f>
        <v>0</v>
      </c>
      <c r="D22" s="60">
        <f>Entrate_Uscite!H42</f>
        <v>0</v>
      </c>
      <c r="E22" s="60">
        <f>Entrate_Uscite!K42</f>
        <v>0</v>
      </c>
      <c r="F22" s="60">
        <f>Entrate_Uscite!N42</f>
        <v>0</v>
      </c>
      <c r="G22" s="60">
        <f>Entrate_Uscite!Q42</f>
        <v>0</v>
      </c>
      <c r="H22" s="60">
        <f t="shared" si="0"/>
        <v>0</v>
      </c>
      <c r="I22" s="61" t="str">
        <f t="shared" si="2"/>
        <v>-</v>
      </c>
      <c r="J22" s="60">
        <f>Entrate_Uscite!R42</f>
        <v>0</v>
      </c>
      <c r="K22" s="58" t="str">
        <f t="shared" si="1"/>
        <v>-</v>
      </c>
    </row>
    <row r="23" spans="1:11" x14ac:dyDescent="0.3">
      <c r="A23" s="59" t="s">
        <v>289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>Entrate_Uscite!Q43</f>
        <v>0</v>
      </c>
      <c r="H23" s="60">
        <f t="shared" si="0"/>
        <v>0</v>
      </c>
      <c r="I23" s="61" t="str">
        <f t="shared" si="2"/>
        <v>-</v>
      </c>
      <c r="J23" s="60">
        <f>Entrate_Uscite!R43</f>
        <v>0</v>
      </c>
      <c r="K23" s="58" t="str">
        <f t="shared" si="1"/>
        <v>-</v>
      </c>
    </row>
    <row r="24" spans="1:11" x14ac:dyDescent="0.3">
      <c r="A24" s="59" t="s">
        <v>290</v>
      </c>
      <c r="B24" s="60">
        <f>Entrate_Uscite!B44</f>
        <v>362479140.79000002</v>
      </c>
      <c r="C24" s="60">
        <f>Entrate_Uscite!E44</f>
        <v>62708263.060000002</v>
      </c>
      <c r="D24" s="60">
        <f>Entrate_Uscite!H44</f>
        <v>68378551.859999999</v>
      </c>
      <c r="E24" s="60">
        <f>Entrate_Uscite!K44</f>
        <v>69397972.129999995</v>
      </c>
      <c r="F24" s="60">
        <f>Entrate_Uscite!N44</f>
        <v>348683608.64999998</v>
      </c>
      <c r="G24" s="60">
        <f>Entrate_Uscite!Q44</f>
        <v>80948954.819999993</v>
      </c>
      <c r="H24" s="60">
        <f t="shared" si="0"/>
        <v>0.29051028846303234</v>
      </c>
      <c r="I24" s="61">
        <f t="shared" si="2"/>
        <v>-76.784410619870982</v>
      </c>
      <c r="J24" s="60">
        <f>Entrate_Uscite!R44</f>
        <v>80948954.819999993</v>
      </c>
      <c r="K24" s="58">
        <f t="shared" si="1"/>
        <v>100</v>
      </c>
    </row>
    <row r="25" spans="1:11" x14ac:dyDescent="0.3">
      <c r="A25" s="59" t="s">
        <v>291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>Entrate_Uscite!Q45</f>
        <v>0</v>
      </c>
      <c r="H25" s="60">
        <f t="shared" si="0"/>
        <v>0</v>
      </c>
      <c r="I25" s="61" t="str">
        <f t="shared" si="2"/>
        <v>-</v>
      </c>
      <c r="J25" s="60">
        <f>Entrate_Uscite!R45</f>
        <v>0</v>
      </c>
      <c r="K25" s="58" t="str">
        <f t="shared" si="1"/>
        <v>-</v>
      </c>
    </row>
    <row r="26" spans="1:11" x14ac:dyDescent="0.3">
      <c r="A26" s="59" t="s">
        <v>292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>Entrate_Uscite!Q46</f>
        <v>0</v>
      </c>
      <c r="H26" s="60">
        <f t="shared" si="0"/>
        <v>0</v>
      </c>
      <c r="I26" s="61" t="str">
        <f t="shared" si="2"/>
        <v>-</v>
      </c>
      <c r="J26" s="60">
        <f>Entrate_Uscite!R46</f>
        <v>0</v>
      </c>
      <c r="K26" s="58" t="str">
        <f t="shared" si="1"/>
        <v>-</v>
      </c>
    </row>
    <row r="27" spans="1:11" x14ac:dyDescent="0.3">
      <c r="A27" s="4" t="s">
        <v>293</v>
      </c>
      <c r="B27" s="43">
        <f t="shared" ref="B27:G27" si="7">SUM(B22:B26)</f>
        <v>362479140.79000002</v>
      </c>
      <c r="C27" s="43">
        <f t="shared" si="7"/>
        <v>62708263.060000002</v>
      </c>
      <c r="D27" s="43">
        <f t="shared" si="7"/>
        <v>68378551.859999999</v>
      </c>
      <c r="E27" s="43">
        <f t="shared" si="7"/>
        <v>69397972.129999995</v>
      </c>
      <c r="F27" s="43">
        <f t="shared" si="7"/>
        <v>348683608.64999998</v>
      </c>
      <c r="G27" s="43">
        <f t="shared" si="7"/>
        <v>80948954.819999993</v>
      </c>
      <c r="H27" s="43">
        <f t="shared" si="0"/>
        <v>0.29051028846303234</v>
      </c>
      <c r="I27" s="44">
        <f t="shared" si="2"/>
        <v>-76.784410619870982</v>
      </c>
      <c r="J27" s="43">
        <f>SUM(J22:J26)</f>
        <v>80948954.819999993</v>
      </c>
      <c r="K27" s="45">
        <f t="shared" si="1"/>
        <v>100</v>
      </c>
    </row>
    <row r="28" spans="1:11" x14ac:dyDescent="0.3">
      <c r="A28" s="4" t="s">
        <v>294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>Entrate_Uscite!Q54</f>
        <v>0</v>
      </c>
      <c r="H28" s="43">
        <f t="shared" si="0"/>
        <v>0</v>
      </c>
      <c r="I28" s="44" t="str">
        <f t="shared" si="2"/>
        <v>-</v>
      </c>
      <c r="J28" s="43">
        <f>Entrate_Uscite!R54</f>
        <v>0</v>
      </c>
      <c r="K28" s="45" t="str">
        <f t="shared" si="1"/>
        <v>-</v>
      </c>
    </row>
    <row r="29" spans="1:11" x14ac:dyDescent="0.3">
      <c r="A29" s="4" t="s">
        <v>295</v>
      </c>
      <c r="B29" s="43">
        <f>Entrate_Uscite!B55</f>
        <v>9895040260.1599998</v>
      </c>
      <c r="C29" s="43">
        <f>Entrate_Uscite!E55</f>
        <v>8823563047.7000008</v>
      </c>
      <c r="D29" s="43">
        <f>Entrate_Uscite!H55</f>
        <v>6134883924.21</v>
      </c>
      <c r="E29" s="43">
        <f>Entrate_Uscite!K55</f>
        <v>4366557396.8500004</v>
      </c>
      <c r="F29" s="43">
        <f>Entrate_Uscite!N55</f>
        <v>5159227071.5599995</v>
      </c>
      <c r="G29" s="43">
        <f>Entrate_Uscite!Q55</f>
        <v>3628845793.4099998</v>
      </c>
      <c r="H29" s="43"/>
      <c r="I29" s="44">
        <f t="shared" si="2"/>
        <v>-29.662995191395154</v>
      </c>
      <c r="J29" s="43">
        <f>Entrate_Uscite!R55</f>
        <v>1419195096.5799999</v>
      </c>
      <c r="K29" s="45">
        <f t="shared" si="1"/>
        <v>39.108718787589829</v>
      </c>
    </row>
    <row r="30" spans="1:11" x14ac:dyDescent="0.3">
      <c r="A30" s="47" t="s">
        <v>69</v>
      </c>
      <c r="B30" s="48">
        <f t="shared" ref="B30:G30" si="8">B10+B15+B20+B27+B28+B29</f>
        <v>33165752368.189999</v>
      </c>
      <c r="C30" s="48">
        <f t="shared" si="8"/>
        <v>32960674887.540005</v>
      </c>
      <c r="D30" s="48">
        <f t="shared" si="8"/>
        <v>30477442743.350002</v>
      </c>
      <c r="E30" s="48">
        <f t="shared" si="8"/>
        <v>29139235202.590004</v>
      </c>
      <c r="F30" s="48">
        <f t="shared" si="8"/>
        <v>31602802489.060005</v>
      </c>
      <c r="G30" s="48">
        <f t="shared" si="8"/>
        <v>31493247859.260002</v>
      </c>
      <c r="H30" s="48"/>
      <c r="I30" s="49">
        <f t="shared" si="2"/>
        <v>-0.34666112234168622</v>
      </c>
      <c r="J30" s="48">
        <f>J10+J15+J20+J27+J28+J29</f>
        <v>25007317498.940002</v>
      </c>
      <c r="K30" s="50">
        <f t="shared" si="1"/>
        <v>79.405330344761722</v>
      </c>
    </row>
    <row r="31" spans="1:11" x14ac:dyDescent="0.3">
      <c r="A31" s="38" t="s">
        <v>70</v>
      </c>
      <c r="B31" s="51">
        <f t="shared" ref="B31:G31" si="9">B30-B29</f>
        <v>23270712108.029999</v>
      </c>
      <c r="C31" s="51">
        <f t="shared" si="9"/>
        <v>24137111839.840004</v>
      </c>
      <c r="D31" s="51">
        <f t="shared" si="9"/>
        <v>24342558819.140003</v>
      </c>
      <c r="E31" s="51">
        <f t="shared" si="9"/>
        <v>24772677805.740005</v>
      </c>
      <c r="F31" s="51">
        <f t="shared" si="9"/>
        <v>26443575417.500008</v>
      </c>
      <c r="G31" s="51">
        <f t="shared" si="9"/>
        <v>27864402065.850002</v>
      </c>
      <c r="H31" s="51">
        <f>G31/G$31*100</f>
        <v>100</v>
      </c>
      <c r="I31" s="52">
        <f t="shared" si="2"/>
        <v>5.3730504514518458</v>
      </c>
      <c r="J31" s="51">
        <f>J30-J29</f>
        <v>23588122402.360001</v>
      </c>
      <c r="K31" s="53">
        <f t="shared" si="1"/>
        <v>84.6532516528287</v>
      </c>
    </row>
    <row r="32" spans="1:11" x14ac:dyDescent="0.3">
      <c r="J32" s="6"/>
    </row>
    <row r="33" spans="10:10" x14ac:dyDescent="0.3">
      <c r="J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topLeftCell="A25" workbookViewId="0">
      <selection activeCell="N38" sqref="N38"/>
    </sheetView>
  </sheetViews>
  <sheetFormatPr defaultRowHeight="14.4" x14ac:dyDescent="0.3"/>
  <cols>
    <col min="1" max="1" width="7.88671875" customWidth="1"/>
    <col min="2" max="2" width="7" bestFit="1" customWidth="1"/>
    <col min="3" max="3" width="47.88671875" customWidth="1"/>
    <col min="4" max="4" width="14.77734375" bestFit="1" customWidth="1"/>
    <col min="5" max="6" width="15.21875" bestFit="1" customWidth="1"/>
    <col min="7" max="8" width="13.77734375" bestFit="1" customWidth="1"/>
    <col min="9" max="9" width="14.21875" bestFit="1" customWidth="1"/>
    <col min="10" max="12" width="13.77734375" bestFit="1" customWidth="1"/>
    <col min="13" max="13" width="8.33203125" bestFit="1" customWidth="1"/>
  </cols>
  <sheetData>
    <row r="1" spans="1:14" x14ac:dyDescent="0.3">
      <c r="A1" s="4" t="s">
        <v>375</v>
      </c>
      <c r="B1" s="73" t="s">
        <v>401</v>
      </c>
      <c r="C1" s="114" t="s">
        <v>376</v>
      </c>
      <c r="D1" s="69">
        <v>2013</v>
      </c>
      <c r="E1" s="69">
        <v>2014</v>
      </c>
      <c r="F1" s="69">
        <v>2015</v>
      </c>
      <c r="G1" s="69">
        <v>2016</v>
      </c>
      <c r="H1" s="69">
        <v>2017</v>
      </c>
      <c r="I1" s="69">
        <v>2018</v>
      </c>
      <c r="J1" s="69">
        <v>2019</v>
      </c>
      <c r="K1" s="69">
        <v>2020</v>
      </c>
      <c r="L1" s="69">
        <v>2021</v>
      </c>
      <c r="M1" s="69" t="s">
        <v>400</v>
      </c>
      <c r="N1" t="s">
        <v>377</v>
      </c>
    </row>
    <row r="2" spans="1:14" x14ac:dyDescent="0.3">
      <c r="A2" s="12">
        <v>1</v>
      </c>
      <c r="B2" s="12">
        <v>1</v>
      </c>
      <c r="C2" s="111" t="s">
        <v>378</v>
      </c>
      <c r="D2" s="1">
        <v>833448375.29999995</v>
      </c>
      <c r="E2" s="1">
        <v>731435566.52999997</v>
      </c>
      <c r="F2" s="1">
        <v>1541789394.8299999</v>
      </c>
      <c r="G2" s="1">
        <v>893258926.73000002</v>
      </c>
      <c r="H2" s="1">
        <v>816795914.53999996</v>
      </c>
      <c r="I2" s="1">
        <v>968179958.5</v>
      </c>
      <c r="J2" s="1">
        <v>848672624.36000001</v>
      </c>
      <c r="K2" s="1">
        <v>877239696.54999995</v>
      </c>
      <c r="L2" s="1">
        <v>1062034542.9299999</v>
      </c>
      <c r="M2" s="117">
        <f>L2/L$26*100</f>
        <v>3.8114384813288575</v>
      </c>
      <c r="N2" s="6">
        <f t="shared" ref="N2:N26" si="0">L2/K2*100-100</f>
        <v>21.065490664268765</v>
      </c>
    </row>
    <row r="3" spans="1:14" x14ac:dyDescent="0.3">
      <c r="A3" s="12">
        <v>2</v>
      </c>
      <c r="B3" s="12">
        <v>2</v>
      </c>
      <c r="C3" s="111" t="s">
        <v>379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17">
        <f t="shared" ref="M3:M26" si="1">L3/L$26*100</f>
        <v>0</v>
      </c>
      <c r="N3" s="6" t="e">
        <f t="shared" si="0"/>
        <v>#DIV/0!</v>
      </c>
    </row>
    <row r="4" spans="1:14" x14ac:dyDescent="0.3">
      <c r="A4" s="12">
        <v>3</v>
      </c>
      <c r="B4" s="12">
        <v>3</v>
      </c>
      <c r="C4" s="111" t="s">
        <v>380</v>
      </c>
      <c r="D4" s="1">
        <v>1089544.8600000001</v>
      </c>
      <c r="E4" s="1">
        <v>1160369.32</v>
      </c>
      <c r="F4" s="1">
        <v>8870530.6799999997</v>
      </c>
      <c r="G4" s="1">
        <v>4540741.43</v>
      </c>
      <c r="H4" s="1">
        <v>10164981.529999999</v>
      </c>
      <c r="I4" s="1">
        <v>4274014.42</v>
      </c>
      <c r="J4" s="1">
        <v>5654065.1299999999</v>
      </c>
      <c r="K4" s="1">
        <v>6423779.8200000003</v>
      </c>
      <c r="L4" s="1">
        <v>6625461.2800000003</v>
      </c>
      <c r="M4" s="117">
        <f t="shared" si="1"/>
        <v>2.3777511049196426E-2</v>
      </c>
      <c r="N4" s="6">
        <f t="shared" si="0"/>
        <v>3.1396072974369247</v>
      </c>
    </row>
    <row r="5" spans="1:14" x14ac:dyDescent="0.3">
      <c r="A5" s="12">
        <v>4</v>
      </c>
      <c r="B5" s="12">
        <v>4</v>
      </c>
      <c r="C5" s="111" t="s">
        <v>205</v>
      </c>
      <c r="D5" s="1">
        <v>312463153.13</v>
      </c>
      <c r="E5" s="1">
        <v>323659366.69</v>
      </c>
      <c r="F5" s="1">
        <v>354313299.14999998</v>
      </c>
      <c r="G5" s="1">
        <v>360679758.68000001</v>
      </c>
      <c r="H5" s="1">
        <v>338928037.12</v>
      </c>
      <c r="I5" s="1">
        <v>388859196.19999999</v>
      </c>
      <c r="J5" s="1">
        <v>418775102.50999999</v>
      </c>
      <c r="K5" s="1">
        <v>393191107.27999997</v>
      </c>
      <c r="L5" s="1">
        <v>453975898.13</v>
      </c>
      <c r="M5" s="117">
        <f t="shared" si="1"/>
        <v>1.629232513431117</v>
      </c>
      <c r="N5" s="6">
        <f t="shared" si="0"/>
        <v>15.459350357767335</v>
      </c>
    </row>
    <row r="6" spans="1:14" x14ac:dyDescent="0.3">
      <c r="A6" s="12">
        <v>5</v>
      </c>
      <c r="B6" s="12">
        <v>5</v>
      </c>
      <c r="C6" s="111" t="s">
        <v>381</v>
      </c>
      <c r="D6" s="1">
        <v>34418488.969999999</v>
      </c>
      <c r="E6" s="1">
        <v>25114588.329999998</v>
      </c>
      <c r="F6" s="1">
        <v>27885003.190000001</v>
      </c>
      <c r="G6" s="1">
        <v>20450473.440000001</v>
      </c>
      <c r="H6" s="1">
        <v>25183345.960000001</v>
      </c>
      <c r="I6" s="1">
        <v>29849085.440000001</v>
      </c>
      <c r="J6" s="1">
        <v>32014450.41</v>
      </c>
      <c r="K6" s="1">
        <v>32427686.789999999</v>
      </c>
      <c r="L6" s="1">
        <v>31427456.780000001</v>
      </c>
      <c r="M6" s="117">
        <f t="shared" si="1"/>
        <v>0.11278712066287906</v>
      </c>
      <c r="N6" s="6">
        <f t="shared" si="0"/>
        <v>-3.0844938662366985</v>
      </c>
    </row>
    <row r="7" spans="1:14" x14ac:dyDescent="0.3">
      <c r="A7" s="12">
        <v>6</v>
      </c>
      <c r="B7" s="12">
        <v>6</v>
      </c>
      <c r="C7" s="111" t="s">
        <v>382</v>
      </c>
      <c r="D7" s="1">
        <v>8205829.9900000002</v>
      </c>
      <c r="E7" s="1">
        <v>8470316.7699999996</v>
      </c>
      <c r="F7" s="1">
        <v>17767796.73</v>
      </c>
      <c r="G7" s="1">
        <v>15801504.880000001</v>
      </c>
      <c r="H7" s="1">
        <v>15880779.68</v>
      </c>
      <c r="I7" s="1">
        <v>23427472.530000001</v>
      </c>
      <c r="J7" s="1">
        <v>22716421.27</v>
      </c>
      <c r="K7" s="1">
        <v>21814521.390000001</v>
      </c>
      <c r="L7" s="1">
        <v>35488439.960000001</v>
      </c>
      <c r="M7" s="117">
        <f t="shared" si="1"/>
        <v>0.12736121118311688</v>
      </c>
      <c r="N7" s="6">
        <f t="shared" si="0"/>
        <v>62.682643022680594</v>
      </c>
    </row>
    <row r="8" spans="1:14" x14ac:dyDescent="0.3">
      <c r="A8" s="12">
        <v>7</v>
      </c>
      <c r="B8" s="12">
        <v>7</v>
      </c>
      <c r="C8" s="111" t="s">
        <v>383</v>
      </c>
      <c r="D8" s="1">
        <v>7326153.5</v>
      </c>
      <c r="E8" s="1">
        <v>17570742.670000002</v>
      </c>
      <c r="F8" s="1">
        <v>26888376.969999999</v>
      </c>
      <c r="G8" s="1">
        <v>22103554.969999999</v>
      </c>
      <c r="H8" s="1">
        <v>14504888.18</v>
      </c>
      <c r="I8" s="1">
        <v>38329102.740000002</v>
      </c>
      <c r="J8" s="1">
        <v>23115128.829999998</v>
      </c>
      <c r="K8" s="1">
        <v>27645957.68</v>
      </c>
      <c r="L8" s="1">
        <v>19996683.09</v>
      </c>
      <c r="M8" s="117">
        <f t="shared" si="1"/>
        <v>7.1764264105661529E-2</v>
      </c>
      <c r="N8" s="6">
        <f t="shared" si="0"/>
        <v>-27.668690947659741</v>
      </c>
    </row>
    <row r="9" spans="1:14" x14ac:dyDescent="0.3">
      <c r="A9" s="12">
        <v>8</v>
      </c>
      <c r="B9" s="12">
        <v>8</v>
      </c>
      <c r="C9" s="111" t="s">
        <v>384</v>
      </c>
      <c r="D9" s="1">
        <v>80885919.280000001</v>
      </c>
      <c r="E9" s="1">
        <v>140511403.69</v>
      </c>
      <c r="F9" s="1">
        <v>110728081.19</v>
      </c>
      <c r="G9" s="1">
        <v>121656017.44</v>
      </c>
      <c r="H9" s="1">
        <v>117137706.25</v>
      </c>
      <c r="I9" s="1">
        <v>87449145.430000007</v>
      </c>
      <c r="J9" s="1">
        <v>76776271.849999994</v>
      </c>
      <c r="K9" s="1">
        <v>77072291.5</v>
      </c>
      <c r="L9" s="1">
        <v>110093310.18000001</v>
      </c>
      <c r="M9" s="117">
        <f t="shared" si="1"/>
        <v>0.3951037955877329</v>
      </c>
      <c r="N9" s="6">
        <f t="shared" si="0"/>
        <v>42.844215524589686</v>
      </c>
    </row>
    <row r="10" spans="1:14" x14ac:dyDescent="0.3">
      <c r="A10" s="12">
        <v>9</v>
      </c>
      <c r="B10" s="12">
        <v>9</v>
      </c>
      <c r="C10" s="111" t="s">
        <v>385</v>
      </c>
      <c r="D10" s="1">
        <v>125519667.09999999</v>
      </c>
      <c r="E10" s="1">
        <v>129498075.23999999</v>
      </c>
      <c r="F10" s="1">
        <v>169147404</v>
      </c>
      <c r="G10" s="1">
        <v>151193901.99000001</v>
      </c>
      <c r="H10" s="1">
        <v>162974115.94999999</v>
      </c>
      <c r="I10" s="1">
        <v>159537756.02000001</v>
      </c>
      <c r="J10" s="1">
        <v>158356662.46000001</v>
      </c>
      <c r="K10" s="1">
        <v>161723290.77000001</v>
      </c>
      <c r="L10" s="1">
        <v>316344695.29000002</v>
      </c>
      <c r="M10" s="117">
        <f t="shared" si="1"/>
        <v>1.1353004975394938</v>
      </c>
      <c r="N10" s="6">
        <f t="shared" si="0"/>
        <v>95.608618760979738</v>
      </c>
    </row>
    <row r="11" spans="1:14" x14ac:dyDescent="0.3">
      <c r="A11" s="12">
        <v>10</v>
      </c>
      <c r="B11" s="12">
        <v>10</v>
      </c>
      <c r="C11" s="111" t="s">
        <v>206</v>
      </c>
      <c r="D11" s="1">
        <v>1316856311.8299999</v>
      </c>
      <c r="E11" s="1">
        <v>1228472922.1900001</v>
      </c>
      <c r="F11" s="1">
        <v>1707161101.9300001</v>
      </c>
      <c r="G11" s="1">
        <v>1529837805.8699999</v>
      </c>
      <c r="H11" s="1">
        <v>1410190995.21</v>
      </c>
      <c r="I11" s="1">
        <v>1452180070.01</v>
      </c>
      <c r="J11" s="1">
        <v>1501939498.8800001</v>
      </c>
      <c r="K11" s="1">
        <v>1692776103.29</v>
      </c>
      <c r="L11" s="1">
        <v>1987195050.73</v>
      </c>
      <c r="M11" s="117">
        <f t="shared" si="1"/>
        <v>7.1316622765986519</v>
      </c>
      <c r="N11" s="6">
        <f t="shared" si="0"/>
        <v>17.392669170351667</v>
      </c>
    </row>
    <row r="12" spans="1:14" x14ac:dyDescent="0.3">
      <c r="A12" s="12">
        <v>11</v>
      </c>
      <c r="B12" s="12">
        <v>11</v>
      </c>
      <c r="C12" s="111" t="s">
        <v>386</v>
      </c>
      <c r="D12" s="1">
        <v>25864605.440000001</v>
      </c>
      <c r="E12" s="1">
        <v>35204391.590000004</v>
      </c>
      <c r="F12" s="1">
        <v>28516711.600000001</v>
      </c>
      <c r="G12" s="1">
        <v>24828735.690000001</v>
      </c>
      <c r="H12" s="1">
        <v>19747649.489999998</v>
      </c>
      <c r="I12" s="1">
        <v>21297678.91</v>
      </c>
      <c r="J12" s="1">
        <v>24909037.140000001</v>
      </c>
      <c r="K12" s="1">
        <v>81938726.540000007</v>
      </c>
      <c r="L12" s="1">
        <v>41041283.140000001</v>
      </c>
      <c r="M12" s="117">
        <f t="shared" si="1"/>
        <v>0.14728930139254379</v>
      </c>
      <c r="N12" s="6">
        <f t="shared" si="0"/>
        <v>-49.912227254392484</v>
      </c>
    </row>
    <row r="13" spans="1:14" x14ac:dyDescent="0.3">
      <c r="A13" s="12">
        <v>12</v>
      </c>
      <c r="B13" s="12">
        <v>12</v>
      </c>
      <c r="C13" s="111" t="s">
        <v>207</v>
      </c>
      <c r="D13" s="1">
        <v>236580224.77000001</v>
      </c>
      <c r="E13" s="1">
        <v>168377930.5</v>
      </c>
      <c r="F13" s="1">
        <v>325315970.36000001</v>
      </c>
      <c r="G13" s="1">
        <v>246464772.27000001</v>
      </c>
      <c r="H13" s="1">
        <v>201214128.71000001</v>
      </c>
      <c r="I13" s="1">
        <v>322453166.69999999</v>
      </c>
      <c r="J13" s="1">
        <v>382599358.81999999</v>
      </c>
      <c r="K13" s="1">
        <v>453444874.76999998</v>
      </c>
      <c r="L13" s="1">
        <v>485678314.30000001</v>
      </c>
      <c r="M13" s="117">
        <f t="shared" si="1"/>
        <v>1.7430064106605636</v>
      </c>
      <c r="N13" s="6">
        <f t="shared" si="0"/>
        <v>7.1085684993903016</v>
      </c>
    </row>
    <row r="14" spans="1:14" x14ac:dyDescent="0.3">
      <c r="A14" s="12">
        <v>13</v>
      </c>
      <c r="B14" s="12">
        <v>13</v>
      </c>
      <c r="C14" s="111" t="s">
        <v>387</v>
      </c>
      <c r="D14" s="1">
        <v>19453923387.119999</v>
      </c>
      <c r="E14" s="1">
        <v>20504233252.110001</v>
      </c>
      <c r="F14" s="1">
        <v>19620382475.73</v>
      </c>
      <c r="G14" s="1">
        <v>19190241353.599998</v>
      </c>
      <c r="H14" s="1">
        <v>20535300387.419998</v>
      </c>
      <c r="I14" s="1">
        <v>20256603427.34</v>
      </c>
      <c r="J14" s="1">
        <v>20450486463.57</v>
      </c>
      <c r="K14" s="1">
        <v>21864544875.509998</v>
      </c>
      <c r="L14" s="1">
        <v>22238915187.950001</v>
      </c>
      <c r="M14" s="117">
        <f t="shared" si="1"/>
        <v>79.811205477850649</v>
      </c>
      <c r="N14" s="6">
        <f t="shared" si="0"/>
        <v>1.7122254982738099</v>
      </c>
    </row>
    <row r="15" spans="1:14" x14ac:dyDescent="0.3">
      <c r="A15" s="12">
        <v>14</v>
      </c>
      <c r="B15" s="12">
        <v>14</v>
      </c>
      <c r="C15" s="111" t="s">
        <v>388</v>
      </c>
      <c r="D15" s="1">
        <v>133959849.63</v>
      </c>
      <c r="E15" s="1">
        <v>199722438.13999999</v>
      </c>
      <c r="F15" s="1">
        <v>176230331.62</v>
      </c>
      <c r="G15" s="1">
        <v>167946511.93000001</v>
      </c>
      <c r="H15" s="1">
        <v>69483819.469999999</v>
      </c>
      <c r="I15" s="1">
        <v>105245930.73</v>
      </c>
      <c r="J15" s="1">
        <v>215529778.66</v>
      </c>
      <c r="K15" s="1">
        <v>252498233.77000001</v>
      </c>
      <c r="L15" s="1">
        <v>269097953.55000001</v>
      </c>
      <c r="M15" s="117">
        <f t="shared" si="1"/>
        <v>0.96574099424082227</v>
      </c>
      <c r="N15" s="6">
        <f t="shared" si="0"/>
        <v>6.5741924338055497</v>
      </c>
    </row>
    <row r="16" spans="1:14" x14ac:dyDescent="0.3">
      <c r="A16" s="12">
        <v>15</v>
      </c>
      <c r="B16" s="12">
        <v>15</v>
      </c>
      <c r="C16" s="111" t="s">
        <v>389</v>
      </c>
      <c r="D16" s="1">
        <v>118062933.14</v>
      </c>
      <c r="E16" s="1">
        <v>177741057.00999999</v>
      </c>
      <c r="F16" s="1">
        <v>204637490.53999999</v>
      </c>
      <c r="G16" s="1">
        <v>146136265.53</v>
      </c>
      <c r="H16" s="1">
        <v>121846513.37</v>
      </c>
      <c r="I16" s="1">
        <v>175820934.38</v>
      </c>
      <c r="J16" s="1">
        <v>143983271.06</v>
      </c>
      <c r="K16" s="1">
        <v>97535638.370000005</v>
      </c>
      <c r="L16" s="1">
        <v>130525080.3</v>
      </c>
      <c r="M16" s="117">
        <f t="shared" si="1"/>
        <v>0.46842950367834624</v>
      </c>
      <c r="N16" s="6">
        <f t="shared" si="0"/>
        <v>33.822962028356272</v>
      </c>
    </row>
    <row r="17" spans="1:14" x14ac:dyDescent="0.3">
      <c r="A17" s="12">
        <v>16</v>
      </c>
      <c r="B17" s="12">
        <v>16</v>
      </c>
      <c r="C17" s="111" t="s">
        <v>390</v>
      </c>
      <c r="D17" s="1">
        <v>183286032.86000001</v>
      </c>
      <c r="E17" s="1">
        <v>76354238.609999999</v>
      </c>
      <c r="F17" s="1">
        <v>125142344.54000001</v>
      </c>
      <c r="G17" s="1">
        <v>85139233.700000003</v>
      </c>
      <c r="H17" s="1">
        <v>79418460.670000002</v>
      </c>
      <c r="I17" s="1">
        <v>96689590.370000005</v>
      </c>
      <c r="J17" s="1">
        <v>231211975.78999999</v>
      </c>
      <c r="K17" s="1">
        <v>114230497.34</v>
      </c>
      <c r="L17" s="1">
        <v>122044929.5</v>
      </c>
      <c r="M17" s="117">
        <f t="shared" si="1"/>
        <v>0.4379958673133546</v>
      </c>
      <c r="N17" s="6">
        <f t="shared" si="0"/>
        <v>6.8409333251354241</v>
      </c>
    </row>
    <row r="18" spans="1:14" x14ac:dyDescent="0.3">
      <c r="A18" s="12">
        <v>17</v>
      </c>
      <c r="B18" s="12">
        <v>17</v>
      </c>
      <c r="C18" s="111" t="s">
        <v>391</v>
      </c>
      <c r="D18" s="1">
        <v>20213389.640000001</v>
      </c>
      <c r="E18" s="1">
        <v>12615099.779999999</v>
      </c>
      <c r="F18" s="1">
        <v>18503710.079999998</v>
      </c>
      <c r="G18" s="1">
        <v>32665142.530000001</v>
      </c>
      <c r="H18" s="1">
        <v>16228754.02</v>
      </c>
      <c r="I18" s="1">
        <v>37289677.770000003</v>
      </c>
      <c r="J18" s="1">
        <v>35058863.479999997</v>
      </c>
      <c r="K18" s="1">
        <v>32693141.030000001</v>
      </c>
      <c r="L18" s="1">
        <v>62509642.539999999</v>
      </c>
      <c r="M18" s="117">
        <f t="shared" si="1"/>
        <v>0.22433512979132056</v>
      </c>
      <c r="N18" s="6">
        <f t="shared" si="0"/>
        <v>91.201091637660824</v>
      </c>
    </row>
    <row r="19" spans="1:14" x14ac:dyDescent="0.3">
      <c r="A19" s="12">
        <v>18</v>
      </c>
      <c r="B19" s="12">
        <v>18</v>
      </c>
      <c r="C19" s="111" t="s">
        <v>392</v>
      </c>
      <c r="D19" s="1">
        <v>231452189.47</v>
      </c>
      <c r="E19" s="1">
        <v>224091589.11000001</v>
      </c>
      <c r="F19" s="1">
        <v>33876518.460000001</v>
      </c>
      <c r="G19" s="1">
        <v>40984346.57</v>
      </c>
      <c r="H19" s="1">
        <v>59609548.490000002</v>
      </c>
      <c r="I19" s="1">
        <v>63194808.439999998</v>
      </c>
      <c r="J19" s="1">
        <v>68522776.75</v>
      </c>
      <c r="K19" s="1">
        <v>118085092.93000001</v>
      </c>
      <c r="L19" s="1">
        <v>356450457.50999999</v>
      </c>
      <c r="M19" s="117">
        <f t="shared" si="1"/>
        <v>1.2792323936025094</v>
      </c>
      <c r="N19" s="6">
        <f t="shared" si="0"/>
        <v>201.85898038908368</v>
      </c>
    </row>
    <row r="20" spans="1:14" x14ac:dyDescent="0.3">
      <c r="A20" s="12">
        <v>19</v>
      </c>
      <c r="B20" s="12">
        <v>19</v>
      </c>
      <c r="C20" s="111" t="s">
        <v>393</v>
      </c>
      <c r="D20" s="1">
        <v>74015018.189999998</v>
      </c>
      <c r="E20" s="1">
        <v>96674284.950000003</v>
      </c>
      <c r="F20" s="1">
        <v>28388655.789999999</v>
      </c>
      <c r="G20" s="1">
        <v>61536137.159999996</v>
      </c>
      <c r="H20" s="1">
        <v>21913509.100000001</v>
      </c>
      <c r="I20" s="1">
        <v>9033460.1699999999</v>
      </c>
      <c r="J20" s="1">
        <v>24730714.379999999</v>
      </c>
      <c r="K20" s="1">
        <v>30744073.079999998</v>
      </c>
      <c r="L20" s="1">
        <v>21807170.640000001</v>
      </c>
      <c r="M20" s="117">
        <f t="shared" si="1"/>
        <v>7.826175702053334E-2</v>
      </c>
      <c r="N20" s="6">
        <f t="shared" si="0"/>
        <v>-29.068700223113041</v>
      </c>
    </row>
    <row r="21" spans="1:14" x14ac:dyDescent="0.3">
      <c r="A21" s="12">
        <v>20</v>
      </c>
      <c r="B21" s="12">
        <v>20</v>
      </c>
      <c r="C21" s="111" t="s">
        <v>394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117">
        <f t="shared" si="1"/>
        <v>0</v>
      </c>
      <c r="N21" s="6" t="e">
        <f t="shared" si="0"/>
        <v>#DIV/0!</v>
      </c>
    </row>
    <row r="22" spans="1:14" x14ac:dyDescent="0.3">
      <c r="A22" s="12">
        <v>50</v>
      </c>
      <c r="B22" s="12">
        <v>50</v>
      </c>
      <c r="C22" s="111" t="s">
        <v>395</v>
      </c>
      <c r="D22" s="1">
        <v>177591413.47999999</v>
      </c>
      <c r="E22" s="1">
        <v>190861086.13999999</v>
      </c>
      <c r="F22" s="1">
        <v>203988251.90000001</v>
      </c>
      <c r="G22" s="1">
        <v>155246923.59999999</v>
      </c>
      <c r="H22" s="1">
        <v>100588304.68000001</v>
      </c>
      <c r="I22" s="1">
        <v>102844343.04000001</v>
      </c>
      <c r="J22" s="1">
        <v>107625340.39</v>
      </c>
      <c r="K22" s="1">
        <v>107545829.09</v>
      </c>
      <c r="L22" s="1">
        <v>113150508.05</v>
      </c>
      <c r="M22" s="117">
        <f t="shared" si="1"/>
        <v>0.40607549296266715</v>
      </c>
      <c r="N22" s="6">
        <f t="shared" si="0"/>
        <v>5.2114331233707816</v>
      </c>
    </row>
    <row r="23" spans="1:14" x14ac:dyDescent="0.3">
      <c r="A23" s="12">
        <v>60</v>
      </c>
      <c r="B23" s="12">
        <v>60</v>
      </c>
      <c r="C23" s="111" t="s">
        <v>396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17"/>
      <c r="N23" s="6" t="e">
        <f t="shared" si="0"/>
        <v>#DIV/0!</v>
      </c>
    </row>
    <row r="24" spans="1:14" x14ac:dyDescent="0.3">
      <c r="A24" s="12">
        <v>99</v>
      </c>
      <c r="B24" s="12">
        <v>99</v>
      </c>
      <c r="C24" s="111" t="s">
        <v>397</v>
      </c>
      <c r="D24" s="1">
        <v>7353769243.9099998</v>
      </c>
      <c r="E24" s="1">
        <v>8707587657.0300007</v>
      </c>
      <c r="F24" s="1">
        <v>9545902847.7600002</v>
      </c>
      <c r="G24" s="1">
        <v>9895040260.1800003</v>
      </c>
      <c r="H24" s="1">
        <v>8823563047.7000008</v>
      </c>
      <c r="I24" s="1">
        <v>6134883924.21</v>
      </c>
      <c r="J24" s="1">
        <v>4366557396.8500004</v>
      </c>
      <c r="K24" s="1">
        <v>5159227071.5600004</v>
      </c>
      <c r="L24" s="1">
        <v>3628845793.4099998</v>
      </c>
      <c r="M24" s="117"/>
      <c r="N24" s="6">
        <f t="shared" si="0"/>
        <v>-29.662995191395169</v>
      </c>
    </row>
    <row r="25" spans="1:14" x14ac:dyDescent="0.3">
      <c r="C25" s="4" t="s">
        <v>398</v>
      </c>
      <c r="D25" s="3">
        <f t="shared" ref="D25" si="2">SUM(D2:D24)</f>
        <v>30728931731.610001</v>
      </c>
      <c r="E25" s="3">
        <f t="shared" ref="E25:F25" si="3">SUM(E2:E24)</f>
        <v>32999356376.400002</v>
      </c>
      <c r="F25" s="3">
        <f t="shared" si="3"/>
        <v>34275436297.050003</v>
      </c>
      <c r="G25" s="3">
        <f t="shared" ref="G25:I25" si="4">SUM(G2:G24)</f>
        <v>33165752368.189995</v>
      </c>
      <c r="H25" s="3">
        <f t="shared" si="4"/>
        <v>32960674887.539997</v>
      </c>
      <c r="I25" s="3">
        <f t="shared" si="4"/>
        <v>30477442743.349995</v>
      </c>
      <c r="J25" s="3">
        <f t="shared" ref="J25:L25" si="5">SUM(J2:J24)</f>
        <v>29139235202.590004</v>
      </c>
      <c r="K25" s="3">
        <f t="shared" si="5"/>
        <v>31602802489.060001</v>
      </c>
      <c r="L25" s="3">
        <f t="shared" si="5"/>
        <v>31493247859.259998</v>
      </c>
      <c r="M25" s="117"/>
      <c r="N25" s="6">
        <f t="shared" si="0"/>
        <v>-0.34666112234168622</v>
      </c>
    </row>
    <row r="26" spans="1:14" x14ac:dyDescent="0.3">
      <c r="B26" s="115"/>
      <c r="C26" s="115" t="s">
        <v>399</v>
      </c>
      <c r="D26" s="116">
        <f t="shared" ref="D26" si="6">D25-D23-D24</f>
        <v>23375162487.700001</v>
      </c>
      <c r="E26" s="116">
        <f t="shared" ref="E26:F26" si="7">E25-E23-E24</f>
        <v>24291768719.370003</v>
      </c>
      <c r="F26" s="116">
        <f t="shared" si="7"/>
        <v>24729533449.290001</v>
      </c>
      <c r="G26" s="116">
        <f t="shared" ref="G26:L26" si="8">G25-G23-G24</f>
        <v>23270712108.009995</v>
      </c>
      <c r="H26" s="116">
        <f t="shared" si="8"/>
        <v>24137111839.839996</v>
      </c>
      <c r="I26" s="116">
        <f t="shared" si="8"/>
        <v>24342558819.139996</v>
      </c>
      <c r="J26" s="116">
        <f t="shared" si="8"/>
        <v>24772677805.740005</v>
      </c>
      <c r="K26" s="116">
        <f t="shared" si="8"/>
        <v>26443575417.5</v>
      </c>
      <c r="L26" s="116">
        <f t="shared" si="8"/>
        <v>27864402065.849998</v>
      </c>
      <c r="M26" s="118">
        <f t="shared" si="1"/>
        <v>100</v>
      </c>
      <c r="N26" s="6">
        <f t="shared" si="0"/>
        <v>5.37305045145186</v>
      </c>
    </row>
    <row r="27" spans="1:14" x14ac:dyDescent="0.3">
      <c r="D27" s="112"/>
      <c r="E27" s="112"/>
      <c r="F27" s="112"/>
      <c r="G27" s="112">
        <f>G25-Entrate_Uscite!B56</f>
        <v>0</v>
      </c>
      <c r="H27" s="112">
        <f>H25-Entrate_Uscite!E56</f>
        <v>0</v>
      </c>
      <c r="I27" s="112">
        <f>I25-Entrate_Uscite!H56</f>
        <v>0</v>
      </c>
      <c r="J27" s="112">
        <f>J25-Entrate_Uscite!K56</f>
        <v>0</v>
      </c>
      <c r="K27" s="112">
        <f>K25-Entrate_Uscite!N56</f>
        <v>0</v>
      </c>
      <c r="L27" s="112">
        <f>L25-Entrate_Uscite!Q56</f>
        <v>0</v>
      </c>
      <c r="M27" s="112"/>
    </row>
    <row r="30" spans="1:14" x14ac:dyDescent="0.3">
      <c r="B30" s="12" t="s">
        <v>188</v>
      </c>
      <c r="C30" t="s">
        <v>402</v>
      </c>
      <c r="D30" s="1">
        <v>18580973079.299999</v>
      </c>
      <c r="E30" s="1">
        <v>19725271763.02</v>
      </c>
      <c r="F30" s="1">
        <v>19230792534.540001</v>
      </c>
      <c r="G30" s="1">
        <v>18846866279.27</v>
      </c>
      <c r="H30" s="1">
        <v>19332012654.669998</v>
      </c>
      <c r="I30" s="1">
        <v>19854508292.669998</v>
      </c>
      <c r="J30" s="1">
        <v>20158350421.209999</v>
      </c>
      <c r="K30" s="1">
        <v>21231810648.259998</v>
      </c>
      <c r="L30" s="1">
        <v>21819805200.34</v>
      </c>
    </row>
    <row r="31" spans="1:14" x14ac:dyDescent="0.3">
      <c r="B31" s="12" t="s">
        <v>403</v>
      </c>
      <c r="C31" t="s">
        <v>404</v>
      </c>
      <c r="D31" s="1">
        <v>199690144.18000001</v>
      </c>
      <c r="E31" s="112">
        <v>14862559.779999999</v>
      </c>
      <c r="F31">
        <v>0</v>
      </c>
      <c r="G31">
        <v>0</v>
      </c>
      <c r="H31">
        <v>0</v>
      </c>
      <c r="I31" s="1">
        <v>0</v>
      </c>
      <c r="J31" s="1">
        <v>0</v>
      </c>
      <c r="K31" s="1">
        <v>0</v>
      </c>
      <c r="L31" s="1">
        <v>0</v>
      </c>
    </row>
    <row r="32" spans="1:14" x14ac:dyDescent="0.3">
      <c r="B32" s="12" t="s">
        <v>405</v>
      </c>
      <c r="C32" t="s">
        <v>408</v>
      </c>
      <c r="D32" s="1">
        <v>313246998.81999999</v>
      </c>
      <c r="E32" s="1">
        <v>437319482.60000002</v>
      </c>
      <c r="F32" s="1">
        <v>186430151.31999999</v>
      </c>
      <c r="G32" s="1">
        <v>282686505.11000001</v>
      </c>
      <c r="H32" s="1">
        <v>281345611.19999999</v>
      </c>
      <c r="I32" s="1">
        <v>352960109.47000003</v>
      </c>
      <c r="J32" s="1">
        <v>236391388.28</v>
      </c>
      <c r="K32" s="1">
        <v>397629011.79000002</v>
      </c>
      <c r="L32" s="1">
        <v>226851364.28999999</v>
      </c>
    </row>
    <row r="33" spans="2:12" x14ac:dyDescent="0.3">
      <c r="B33" s="12" t="s">
        <v>406</v>
      </c>
      <c r="C33" t="s">
        <v>409</v>
      </c>
      <c r="D33" s="1">
        <v>293030832.73000002</v>
      </c>
      <c r="E33" s="1">
        <v>307722003.25</v>
      </c>
      <c r="F33" s="1">
        <v>98511241.370000005</v>
      </c>
      <c r="G33" s="1">
        <v>0</v>
      </c>
      <c r="H33" s="1">
        <v>830971311.38999999</v>
      </c>
      <c r="I33" s="1">
        <v>0</v>
      </c>
      <c r="J33" s="1">
        <v>18273327.699999999</v>
      </c>
      <c r="K33" s="1">
        <v>195183633.56999999</v>
      </c>
      <c r="L33" s="1">
        <v>0</v>
      </c>
    </row>
    <row r="34" spans="2:12" x14ac:dyDescent="0.3">
      <c r="B34" s="12" t="s">
        <v>407</v>
      </c>
      <c r="C34" t="s">
        <v>410</v>
      </c>
      <c r="D34" s="1">
        <v>66982332.090000004</v>
      </c>
      <c r="E34" s="1">
        <v>19057443.460000001</v>
      </c>
      <c r="F34" s="1">
        <v>104648548.5</v>
      </c>
      <c r="G34" s="1">
        <v>60688569.219999999</v>
      </c>
      <c r="H34" s="1">
        <v>90970810.159999996</v>
      </c>
      <c r="I34" s="1">
        <v>49135025.200000003</v>
      </c>
      <c r="J34" s="1">
        <v>37471326.380000003</v>
      </c>
      <c r="K34" s="1">
        <v>39921581.890000001</v>
      </c>
      <c r="L34" s="1">
        <v>192258623.31999999</v>
      </c>
    </row>
    <row r="35" spans="2:12" x14ac:dyDescent="0.3">
      <c r="B35" s="12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3">
      <c r="B36" s="12"/>
      <c r="C36" s="41"/>
      <c r="D36" s="120">
        <v>2013</v>
      </c>
      <c r="E36" s="120">
        <v>2014</v>
      </c>
      <c r="F36" s="120">
        <v>2015</v>
      </c>
      <c r="G36" s="120">
        <v>2016</v>
      </c>
      <c r="H36" s="120">
        <v>2017</v>
      </c>
      <c r="I36" s="120">
        <v>2018</v>
      </c>
      <c r="J36" s="120">
        <v>2019</v>
      </c>
      <c r="K36" s="120">
        <v>2020</v>
      </c>
      <c r="L36" s="120">
        <v>2021</v>
      </c>
    </row>
    <row r="37" spans="2:12" x14ac:dyDescent="0.3">
      <c r="B37" s="12">
        <v>13</v>
      </c>
      <c r="C37" t="s">
        <v>418</v>
      </c>
      <c r="D37" s="1">
        <f>D14</f>
        <v>19453923387.119999</v>
      </c>
      <c r="E37" s="1">
        <f t="shared" ref="E37:L37" si="9">E14</f>
        <v>20504233252.110001</v>
      </c>
      <c r="F37" s="1">
        <f t="shared" si="9"/>
        <v>19620382475.73</v>
      </c>
      <c r="G37" s="1">
        <f t="shared" si="9"/>
        <v>19190241353.599998</v>
      </c>
      <c r="H37" s="1">
        <f t="shared" si="9"/>
        <v>20535300387.419998</v>
      </c>
      <c r="I37" s="1">
        <f t="shared" si="9"/>
        <v>20256603427.34</v>
      </c>
      <c r="J37" s="1">
        <f t="shared" si="9"/>
        <v>20450486463.57</v>
      </c>
      <c r="K37" s="1">
        <f t="shared" si="9"/>
        <v>21864544875.509998</v>
      </c>
      <c r="L37" s="1">
        <f t="shared" si="9"/>
        <v>22238915187.950001</v>
      </c>
    </row>
    <row r="38" spans="2:12" x14ac:dyDescent="0.3">
      <c r="B38" s="12"/>
      <c r="C38" t="s">
        <v>419</v>
      </c>
      <c r="D38" s="1">
        <f>D37-D39</f>
        <v>17552402802.699997</v>
      </c>
      <c r="E38" s="1">
        <f t="shared" ref="E38:L38" si="10">E37-E39</f>
        <v>14505453401.420002</v>
      </c>
      <c r="F38" s="1">
        <f t="shared" si="10"/>
        <v>14256752250.189999</v>
      </c>
      <c r="G38" s="1">
        <f t="shared" si="10"/>
        <v>16264790655.609999</v>
      </c>
      <c r="H38" s="1">
        <f t="shared" si="10"/>
        <v>14209607550.679998</v>
      </c>
      <c r="I38" s="1">
        <f t="shared" si="10"/>
        <v>17368560647.41</v>
      </c>
      <c r="J38" s="1">
        <f t="shared" si="10"/>
        <v>17759329508.439999</v>
      </c>
      <c r="K38" s="1">
        <f t="shared" si="10"/>
        <v>17960222546.989998</v>
      </c>
      <c r="L38" s="1">
        <f t="shared" si="10"/>
        <v>18900725336.510002</v>
      </c>
    </row>
    <row r="39" spans="2:12" x14ac:dyDescent="0.3">
      <c r="B39" s="12">
        <v>13</v>
      </c>
      <c r="C39" t="s">
        <v>415</v>
      </c>
      <c r="D39" s="1">
        <v>1901520584.4200001</v>
      </c>
      <c r="E39" s="1">
        <v>5998779850.6899996</v>
      </c>
      <c r="F39" s="1">
        <v>5363630225.54</v>
      </c>
      <c r="G39" s="1">
        <v>2925450697.9899998</v>
      </c>
      <c r="H39" s="1">
        <v>6325692836.7399998</v>
      </c>
      <c r="I39" s="1">
        <v>2888042779.9299998</v>
      </c>
      <c r="J39" s="1">
        <v>2691156955.1300001</v>
      </c>
      <c r="K39" s="1">
        <v>3904322328.52</v>
      </c>
      <c r="L39" s="1">
        <v>3338189851.4400001</v>
      </c>
    </row>
    <row r="40" spans="2:12" x14ac:dyDescent="0.3">
      <c r="B40" s="12">
        <v>13</v>
      </c>
      <c r="C40" t="s">
        <v>411</v>
      </c>
      <c r="D40" s="1">
        <v>1972045593.74</v>
      </c>
      <c r="E40" s="1">
        <f>D44</f>
        <v>3131965895.0999999</v>
      </c>
      <c r="F40" s="1">
        <f>E44</f>
        <v>8351776225.2399998</v>
      </c>
      <c r="G40" s="95">
        <v>8280788784.2200003</v>
      </c>
      <c r="H40" s="1">
        <f t="shared" ref="H40:L40" si="11">G44</f>
        <v>7555745401.6000004</v>
      </c>
      <c r="I40" s="1">
        <f t="shared" si="11"/>
        <v>11292989903.990002</v>
      </c>
      <c r="J40" s="1">
        <f t="shared" si="11"/>
        <v>8204629321.4100018</v>
      </c>
      <c r="K40" s="1">
        <f t="shared" si="11"/>
        <v>8191343155.2600021</v>
      </c>
      <c r="L40" s="1">
        <f t="shared" si="11"/>
        <v>10104209129.400002</v>
      </c>
    </row>
    <row r="41" spans="2:12" x14ac:dyDescent="0.3">
      <c r="B41" s="12">
        <v>13</v>
      </c>
      <c r="C41" t="s">
        <v>412</v>
      </c>
      <c r="D41" s="1">
        <v>706562695.15999997</v>
      </c>
      <c r="E41" s="1">
        <v>566337093.79999995</v>
      </c>
      <c r="F41" s="1">
        <v>5435104196.0600004</v>
      </c>
      <c r="G41" s="1">
        <v>3634921726.6300001</v>
      </c>
      <c r="H41" s="1">
        <v>2563168406.4099998</v>
      </c>
      <c r="I41" s="1">
        <v>5916255414.9799995</v>
      </c>
      <c r="J41" s="1">
        <v>2621331980.3800001</v>
      </c>
      <c r="K41" s="1">
        <v>1889044304.9100001</v>
      </c>
      <c r="L41" s="1">
        <v>2141100260.01</v>
      </c>
    </row>
    <row r="42" spans="2:12" x14ac:dyDescent="0.3">
      <c r="B42" s="12">
        <v>13</v>
      </c>
      <c r="C42" t="s">
        <v>413</v>
      </c>
      <c r="D42" s="1">
        <v>35037587.899999999</v>
      </c>
      <c r="E42" s="1">
        <v>212632426.75</v>
      </c>
      <c r="F42" s="1">
        <v>1920303.67</v>
      </c>
      <c r="G42" s="1">
        <v>15572353.98</v>
      </c>
      <c r="H42" s="1">
        <v>25279927.940000001</v>
      </c>
      <c r="I42" s="1">
        <v>60147947.530000001</v>
      </c>
      <c r="J42" s="1">
        <v>83111140.900000006</v>
      </c>
      <c r="K42" s="1">
        <v>102412049.47</v>
      </c>
      <c r="L42" s="1">
        <v>4542665.7</v>
      </c>
    </row>
    <row r="43" spans="2:12" x14ac:dyDescent="0.3">
      <c r="B43" s="12">
        <v>13</v>
      </c>
      <c r="C43" t="s">
        <v>414</v>
      </c>
      <c r="D43" s="1">
        <f>D40-D41-D42</f>
        <v>1230445310.6799998</v>
      </c>
      <c r="E43" s="1">
        <f>E40-E41-E42</f>
        <v>2352996374.5500002</v>
      </c>
      <c r="F43" s="1">
        <f>F40-F41-F42</f>
        <v>2914751725.5099993</v>
      </c>
      <c r="G43" s="1">
        <f t="shared" ref="G43:L43" si="12">G40-G41-G42</f>
        <v>4630294703.6100006</v>
      </c>
      <c r="H43" s="1">
        <f t="shared" si="12"/>
        <v>4967297067.250001</v>
      </c>
      <c r="I43" s="1">
        <f t="shared" si="12"/>
        <v>5316586541.4800024</v>
      </c>
      <c r="J43" s="1">
        <f t="shared" si="12"/>
        <v>5500186200.130002</v>
      </c>
      <c r="K43" s="1">
        <f t="shared" si="12"/>
        <v>6199886800.880002</v>
      </c>
      <c r="L43" s="1">
        <f t="shared" si="12"/>
        <v>7958566203.6900015</v>
      </c>
    </row>
    <row r="44" spans="2:12" x14ac:dyDescent="0.3">
      <c r="B44" s="12">
        <v>13</v>
      </c>
      <c r="C44" s="115" t="s">
        <v>416</v>
      </c>
      <c r="D44" s="116">
        <f t="shared" ref="D44:L44" si="13">D43+D39</f>
        <v>3131965895.0999999</v>
      </c>
      <c r="E44" s="116">
        <f t="shared" si="13"/>
        <v>8351776225.2399998</v>
      </c>
      <c r="F44" s="116">
        <f t="shared" si="13"/>
        <v>8278381951.0499992</v>
      </c>
      <c r="G44" s="116">
        <f t="shared" si="13"/>
        <v>7555745401.6000004</v>
      </c>
      <c r="H44" s="116">
        <f t="shared" si="13"/>
        <v>11292989903.990002</v>
      </c>
      <c r="I44" s="116">
        <f t="shared" si="13"/>
        <v>8204629321.4100018</v>
      </c>
      <c r="J44" s="116">
        <f t="shared" si="13"/>
        <v>8191343155.2600021</v>
      </c>
      <c r="K44" s="116">
        <f t="shared" si="13"/>
        <v>10104209129.400002</v>
      </c>
      <c r="L44" s="116">
        <f t="shared" si="13"/>
        <v>11296756055.130001</v>
      </c>
    </row>
    <row r="45" spans="2:12" x14ac:dyDescent="0.3">
      <c r="D45" s="6">
        <f>(D38+D41)/(D37+D40+D42)*100</f>
        <v>85.079725591431014</v>
      </c>
      <c r="E45" s="6">
        <f t="shared" ref="E45:L45" si="14">(E38+E41)/(E37+E40+E42)*100</f>
        <v>63.197186195388078</v>
      </c>
      <c r="F45" s="6">
        <f t="shared" si="14"/>
        <v>70.393225253220152</v>
      </c>
      <c r="G45" s="6">
        <f t="shared" si="14"/>
        <v>72.397861424221574</v>
      </c>
      <c r="H45" s="6">
        <f t="shared" si="14"/>
        <v>59.654935449024634</v>
      </c>
      <c r="I45" s="6">
        <f t="shared" si="14"/>
        <v>73.663418681513988</v>
      </c>
      <c r="J45" s="6">
        <f t="shared" si="14"/>
        <v>70.918298270052077</v>
      </c>
      <c r="K45" s="6">
        <f t="shared" si="14"/>
        <v>65.816928670012871</v>
      </c>
      <c r="L45" s="6">
        <f t="shared" si="14"/>
        <v>65.048974343484488</v>
      </c>
    </row>
    <row r="47" spans="2:12" x14ac:dyDescent="0.3">
      <c r="C47" t="str">
        <f>C2</f>
        <v>Servizi istituzionali, generali e di gestione</v>
      </c>
      <c r="D47" s="119">
        <f>M2</f>
        <v>3.8114384813288575</v>
      </c>
    </row>
    <row r="48" spans="2:12" x14ac:dyDescent="0.3">
      <c r="C48" t="str">
        <f>C5</f>
        <v>Istruzione e diritto allo studio</v>
      </c>
      <c r="D48" s="119">
        <f>M5</f>
        <v>1.629232513431117</v>
      </c>
    </row>
    <row r="49" spans="3:4" x14ac:dyDescent="0.3">
      <c r="C49" t="str">
        <f>C10</f>
        <v>Sviluppo sostenibile e tutela del territorio e dell'ambiente</v>
      </c>
      <c r="D49" s="119">
        <f>M10</f>
        <v>1.1353004975394938</v>
      </c>
    </row>
    <row r="50" spans="3:4" x14ac:dyDescent="0.3">
      <c r="C50" t="str">
        <f>C11</f>
        <v>Trasporti e diritto alla mobilità</v>
      </c>
      <c r="D50" s="119">
        <f>M11</f>
        <v>7.1316622765986519</v>
      </c>
    </row>
    <row r="51" spans="3:4" x14ac:dyDescent="0.3">
      <c r="C51" t="str">
        <f>C13</f>
        <v>Diritti sociali, politiche sociali e famiglia</v>
      </c>
      <c r="D51" s="119">
        <f>M13</f>
        <v>1.7430064106605636</v>
      </c>
    </row>
    <row r="52" spans="3:4" x14ac:dyDescent="0.3">
      <c r="C52" t="str">
        <f>C14</f>
        <v>Tutela della salute</v>
      </c>
      <c r="D52" s="119">
        <f>M14</f>
        <v>79.811205477850649</v>
      </c>
    </row>
    <row r="53" spans="3:4" x14ac:dyDescent="0.3">
      <c r="C53" t="str">
        <f>C15</f>
        <v>Sviluppo economico e competitività</v>
      </c>
      <c r="D53" s="119">
        <f>M15</f>
        <v>0.96574099424082227</v>
      </c>
    </row>
    <row r="54" spans="3:4" x14ac:dyDescent="0.3">
      <c r="C54" t="str">
        <f>C19</f>
        <v>Relazioni con le altre autonomie territoriali e locali</v>
      </c>
      <c r="D54" s="119">
        <f>M19</f>
        <v>1.2792323936025094</v>
      </c>
    </row>
    <row r="55" spans="3:4" x14ac:dyDescent="0.3">
      <c r="C55" t="s">
        <v>417</v>
      </c>
      <c r="D55" s="119">
        <f>100-SUM(D47:D54)</f>
        <v>2.4931809547473307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workbookViewId="0">
      <selection sqref="A1:I6"/>
    </sheetView>
  </sheetViews>
  <sheetFormatPr defaultRowHeight="14.4" x14ac:dyDescent="0.3"/>
  <cols>
    <col min="1" max="1" width="39.33203125" bestFit="1" customWidth="1"/>
    <col min="2" max="9" width="12.21875" bestFit="1" customWidth="1"/>
  </cols>
  <sheetData>
    <row r="1" spans="1:9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 t="s">
        <v>265</v>
      </c>
      <c r="I1" s="42" t="s">
        <v>336</v>
      </c>
    </row>
    <row r="2" spans="1:9" x14ac:dyDescent="0.3">
      <c r="A2" s="62" t="s">
        <v>297</v>
      </c>
      <c r="B2" s="64">
        <f>Entrate_Uscite!B58</f>
        <v>632233648.76000214</v>
      </c>
      <c r="C2" s="64">
        <f>Entrate_Uscite!E58</f>
        <v>765987408.21999741</v>
      </c>
      <c r="D2" s="64">
        <f>Entrate_Uscite!H58</f>
        <v>702208586.43999863</v>
      </c>
      <c r="E2" s="64">
        <f>Entrate_Uscite!K58</f>
        <v>988457936.81999969</v>
      </c>
      <c r="F2" s="64">
        <f>Entrate_Uscite!N58</f>
        <v>741571336.86999893</v>
      </c>
      <c r="G2" s="64">
        <f>Entrate_Uscite!Q58</f>
        <v>632718562.42000198</v>
      </c>
      <c r="H2" s="64">
        <f>G2-F2</f>
        <v>-108852774.44999695</v>
      </c>
      <c r="I2" s="64">
        <f>Entrate_Uscite!R58</f>
        <v>903578036.20999527</v>
      </c>
    </row>
    <row r="3" spans="1:9" x14ac:dyDescent="0.3">
      <c r="A3" s="62" t="s">
        <v>72</v>
      </c>
      <c r="B3" s="64">
        <f>Entrate_Uscite!B59</f>
        <v>-582724382.69000006</v>
      </c>
      <c r="C3" s="64">
        <f>Entrate_Uscite!E59</f>
        <v>-354484560.12</v>
      </c>
      <c r="D3" s="64">
        <f>Entrate_Uscite!H59</f>
        <v>-145164003.47000003</v>
      </c>
      <c r="E3" s="64">
        <f>Entrate_Uscite!K59</f>
        <v>-353735751.66999996</v>
      </c>
      <c r="F3" s="64">
        <f>Entrate_Uscite!N59</f>
        <v>-406622762.56000006</v>
      </c>
      <c r="G3" s="64">
        <f>Entrate_Uscite!Q59</f>
        <v>-844676828.4000001</v>
      </c>
      <c r="H3" s="64">
        <f t="shared" ref="H3:H6" si="0">G3-F3</f>
        <v>-438054065.84000003</v>
      </c>
      <c r="I3" s="64">
        <f>Entrate_Uscite!R59</f>
        <v>-566162620.30000031</v>
      </c>
    </row>
    <row r="4" spans="1:9" x14ac:dyDescent="0.3">
      <c r="A4" s="62" t="s">
        <v>300</v>
      </c>
      <c r="B4" s="65">
        <f>Entrate_Uscite!B16-Entrate_Uscite!B52</f>
        <v>205429745.78000003</v>
      </c>
      <c r="C4" s="65">
        <f>Entrate_Uscite!E16-Entrate_Uscite!E52</f>
        <v>3009500.3999999762</v>
      </c>
      <c r="D4" s="65">
        <f>Entrate_Uscite!H16-Entrate_Uscite!H52</f>
        <v>23020033.930000007</v>
      </c>
      <c r="E4" s="65">
        <f>Entrate_Uscite!K16-Entrate_Uscite!K52</f>
        <v>-89817577.180000067</v>
      </c>
      <c r="F4" s="65">
        <f>Entrate_Uscite!N16-Entrate_Uscite!N52</f>
        <v>-7124265.7400000095</v>
      </c>
      <c r="G4" s="65">
        <f>Entrate_Uscite!Q16-Entrate_Uscite!Q52</f>
        <v>175879809.22000003</v>
      </c>
      <c r="H4" s="64">
        <f t="shared" si="0"/>
        <v>183004074.96000004</v>
      </c>
      <c r="I4" s="65">
        <f>Entrate_Uscite!R16-Entrate_Uscite!R52</f>
        <v>174213613.46000004</v>
      </c>
    </row>
    <row r="5" spans="1:9" x14ac:dyDescent="0.3">
      <c r="A5" s="47" t="s">
        <v>298</v>
      </c>
      <c r="B5" s="66">
        <f>Entrate_Uscite!B60</f>
        <v>254939011.85000229</v>
      </c>
      <c r="C5" s="66">
        <f>Entrate_Uscite!E60</f>
        <v>414512348.49999619</v>
      </c>
      <c r="D5" s="66">
        <f>Entrate_Uscite!H60</f>
        <v>580064616.89999771</v>
      </c>
      <c r="E5" s="66">
        <f>Entrate_Uscite!K60</f>
        <v>544904607.96999741</v>
      </c>
      <c r="F5" s="66">
        <f>Entrate_Uscite!N60</f>
        <v>327824308.56999588</v>
      </c>
      <c r="G5" s="66">
        <f>Entrate_Uscite!Q60</f>
        <v>-36078456.760002136</v>
      </c>
      <c r="H5" s="66">
        <f t="shared" si="0"/>
        <v>-363902765.32999802</v>
      </c>
      <c r="I5" s="66">
        <f>Entrate_Uscite!R60</f>
        <v>511629029.36999512</v>
      </c>
    </row>
    <row r="6" spans="1:9" x14ac:dyDescent="0.3">
      <c r="A6" s="38" t="s">
        <v>299</v>
      </c>
      <c r="B6" s="67">
        <f>Entrate_Uscite!B61</f>
        <v>-37231703.169998169</v>
      </c>
      <c r="C6" s="67">
        <f>Entrate_Uscite!E61</f>
        <v>351804085.43999481</v>
      </c>
      <c r="D6" s="67">
        <f>Entrate_Uscite!H61</f>
        <v>511686065.0399971</v>
      </c>
      <c r="E6" s="67">
        <f>Entrate_Uscite!K61</f>
        <v>475506635.83999634</v>
      </c>
      <c r="F6" s="67">
        <f>Entrate_Uscite!N61</f>
        <v>255521867.64999008</v>
      </c>
      <c r="G6" s="67">
        <f>Entrate_Uscite!Q61</f>
        <v>-117027411.58000183</v>
      </c>
      <c r="H6" s="67">
        <f t="shared" si="0"/>
        <v>-372549279.22999191</v>
      </c>
      <c r="I6" s="67">
        <f>Entrate_Uscite!R61</f>
        <v>430680074.54999542</v>
      </c>
    </row>
    <row r="7" spans="1:9" x14ac:dyDescent="0.3">
      <c r="H7" s="6"/>
    </row>
    <row r="8" spans="1:9" x14ac:dyDescent="0.3">
      <c r="H8" s="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opLeftCell="A55" workbookViewId="0">
      <selection activeCell="J24" sqref="J24"/>
    </sheetView>
  </sheetViews>
  <sheetFormatPr defaultRowHeight="14.4" x14ac:dyDescent="0.3"/>
  <cols>
    <col min="1" max="1" width="36.44140625" bestFit="1" customWidth="1"/>
    <col min="2" max="3" width="13.88671875" bestFit="1" customWidth="1"/>
    <col min="4" max="4" width="13.5546875" bestFit="1" customWidth="1"/>
    <col min="5" max="6" width="13.88671875" bestFit="1" customWidth="1"/>
    <col min="7" max="8" width="13.5546875" bestFit="1" customWidth="1"/>
    <col min="9" max="10" width="13.6640625" bestFit="1" customWidth="1"/>
    <col min="13" max="13" width="10" bestFit="1" customWidth="1"/>
  </cols>
  <sheetData>
    <row r="1" spans="1:10" x14ac:dyDescent="0.3">
      <c r="A1" s="41"/>
      <c r="B1" s="98">
        <v>2013</v>
      </c>
      <c r="C1" s="98">
        <v>2014</v>
      </c>
      <c r="D1" s="98">
        <v>2015</v>
      </c>
      <c r="E1" s="98">
        <v>2016</v>
      </c>
      <c r="F1" s="98">
        <v>2017</v>
      </c>
      <c r="G1" s="69">
        <v>2018</v>
      </c>
      <c r="H1" s="69">
        <v>2019</v>
      </c>
      <c r="I1" s="69">
        <v>2020</v>
      </c>
      <c r="J1" s="69">
        <v>2021</v>
      </c>
    </row>
    <row r="2" spans="1:10" x14ac:dyDescent="0.3">
      <c r="A2" t="s">
        <v>5</v>
      </c>
      <c r="B2" s="1">
        <v>1359252531.3099999</v>
      </c>
      <c r="C2" s="1">
        <v>1764114758.5</v>
      </c>
      <c r="D2" s="1">
        <v>2191299168.9499998</v>
      </c>
      <c r="E2" s="1">
        <v>3699036928.7600002</v>
      </c>
      <c r="F2" s="1">
        <v>5146806089.9799995</v>
      </c>
      <c r="G2" s="1">
        <v>7182169161.4399996</v>
      </c>
      <c r="H2" s="1">
        <v>8573295588.3000002</v>
      </c>
      <c r="I2" s="1">
        <v>10445647771.16</v>
      </c>
      <c r="J2" s="1">
        <v>11945371554.129999</v>
      </c>
    </row>
    <row r="3" spans="1:10" x14ac:dyDescent="0.3">
      <c r="A3" t="s">
        <v>6</v>
      </c>
      <c r="B3" s="1">
        <v>13573400865.41</v>
      </c>
      <c r="C3" s="1">
        <v>17411428745.759998</v>
      </c>
      <c r="D3" s="1">
        <v>16947804610.379999</v>
      </c>
      <c r="E3" s="1">
        <v>17719351299.869999</v>
      </c>
      <c r="F3" s="1">
        <v>19510510515.68</v>
      </c>
      <c r="G3" s="1">
        <v>15598474045.58</v>
      </c>
      <c r="H3" s="1">
        <v>12753501580.83</v>
      </c>
      <c r="I3" s="1">
        <v>6945997125.2399998</v>
      </c>
      <c r="J3" s="1">
        <v>7072286577.3299999</v>
      </c>
    </row>
    <row r="4" spans="1:10" x14ac:dyDescent="0.3">
      <c r="A4" t="s">
        <v>7</v>
      </c>
      <c r="B4" s="95">
        <v>11689900147.370001</v>
      </c>
      <c r="C4" s="1">
        <v>17168656950.360001</v>
      </c>
      <c r="D4" s="1">
        <v>18014921089.950001</v>
      </c>
      <c r="E4" s="1">
        <v>20528683113.349998</v>
      </c>
      <c r="F4" s="1">
        <v>23452545661.950001</v>
      </c>
      <c r="G4" s="1">
        <v>21045086474.130001</v>
      </c>
      <c r="H4" s="1">
        <v>19086256146.029999</v>
      </c>
      <c r="I4" s="1">
        <v>14894399290.790001</v>
      </c>
      <c r="J4" s="1">
        <v>16614886830.940001</v>
      </c>
    </row>
    <row r="5" spans="1:10" x14ac:dyDescent="0.3">
      <c r="A5" t="s">
        <v>8</v>
      </c>
      <c r="B5" s="1">
        <v>25065957.77</v>
      </c>
      <c r="C5" s="1">
        <v>184400906.96000001</v>
      </c>
      <c r="D5" s="1">
        <v>168967918.56</v>
      </c>
      <c r="E5" s="1">
        <v>186197605.34999999</v>
      </c>
      <c r="F5" s="1">
        <v>153089770.59</v>
      </c>
      <c r="G5" s="1">
        <v>196463333.94</v>
      </c>
      <c r="H5" s="1">
        <v>202088345.74000001</v>
      </c>
      <c r="I5" s="1">
        <v>274939658.13</v>
      </c>
      <c r="J5" s="1">
        <v>349012775.18000001</v>
      </c>
    </row>
    <row r="6" spans="1:10" x14ac:dyDescent="0.3">
      <c r="A6" t="s">
        <v>9</v>
      </c>
      <c r="B6" s="1">
        <f>438296907.91+1645171.14</f>
        <v>439942079.05000001</v>
      </c>
      <c r="C6" s="1">
        <f>516515816.61+1237498.01</f>
        <v>517753314.62</v>
      </c>
      <c r="D6" s="1">
        <v>1583181127.7</v>
      </c>
      <c r="E6" s="1">
        <f>1242257027.16+121959.03</f>
        <v>1242378986.1900001</v>
      </c>
      <c r="F6" s="1">
        <v>1060004147.54</v>
      </c>
      <c r="G6" s="1">
        <v>1012489504.4299999</v>
      </c>
      <c r="H6" s="1">
        <f>933126105.14+1272007.56</f>
        <v>934398112.69999993</v>
      </c>
      <c r="I6" s="1">
        <f>869283329.96+1175451.45</f>
        <v>870458781.41000009</v>
      </c>
      <c r="J6" s="1">
        <f>817090418.05+63042569.82</f>
        <v>880132987.87</v>
      </c>
    </row>
    <row r="7" spans="1:10" x14ac:dyDescent="0.3">
      <c r="A7" s="4" t="s">
        <v>0</v>
      </c>
      <c r="B7" s="3">
        <f t="shared" ref="B7:D7" si="0">B2+B3-B4-B5-B6</f>
        <v>2777745212.5299983</v>
      </c>
      <c r="C7" s="3">
        <f t="shared" ref="C7" si="1">C2+C3-C4-C5-C6</f>
        <v>1304732332.3199978</v>
      </c>
      <c r="D7" s="3">
        <f t="shared" si="0"/>
        <v>-627966356.88000274</v>
      </c>
      <c r="E7" s="3">
        <f t="shared" ref="E7:G7" si="2">E2+E3-E4-E5-E6</f>
        <v>-538871476.2600013</v>
      </c>
      <c r="F7" s="3">
        <f t="shared" si="2"/>
        <v>-8322974.4200009108</v>
      </c>
      <c r="G7" s="3">
        <f t="shared" si="2"/>
        <v>526603894.51999938</v>
      </c>
      <c r="H7" s="3">
        <f t="shared" ref="H7:J7" si="3">H2+H3-H4-H5-H6</f>
        <v>1104054564.6600022</v>
      </c>
      <c r="I7" s="3">
        <f t="shared" ref="I7" si="4">I2+I3-I4-I5-I6</f>
        <v>1351847166.0700004</v>
      </c>
      <c r="J7" s="3">
        <f t="shared" si="3"/>
        <v>1173625537.4699984</v>
      </c>
    </row>
    <row r="8" spans="1:10" x14ac:dyDescent="0.3">
      <c r="A8" t="s">
        <v>10</v>
      </c>
      <c r="B8" s="1">
        <v>47292482.57</v>
      </c>
      <c r="C8" s="1">
        <v>67917788.939999998</v>
      </c>
      <c r="D8" s="1">
        <v>60919885.649999999</v>
      </c>
      <c r="E8" s="1">
        <v>63738242.649999999</v>
      </c>
      <c r="F8" s="1">
        <v>99854311.650000006</v>
      </c>
      <c r="G8" s="1">
        <v>191508099.65000001</v>
      </c>
      <c r="H8" s="1">
        <v>196779583.21000001</v>
      </c>
      <c r="I8" s="1">
        <v>229331548.93000001</v>
      </c>
      <c r="J8" s="1">
        <v>252944011.86000001</v>
      </c>
    </row>
    <row r="9" spans="1:10" x14ac:dyDescent="0.3">
      <c r="A9" t="s">
        <v>350</v>
      </c>
      <c r="B9" s="1">
        <v>151208329.06</v>
      </c>
      <c r="C9" s="1">
        <v>105169310</v>
      </c>
      <c r="D9" s="1">
        <v>36376136</v>
      </c>
      <c r="E9" s="1">
        <v>30647391.75</v>
      </c>
      <c r="F9" s="1">
        <v>23812178.73</v>
      </c>
      <c r="G9" s="1">
        <v>20423122.440000001</v>
      </c>
      <c r="H9" s="1">
        <v>23849308.280000001</v>
      </c>
      <c r="I9" s="1">
        <v>18928245.73</v>
      </c>
      <c r="J9" s="1">
        <v>6122172.4900000002</v>
      </c>
    </row>
    <row r="10" spans="1:10" x14ac:dyDescent="0.3">
      <c r="A10" t="s">
        <v>11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3">
      <c r="A11" t="s">
        <v>12</v>
      </c>
      <c r="B11" s="1">
        <v>0</v>
      </c>
      <c r="C11" s="1">
        <v>0</v>
      </c>
      <c r="D11" s="1">
        <v>0</v>
      </c>
      <c r="E11" s="1">
        <v>1000565</v>
      </c>
      <c r="F11" s="1">
        <v>3000565</v>
      </c>
      <c r="G11" s="1">
        <v>6459498</v>
      </c>
      <c r="H11" s="1">
        <v>3954240.88</v>
      </c>
      <c r="I11" s="1">
        <v>6482710.8799999999</v>
      </c>
      <c r="J11" s="1">
        <v>25556923.030000001</v>
      </c>
    </row>
    <row r="12" spans="1:10" x14ac:dyDescent="0.3">
      <c r="A12" t="s">
        <v>13</v>
      </c>
      <c r="B12" s="1">
        <v>0</v>
      </c>
      <c r="C12" s="1">
        <v>13097438</v>
      </c>
      <c r="D12" s="1">
        <v>18649412</v>
      </c>
      <c r="E12" s="1">
        <v>30263997</v>
      </c>
      <c r="F12" s="1">
        <v>43410137.520000003</v>
      </c>
      <c r="G12" s="1">
        <v>64235850.520000003</v>
      </c>
      <c r="H12" s="1">
        <v>76763664.519999996</v>
      </c>
      <c r="I12" s="1">
        <v>85448795.519999996</v>
      </c>
      <c r="J12" s="1">
        <v>89423705.079999998</v>
      </c>
    </row>
    <row r="13" spans="1:10" x14ac:dyDescent="0.3">
      <c r="A13" t="s">
        <v>14</v>
      </c>
      <c r="B13" s="1">
        <v>263284450</v>
      </c>
      <c r="C13" s="1">
        <v>395049758.39999998</v>
      </c>
      <c r="D13" s="1">
        <f>68000000+367549758</f>
        <v>435549758</v>
      </c>
      <c r="E13" s="1">
        <v>278373396.24000001</v>
      </c>
      <c r="F13" s="1">
        <v>199539550.44999999</v>
      </c>
      <c r="G13" s="1">
        <v>96787373</v>
      </c>
      <c r="H13" s="1">
        <v>98724882</v>
      </c>
      <c r="I13" s="1">
        <v>120623325</v>
      </c>
      <c r="J13" s="1">
        <v>173309825.94999999</v>
      </c>
    </row>
    <row r="14" spans="1:10" x14ac:dyDescent="0.3">
      <c r="A14" s="4" t="s">
        <v>1</v>
      </c>
      <c r="B14" s="3">
        <f t="shared" ref="B14:C14" si="5">SUM(B8:B13)</f>
        <v>461785261.63</v>
      </c>
      <c r="C14" s="3">
        <f t="shared" si="5"/>
        <v>581234295.33999991</v>
      </c>
      <c r="D14" s="3">
        <f t="shared" ref="D14:F14" si="6">SUM(D8:D13)</f>
        <v>551495191.64999998</v>
      </c>
      <c r="E14" s="3">
        <f t="shared" si="6"/>
        <v>404023592.63999999</v>
      </c>
      <c r="F14" s="3">
        <f t="shared" si="6"/>
        <v>369616743.35000002</v>
      </c>
      <c r="G14" s="3">
        <f>SUM(G8:G13)</f>
        <v>379413943.61000001</v>
      </c>
      <c r="H14" s="3">
        <f>SUM(H8:H13)</f>
        <v>400071678.88999999</v>
      </c>
      <c r="I14" s="3">
        <f>SUM(I8:I13)</f>
        <v>460814626.06</v>
      </c>
      <c r="J14" s="3">
        <f>SUM(J8:J13)</f>
        <v>547356638.40999997</v>
      </c>
    </row>
    <row r="15" spans="1:10" x14ac:dyDescent="0.3">
      <c r="A15" t="s">
        <v>16</v>
      </c>
      <c r="B15" s="1">
        <v>3781492989.25</v>
      </c>
      <c r="C15" s="1">
        <v>961517965.37</v>
      </c>
      <c r="D15" s="1">
        <v>344377288.12</v>
      </c>
      <c r="E15" s="1">
        <v>287581912.27999997</v>
      </c>
      <c r="F15" s="1">
        <v>230567992.40000001</v>
      </c>
      <c r="G15" s="1">
        <v>476436758.31</v>
      </c>
      <c r="H15" s="1">
        <v>125774164.22</v>
      </c>
      <c r="I15" s="1">
        <v>184438961.86000001</v>
      </c>
      <c r="J15" s="1">
        <v>112349569.77</v>
      </c>
    </row>
    <row r="16" spans="1:10" x14ac:dyDescent="0.3">
      <c r="A16" t="s">
        <v>15</v>
      </c>
      <c r="B16" s="1">
        <v>0</v>
      </c>
      <c r="C16" s="1">
        <v>1079821794.27</v>
      </c>
      <c r="D16" s="1">
        <v>576790151</v>
      </c>
      <c r="E16" s="1">
        <v>368228767.48000002</v>
      </c>
      <c r="F16" s="1">
        <v>360931089.52999997</v>
      </c>
      <c r="G16" s="1">
        <v>68125503.819999993</v>
      </c>
      <c r="H16" s="1">
        <v>374661408.25999999</v>
      </c>
      <c r="I16" s="1">
        <v>291969084.50999999</v>
      </c>
      <c r="J16" s="1">
        <v>610742894.25</v>
      </c>
    </row>
    <row r="17" spans="1:10" x14ac:dyDescent="0.3">
      <c r="A17" t="s">
        <v>17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1:10" x14ac:dyDescent="0.3">
      <c r="A18" t="s">
        <v>18</v>
      </c>
      <c r="B18" s="1">
        <v>0</v>
      </c>
      <c r="C18" s="1">
        <v>91991222</v>
      </c>
      <c r="D18" s="1">
        <v>85849984.549999997</v>
      </c>
      <c r="E18" s="1">
        <v>31301823.969999999</v>
      </c>
      <c r="F18" s="1">
        <v>45637925.109999999</v>
      </c>
      <c r="G18" s="1">
        <v>44167783.240000002</v>
      </c>
      <c r="H18" s="1">
        <v>87614242.040000007</v>
      </c>
      <c r="I18" s="1">
        <v>76690198.780000001</v>
      </c>
      <c r="J18" s="1">
        <v>89023246.950000003</v>
      </c>
    </row>
    <row r="19" spans="1:10" x14ac:dyDescent="0.3">
      <c r="A19" t="s">
        <v>19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</row>
    <row r="20" spans="1:10" x14ac:dyDescent="0.3">
      <c r="A20" s="4" t="s">
        <v>2</v>
      </c>
      <c r="B20" s="3">
        <f t="shared" ref="B20:F20" si="7">SUM(B15:B19)</f>
        <v>3781492989.25</v>
      </c>
      <c r="C20" s="3">
        <f t="shared" ref="C20" si="8">SUM(C15:C19)</f>
        <v>2133330981.6399999</v>
      </c>
      <c r="D20" s="3">
        <f t="shared" si="7"/>
        <v>1007017423.67</v>
      </c>
      <c r="E20" s="3">
        <f t="shared" si="7"/>
        <v>687112503.73000002</v>
      </c>
      <c r="F20" s="3">
        <f t="shared" si="7"/>
        <v>637137007.03999996</v>
      </c>
      <c r="G20" s="3">
        <f>SUM(G15:G19)</f>
        <v>588730045.37</v>
      </c>
      <c r="H20" s="3">
        <f>SUM(H15:H19)</f>
        <v>588049814.51999998</v>
      </c>
      <c r="I20" s="3">
        <f>SUM(I15:I19)</f>
        <v>553098245.14999998</v>
      </c>
      <c r="J20" s="3">
        <f>SUM(J15:J19)</f>
        <v>812115710.97000003</v>
      </c>
    </row>
    <row r="21" spans="1:10" x14ac:dyDescent="0.3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89604244.920000002</v>
      </c>
    </row>
    <row r="22" spans="1:10" x14ac:dyDescent="0.3">
      <c r="A22" s="70" t="s">
        <v>4</v>
      </c>
      <c r="B22" s="37">
        <f t="shared" ref="B22:C22" si="9">B7-B14-B20-B21</f>
        <v>-1465533038.3500018</v>
      </c>
      <c r="C22" s="37">
        <f t="shared" si="9"/>
        <v>-1409832944.660002</v>
      </c>
      <c r="D22" s="37">
        <f t="shared" ref="D22:E22" si="10">D7-D14-D20-D21</f>
        <v>-2186478972.2000027</v>
      </c>
      <c r="E22" s="37">
        <f t="shared" si="10"/>
        <v>-1630007572.6300013</v>
      </c>
      <c r="F22" s="37">
        <f>F7-F14-F20-F21</f>
        <v>-1015076724.8100009</v>
      </c>
      <c r="G22" s="37">
        <f>G7-G14-G20-G21</f>
        <v>-441540094.46000063</v>
      </c>
      <c r="H22" s="37">
        <f>H7-H14-H20-H21</f>
        <v>115933071.25000226</v>
      </c>
      <c r="I22" s="37">
        <f>I7-I14-I20-I21</f>
        <v>337934294.86000049</v>
      </c>
      <c r="J22" s="37">
        <f>J7-J14-J20-J21</f>
        <v>-275451056.83000165</v>
      </c>
    </row>
    <row r="23" spans="1:10" x14ac:dyDescent="0.3">
      <c r="B23" s="1">
        <v>-14720731.41</v>
      </c>
      <c r="C23" s="1">
        <v>-454837720.60000002</v>
      </c>
      <c r="D23" s="1">
        <v>-12545460.939999999</v>
      </c>
      <c r="E23" s="1">
        <v>-240459049.11000001</v>
      </c>
      <c r="F23" s="1">
        <v>-149162384.16999999</v>
      </c>
      <c r="G23" s="1">
        <v>-96790844.150000006</v>
      </c>
      <c r="H23" s="1">
        <v>-126891956.64</v>
      </c>
      <c r="I23" s="1">
        <v>-155972211.25</v>
      </c>
      <c r="J23" s="1">
        <v>-25988628.609999999</v>
      </c>
    </row>
    <row r="24" spans="1:10" x14ac:dyDescent="0.3">
      <c r="A24" t="s">
        <v>364</v>
      </c>
      <c r="B24" s="6">
        <f>B8/B3*100</f>
        <v>0.34842028935075942</v>
      </c>
      <c r="C24" s="6">
        <f>C8/C3*100</f>
        <v>0.39007590894307986</v>
      </c>
      <c r="D24" s="6">
        <f t="shared" ref="D24:G24" si="11">D8/D3*100</f>
        <v>0.35945591214031625</v>
      </c>
      <c r="E24" s="6">
        <f t="shared" si="11"/>
        <v>0.35970979733590824</v>
      </c>
      <c r="F24" s="6">
        <f t="shared" si="11"/>
        <v>0.51179753379467008</v>
      </c>
      <c r="G24" s="6">
        <f t="shared" si="11"/>
        <v>1.2277361175868735</v>
      </c>
      <c r="H24" s="6">
        <f t="shared" ref="H24:J24" si="12">H8/H3*100</f>
        <v>1.5429455350974564</v>
      </c>
      <c r="I24" s="6">
        <f t="shared" ref="I24" si="13">I8/I3*100</f>
        <v>3.3016361048677529</v>
      </c>
      <c r="J24" s="6">
        <f t="shared" si="12"/>
        <v>3.5765520683339442</v>
      </c>
    </row>
    <row r="52" spans="1:10" x14ac:dyDescent="0.3">
      <c r="A52" t="s">
        <v>14</v>
      </c>
      <c r="B52" s="1">
        <f>SUM(B11:B13)</f>
        <v>263284450</v>
      </c>
      <c r="C52" s="1">
        <f>SUM(C11:C13)</f>
        <v>408147196.39999998</v>
      </c>
      <c r="D52" s="1">
        <f t="shared" ref="D52:G52" si="14">SUM(D11:D13)</f>
        <v>454199170</v>
      </c>
      <c r="E52" s="1">
        <f t="shared" si="14"/>
        <v>309637958.24000001</v>
      </c>
      <c r="F52" s="1">
        <f t="shared" si="14"/>
        <v>245950252.97</v>
      </c>
      <c r="G52" s="1">
        <f t="shared" si="14"/>
        <v>167482721.52000001</v>
      </c>
      <c r="H52" s="1">
        <f t="shared" ref="H52:J52" si="15">SUM(H11:H13)</f>
        <v>179442787.39999998</v>
      </c>
      <c r="I52" s="1">
        <f t="shared" ref="I52" si="16">SUM(I11:I13)</f>
        <v>212554831.39999998</v>
      </c>
      <c r="J52" s="1">
        <f t="shared" si="15"/>
        <v>288290454.06</v>
      </c>
    </row>
  </sheetData>
  <conditionalFormatting sqref="E22:G22 J22">
    <cfRule type="cellIs" dxfId="125" priority="36" operator="greaterThan">
      <formula>0</formula>
    </cfRule>
  </conditionalFormatting>
  <conditionalFormatting sqref="E22:G22 J22">
    <cfRule type="cellIs" dxfId="124" priority="33" operator="greaterThan">
      <formula>0</formula>
    </cfRule>
    <cfRule type="cellIs" dxfId="123" priority="34" operator="lessThan">
      <formula>0</formula>
    </cfRule>
  </conditionalFormatting>
  <conditionalFormatting sqref="D22">
    <cfRule type="cellIs" dxfId="122" priority="27" operator="greaterThan">
      <formula>0</formula>
    </cfRule>
  </conditionalFormatting>
  <conditionalFormatting sqref="D22">
    <cfRule type="cellIs" dxfId="121" priority="25" operator="greaterThan">
      <formula>0</formula>
    </cfRule>
    <cfRule type="cellIs" dxfId="120" priority="26" operator="lessThan">
      <formula>0</formula>
    </cfRule>
  </conditionalFormatting>
  <conditionalFormatting sqref="B22">
    <cfRule type="cellIs" dxfId="119" priority="24" operator="greaterThan">
      <formula>0</formula>
    </cfRule>
  </conditionalFormatting>
  <conditionalFormatting sqref="B22">
    <cfRule type="cellIs" dxfId="118" priority="22" operator="greaterThan">
      <formula>0</formula>
    </cfRule>
    <cfRule type="cellIs" dxfId="117" priority="23" operator="lessThan">
      <formula>0</formula>
    </cfRule>
  </conditionalFormatting>
  <conditionalFormatting sqref="G22 J22">
    <cfRule type="cellIs" dxfId="116" priority="21" operator="greaterThan">
      <formula>0</formula>
    </cfRule>
  </conditionalFormatting>
  <conditionalFormatting sqref="G22 J22">
    <cfRule type="cellIs" dxfId="115" priority="19" operator="greaterThan">
      <formula>0</formula>
    </cfRule>
    <cfRule type="cellIs" dxfId="114" priority="20" operator="lessThan">
      <formula>0</formula>
    </cfRule>
  </conditionalFormatting>
  <conditionalFormatting sqref="H22">
    <cfRule type="cellIs" dxfId="113" priority="18" operator="greaterThan">
      <formula>0</formula>
    </cfRule>
  </conditionalFormatting>
  <conditionalFormatting sqref="H22">
    <cfRule type="cellIs" dxfId="112" priority="16" operator="greaterThan">
      <formula>0</formula>
    </cfRule>
    <cfRule type="cellIs" dxfId="111" priority="17" operator="lessThan">
      <formula>0</formula>
    </cfRule>
  </conditionalFormatting>
  <conditionalFormatting sqref="H22">
    <cfRule type="cellIs" dxfId="110" priority="15" operator="greaterThan">
      <formula>0</formula>
    </cfRule>
  </conditionalFormatting>
  <conditionalFormatting sqref="H22">
    <cfRule type="cellIs" dxfId="109" priority="13" operator="greaterThan">
      <formula>0</formula>
    </cfRule>
    <cfRule type="cellIs" dxfId="108" priority="14" operator="lessThan">
      <formula>0</formula>
    </cfRule>
  </conditionalFormatting>
  <conditionalFormatting sqref="I22">
    <cfRule type="cellIs" dxfId="107" priority="12" operator="greaterThan">
      <formula>0</formula>
    </cfRule>
  </conditionalFormatting>
  <conditionalFormatting sqref="I22">
    <cfRule type="cellIs" dxfId="106" priority="10" operator="greaterThan">
      <formula>0</formula>
    </cfRule>
    <cfRule type="cellIs" dxfId="105" priority="11" operator="lessThan">
      <formula>0</formula>
    </cfRule>
  </conditionalFormatting>
  <conditionalFormatting sqref="I22">
    <cfRule type="cellIs" dxfId="104" priority="9" operator="greaterThan">
      <formula>0</formula>
    </cfRule>
  </conditionalFormatting>
  <conditionalFormatting sqref="I22">
    <cfRule type="cellIs" dxfId="103" priority="7" operator="greaterThan">
      <formula>0</formula>
    </cfRule>
    <cfRule type="cellIs" dxfId="102" priority="8" operator="lessThan">
      <formula>0</formula>
    </cfRule>
  </conditionalFormatting>
  <conditionalFormatting sqref="C22">
    <cfRule type="cellIs" dxfId="101" priority="3" operator="greaterThan">
      <formula>0</formula>
    </cfRule>
  </conditionalFormatting>
  <conditionalFormatting sqref="C22">
    <cfRule type="cellIs" dxfId="100" priority="1" operator="greaterThan">
      <formula>0</formula>
    </cfRule>
    <cfRule type="cellIs" dxfId="99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pane xSplit="2" ySplit="1" topLeftCell="D29" activePane="bottomRight" state="frozen"/>
      <selection pane="topRight" activeCell="C1" sqref="C1"/>
      <selection pane="bottomLeft" activeCell="A2" sqref="A2"/>
      <selection pane="bottomRight" sqref="A1:K2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11" width="13.88671875" bestFit="1" customWidth="1"/>
    <col min="12" max="12" width="13.44140625" bestFit="1" customWidth="1"/>
  </cols>
  <sheetData>
    <row r="1" spans="1:12" x14ac:dyDescent="0.3">
      <c r="C1" s="100">
        <v>2013</v>
      </c>
      <c r="D1" s="113">
        <v>2014</v>
      </c>
      <c r="E1" s="96">
        <v>2015</v>
      </c>
      <c r="F1" s="96">
        <v>2016</v>
      </c>
      <c r="G1" s="12">
        <v>2017</v>
      </c>
      <c r="H1" s="12">
        <v>2018</v>
      </c>
      <c r="I1" s="12">
        <v>2019</v>
      </c>
      <c r="J1" s="12">
        <v>2020</v>
      </c>
      <c r="K1" s="12">
        <v>2021</v>
      </c>
      <c r="L1" s="12" t="s">
        <v>265</v>
      </c>
    </row>
    <row r="2" spans="1:12" x14ac:dyDescent="0.3">
      <c r="A2" t="s">
        <v>235</v>
      </c>
      <c r="B2" s="26" t="s">
        <v>259</v>
      </c>
      <c r="C2" s="1">
        <v>18884862853</v>
      </c>
      <c r="D2" s="1">
        <v>19486364957</v>
      </c>
      <c r="E2" s="1">
        <v>19336210445</v>
      </c>
      <c r="F2" s="1">
        <v>20354807099</v>
      </c>
      <c r="G2" s="1">
        <v>21356690142</v>
      </c>
      <c r="H2" s="1">
        <v>20735390535</v>
      </c>
      <c r="I2" s="1">
        <v>21142712464</v>
      </c>
      <c r="J2" s="1">
        <v>21693501930</v>
      </c>
      <c r="K2" s="1">
        <v>22133071139</v>
      </c>
      <c r="L2" s="1">
        <f>K2-J2</f>
        <v>439569209</v>
      </c>
    </row>
    <row r="3" spans="1:12" x14ac:dyDescent="0.3">
      <c r="A3" t="s">
        <v>236</v>
      </c>
      <c r="B3" s="26" t="s">
        <v>259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f t="shared" ref="L3:L28" si="0">K3-J3</f>
        <v>0</v>
      </c>
    </row>
    <row r="4" spans="1:12" x14ac:dyDescent="0.3">
      <c r="A4" t="s">
        <v>237</v>
      </c>
      <c r="B4" s="26" t="s">
        <v>259</v>
      </c>
      <c r="C4" s="1">
        <f>1811328804+438071335</f>
        <v>2249400139</v>
      </c>
      <c r="D4" s="1">
        <v>2257772550</v>
      </c>
      <c r="E4" s="1">
        <v>2362184939</v>
      </c>
      <c r="F4" s="1">
        <v>1360208546</v>
      </c>
      <c r="G4" s="1">
        <v>1538113614</v>
      </c>
      <c r="H4" s="1">
        <v>1996385460</v>
      </c>
      <c r="I4" s="1">
        <v>1712970652</v>
      </c>
      <c r="J4" s="1">
        <v>2578248913</v>
      </c>
      <c r="K4" s="1">
        <v>3124995523</v>
      </c>
      <c r="L4" s="1">
        <f t="shared" si="0"/>
        <v>546746610</v>
      </c>
    </row>
    <row r="5" spans="1:12" x14ac:dyDescent="0.3">
      <c r="A5" t="s">
        <v>238</v>
      </c>
      <c r="B5" s="26" t="s">
        <v>259</v>
      </c>
      <c r="C5" s="1">
        <v>1002385090</v>
      </c>
      <c r="D5" s="1">
        <v>1006752730</v>
      </c>
      <c r="E5" s="1">
        <v>1013325518</v>
      </c>
      <c r="F5" s="1">
        <v>960653318</v>
      </c>
      <c r="G5" s="1">
        <v>1054459221</v>
      </c>
      <c r="H5" s="1">
        <v>1285598735</v>
      </c>
      <c r="I5" s="1">
        <v>1296343107</v>
      </c>
      <c r="J5" s="1">
        <v>1226568564</v>
      </c>
      <c r="K5" s="1">
        <v>1035289114</v>
      </c>
      <c r="L5" s="1">
        <f t="shared" si="0"/>
        <v>-191279450</v>
      </c>
    </row>
    <row r="6" spans="1:12" x14ac:dyDescent="0.3">
      <c r="A6" t="s">
        <v>239</v>
      </c>
      <c r="B6" s="26" t="s">
        <v>259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f t="shared" si="0"/>
        <v>0</v>
      </c>
    </row>
    <row r="7" spans="1:12" x14ac:dyDescent="0.3">
      <c r="A7" t="s">
        <v>240</v>
      </c>
      <c r="B7" s="26" t="s">
        <v>259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f t="shared" si="0"/>
        <v>0</v>
      </c>
    </row>
    <row r="8" spans="1:12" x14ac:dyDescent="0.3">
      <c r="A8" t="s">
        <v>241</v>
      </c>
      <c r="B8" s="26" t="s">
        <v>259</v>
      </c>
      <c r="C8" s="1">
        <v>24239505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0</v>
      </c>
    </row>
    <row r="9" spans="1:12" x14ac:dyDescent="0.3">
      <c r="A9" s="32" t="s">
        <v>242</v>
      </c>
      <c r="B9" s="33" t="s">
        <v>259</v>
      </c>
      <c r="C9" s="34">
        <v>1123501175</v>
      </c>
      <c r="D9" s="34">
        <v>1034532319</v>
      </c>
      <c r="E9" s="34">
        <v>795322916</v>
      </c>
      <c r="F9" s="34">
        <v>346283910</v>
      </c>
      <c r="G9" s="34">
        <v>347629223</v>
      </c>
      <c r="H9" s="34">
        <v>412031199</v>
      </c>
      <c r="I9" s="34">
        <v>267183886</v>
      </c>
      <c r="J9" s="34">
        <v>424446439</v>
      </c>
      <c r="K9" s="34">
        <v>215169146</v>
      </c>
      <c r="L9" s="1">
        <f t="shared" si="0"/>
        <v>-209277293</v>
      </c>
    </row>
    <row r="10" spans="1:12" x14ac:dyDescent="0.3">
      <c r="A10" s="35" t="s">
        <v>263</v>
      </c>
      <c r="B10" s="36" t="s">
        <v>259</v>
      </c>
      <c r="C10" s="94">
        <f t="shared" ref="C10:E10" si="1">SUM(C2:C9)</f>
        <v>23284388762</v>
      </c>
      <c r="D10" s="94">
        <f t="shared" ref="D10" si="2">SUM(D2:D9)</f>
        <v>23785422556</v>
      </c>
      <c r="E10" s="94">
        <f t="shared" si="1"/>
        <v>23507043818</v>
      </c>
      <c r="F10" s="94">
        <f t="shared" ref="F10:H10" si="3">SUM(F2:F9)</f>
        <v>23021952873</v>
      </c>
      <c r="G10" s="94">
        <f t="shared" si="3"/>
        <v>24296892200</v>
      </c>
      <c r="H10" s="94">
        <f t="shared" si="3"/>
        <v>24429405929</v>
      </c>
      <c r="I10" s="94">
        <f t="shared" ref="I10" si="4">SUM(I2:I9)</f>
        <v>24419210109</v>
      </c>
      <c r="J10" s="94">
        <f t="shared" ref="J10" si="5">SUM(J2:J9)</f>
        <v>25922765846</v>
      </c>
      <c r="K10" s="94">
        <f t="shared" ref="K10" si="6">SUM(K2:K9)</f>
        <v>26508524922</v>
      </c>
      <c r="L10" s="11">
        <f t="shared" si="0"/>
        <v>585759076</v>
      </c>
    </row>
    <row r="11" spans="1:12" x14ac:dyDescent="0.3">
      <c r="A11" t="s">
        <v>243</v>
      </c>
      <c r="B11" s="26" t="s">
        <v>260</v>
      </c>
      <c r="C11" s="1">
        <v>5164593</v>
      </c>
      <c r="D11" s="1">
        <v>6428123</v>
      </c>
      <c r="E11" s="1">
        <v>6594848</v>
      </c>
      <c r="F11" s="1">
        <v>5732654</v>
      </c>
      <c r="G11" s="1">
        <v>2963092</v>
      </c>
      <c r="H11" s="1">
        <v>2863372</v>
      </c>
      <c r="I11" s="1">
        <v>3522335</v>
      </c>
      <c r="J11" s="1">
        <v>4319866</v>
      </c>
      <c r="K11" s="1">
        <v>1602379</v>
      </c>
      <c r="L11" s="1">
        <f t="shared" si="0"/>
        <v>-2717487</v>
      </c>
    </row>
    <row r="12" spans="1:12" x14ac:dyDescent="0.3">
      <c r="A12" t="s">
        <v>244</v>
      </c>
      <c r="B12" s="26" t="s">
        <v>260</v>
      </c>
      <c r="C12" s="1">
        <v>1377533091</v>
      </c>
      <c r="D12" s="1">
        <v>1340569307</v>
      </c>
      <c r="E12" s="1">
        <v>1614931407</v>
      </c>
      <c r="F12" s="1">
        <v>1312573661</v>
      </c>
      <c r="G12" s="1">
        <v>1316158215</v>
      </c>
      <c r="H12" s="1">
        <v>1403000561</v>
      </c>
      <c r="I12" s="1">
        <v>1433122398</v>
      </c>
      <c r="J12" s="1">
        <v>1630876599</v>
      </c>
      <c r="K12" s="1">
        <v>1343458437</v>
      </c>
      <c r="L12" s="1">
        <f t="shared" si="0"/>
        <v>-287418162</v>
      </c>
    </row>
    <row r="13" spans="1:12" x14ac:dyDescent="0.3">
      <c r="A13" t="s">
        <v>245</v>
      </c>
      <c r="B13" s="26" t="s">
        <v>260</v>
      </c>
      <c r="C13" s="1">
        <v>3934573</v>
      </c>
      <c r="D13" s="1">
        <v>3191432</v>
      </c>
      <c r="E13" s="1">
        <v>2708563</v>
      </c>
      <c r="F13" s="1">
        <v>2543958</v>
      </c>
      <c r="G13" s="1">
        <v>2362699</v>
      </c>
      <c r="H13" s="1">
        <v>2111351</v>
      </c>
      <c r="I13" s="1">
        <v>2948201</v>
      </c>
      <c r="J13" s="1">
        <v>2337469</v>
      </c>
      <c r="K13" s="1">
        <v>2019314</v>
      </c>
      <c r="L13" s="1">
        <f t="shared" si="0"/>
        <v>-318155</v>
      </c>
    </row>
    <row r="14" spans="1:12" x14ac:dyDescent="0.3">
      <c r="A14" t="s">
        <v>246</v>
      </c>
      <c r="B14" s="26" t="s">
        <v>260</v>
      </c>
      <c r="C14" s="1">
        <f>19807524133+827336929+246896530</f>
        <v>20881757592</v>
      </c>
      <c r="D14" s="1">
        <v>21699112254</v>
      </c>
      <c r="E14" s="1">
        <v>21273128975</v>
      </c>
      <c r="F14" s="1">
        <v>20985938215</v>
      </c>
      <c r="G14" s="1">
        <v>21250566730</v>
      </c>
      <c r="H14" s="1">
        <v>21978488954</v>
      </c>
      <c r="I14" s="1">
        <v>22359588266</v>
      </c>
      <c r="J14" s="1">
        <v>23476729853</v>
      </c>
      <c r="K14" s="1">
        <v>25395168036</v>
      </c>
      <c r="L14" s="1">
        <f t="shared" si="0"/>
        <v>1918438183</v>
      </c>
    </row>
    <row r="15" spans="1:12" x14ac:dyDescent="0.3">
      <c r="A15" t="s">
        <v>247</v>
      </c>
      <c r="B15" s="26" t="s">
        <v>260</v>
      </c>
      <c r="C15" s="1">
        <v>156983327</v>
      </c>
      <c r="D15" s="1">
        <v>151810127</v>
      </c>
      <c r="E15" s="1">
        <v>147707029</v>
      </c>
      <c r="F15" s="1">
        <v>160986929</v>
      </c>
      <c r="G15" s="1">
        <v>174718157</v>
      </c>
      <c r="H15" s="1">
        <v>161990469</v>
      </c>
      <c r="I15" s="1">
        <v>158182355</v>
      </c>
      <c r="J15" s="1">
        <v>151897818</v>
      </c>
      <c r="K15" s="1">
        <v>153958431</v>
      </c>
      <c r="L15" s="1">
        <f t="shared" si="0"/>
        <v>2060613</v>
      </c>
    </row>
    <row r="16" spans="1:12" x14ac:dyDescent="0.3">
      <c r="A16" t="s">
        <v>248</v>
      </c>
      <c r="B16" s="26" t="s">
        <v>260</v>
      </c>
      <c r="C16" s="1">
        <f>23914920+19271283+74147839</f>
        <v>117334042</v>
      </c>
      <c r="D16" s="1">
        <v>57248323</v>
      </c>
      <c r="E16" s="1">
        <v>58071559</v>
      </c>
      <c r="F16" s="1">
        <v>56005232</v>
      </c>
      <c r="G16" s="1">
        <v>56318014</v>
      </c>
      <c r="H16" s="1">
        <v>63837262</v>
      </c>
      <c r="I16" s="1">
        <v>61397502</v>
      </c>
      <c r="J16" s="1">
        <v>65355244</v>
      </c>
      <c r="K16" s="1">
        <v>68751236</v>
      </c>
      <c r="L16" s="1">
        <f t="shared" si="0"/>
        <v>3395992</v>
      </c>
    </row>
    <row r="17" spans="1:12" x14ac:dyDescent="0.3">
      <c r="A17" t="s">
        <v>249</v>
      </c>
      <c r="B17" s="26" t="s">
        <v>260</v>
      </c>
      <c r="C17" s="1">
        <v>-22013</v>
      </c>
      <c r="D17" s="1">
        <v>-103493</v>
      </c>
      <c r="E17" s="1">
        <v>40921</v>
      </c>
      <c r="F17" s="1">
        <v>-992364</v>
      </c>
      <c r="G17" s="1">
        <v>1007719</v>
      </c>
      <c r="H17" s="1">
        <v>2659</v>
      </c>
      <c r="I17" s="1">
        <v>-7046</v>
      </c>
      <c r="J17" s="1">
        <v>43324</v>
      </c>
      <c r="K17" s="1">
        <v>-13496</v>
      </c>
      <c r="L17" s="1">
        <f t="shared" si="0"/>
        <v>-56820</v>
      </c>
    </row>
    <row r="18" spans="1:12" x14ac:dyDescent="0.3">
      <c r="A18" t="s">
        <v>250</v>
      </c>
      <c r="B18" s="26" t="s">
        <v>260</v>
      </c>
      <c r="C18" s="1">
        <v>201190500</v>
      </c>
      <c r="D18" s="1">
        <v>21097438</v>
      </c>
      <c r="E18" s="1">
        <v>13551974</v>
      </c>
      <c r="F18" s="1">
        <v>16410515</v>
      </c>
      <c r="G18" s="1">
        <v>0</v>
      </c>
      <c r="H18" s="1">
        <v>0</v>
      </c>
      <c r="I18" s="1">
        <v>14465323</v>
      </c>
      <c r="J18" s="1">
        <v>30583574</v>
      </c>
      <c r="K18" s="1">
        <v>56661411</v>
      </c>
      <c r="L18" s="1">
        <f t="shared" si="0"/>
        <v>26077837</v>
      </c>
    </row>
    <row r="19" spans="1:12" x14ac:dyDescent="0.3">
      <c r="A19" t="s">
        <v>14</v>
      </c>
      <c r="B19" s="26" t="s">
        <v>260</v>
      </c>
      <c r="C19" s="1">
        <v>0</v>
      </c>
      <c r="D19" s="1">
        <v>0</v>
      </c>
      <c r="E19" s="1">
        <v>9397982</v>
      </c>
      <c r="F19" s="1">
        <v>1058323</v>
      </c>
      <c r="G19" s="1">
        <v>42297232</v>
      </c>
      <c r="H19" s="1">
        <v>127652406</v>
      </c>
      <c r="I19" s="1">
        <v>30808731</v>
      </c>
      <c r="J19" s="1">
        <v>74775460</v>
      </c>
      <c r="K19" s="1">
        <v>24211344</v>
      </c>
      <c r="L19" s="1">
        <f t="shared" si="0"/>
        <v>-50564116</v>
      </c>
    </row>
    <row r="20" spans="1:12" x14ac:dyDescent="0.3">
      <c r="A20" s="32" t="s">
        <v>251</v>
      </c>
      <c r="B20" s="33" t="s">
        <v>260</v>
      </c>
      <c r="C20" s="34">
        <v>17608724</v>
      </c>
      <c r="D20" s="34">
        <v>326486638</v>
      </c>
      <c r="E20" s="34">
        <v>311836011</v>
      </c>
      <c r="F20" s="34">
        <v>93957782</v>
      </c>
      <c r="G20" s="34">
        <v>929946055</v>
      </c>
      <c r="H20" s="34">
        <v>231564785</v>
      </c>
      <c r="I20" s="34">
        <v>118214490</v>
      </c>
      <c r="J20" s="34">
        <v>268141186</v>
      </c>
      <c r="K20" s="34">
        <v>105510439</v>
      </c>
      <c r="L20" s="1">
        <f t="shared" si="0"/>
        <v>-162630747</v>
      </c>
    </row>
    <row r="21" spans="1:12" x14ac:dyDescent="0.3">
      <c r="A21" s="35" t="s">
        <v>264</v>
      </c>
      <c r="B21" s="36" t="s">
        <v>260</v>
      </c>
      <c r="C21" s="94">
        <f>SUM(C11:C20)</f>
        <v>22761484429</v>
      </c>
      <c r="D21" s="94">
        <f>SUM(D11:D20)</f>
        <v>23605840149</v>
      </c>
      <c r="E21" s="94">
        <f>SUM(E11:E20)</f>
        <v>23437969269</v>
      </c>
      <c r="F21" s="94">
        <f>SUM(F11:F20)</f>
        <v>22634214905</v>
      </c>
      <c r="G21" s="94">
        <f t="shared" ref="G21:H21" si="7">SUM(G11:G20)</f>
        <v>23776337913</v>
      </c>
      <c r="H21" s="94">
        <f t="shared" si="7"/>
        <v>23971511819</v>
      </c>
      <c r="I21" s="94">
        <f t="shared" ref="I21" si="8">SUM(I11:I20)</f>
        <v>24182242555</v>
      </c>
      <c r="J21" s="94">
        <f t="shared" ref="J21" si="9">SUM(J11:J20)</f>
        <v>25705060393</v>
      </c>
      <c r="K21" s="94">
        <f t="shared" ref="K21" si="10">SUM(K11:K20)</f>
        <v>27151327531</v>
      </c>
      <c r="L21" s="11">
        <f t="shared" si="0"/>
        <v>1446267138</v>
      </c>
    </row>
    <row r="22" spans="1:12" x14ac:dyDescent="0.3">
      <c r="A22" t="s">
        <v>252</v>
      </c>
      <c r="B22" s="26" t="s">
        <v>259</v>
      </c>
      <c r="C22" s="1">
        <v>82814563</v>
      </c>
      <c r="D22" s="1">
        <v>110379405</v>
      </c>
      <c r="E22" s="1">
        <v>100908047</v>
      </c>
      <c r="F22" s="1">
        <v>63412958</v>
      </c>
      <c r="G22" s="1">
        <v>40948452</v>
      </c>
      <c r="H22" s="1">
        <v>57664792</v>
      </c>
      <c r="I22" s="1">
        <v>36606638</v>
      </c>
      <c r="J22" s="1">
        <v>29515875</v>
      </c>
      <c r="K22" s="1">
        <v>17639049</v>
      </c>
      <c r="L22" s="1">
        <f t="shared" si="0"/>
        <v>-11876826</v>
      </c>
    </row>
    <row r="23" spans="1:12" x14ac:dyDescent="0.3">
      <c r="A23" t="s">
        <v>253</v>
      </c>
      <c r="B23" s="26" t="s">
        <v>260</v>
      </c>
      <c r="C23" s="1">
        <v>138332589</v>
      </c>
      <c r="D23" s="1">
        <v>132939786</v>
      </c>
      <c r="E23" s="1">
        <v>139703622</v>
      </c>
      <c r="F23" s="1">
        <v>101803054</v>
      </c>
      <c r="G23" s="1">
        <v>87656614</v>
      </c>
      <c r="H23" s="1">
        <v>86809866</v>
      </c>
      <c r="I23" s="1">
        <v>86611190</v>
      </c>
      <c r="J23" s="1">
        <v>82439245</v>
      </c>
      <c r="K23" s="1">
        <v>77782093</v>
      </c>
      <c r="L23" s="1">
        <f t="shared" si="0"/>
        <v>-4657152</v>
      </c>
    </row>
    <row r="24" spans="1:12" x14ac:dyDescent="0.3">
      <c r="A24" t="s">
        <v>254</v>
      </c>
      <c r="B24" s="26" t="s">
        <v>259</v>
      </c>
      <c r="C24" s="1">
        <v>-1484721</v>
      </c>
      <c r="D24" s="1">
        <v>-23446351</v>
      </c>
      <c r="E24" s="1">
        <v>-822937</v>
      </c>
      <c r="F24" s="1">
        <v>-12449655</v>
      </c>
      <c r="G24" s="1">
        <v>-45579322</v>
      </c>
      <c r="H24" s="1">
        <v>-46768012</v>
      </c>
      <c r="I24" s="1">
        <v>102238996</v>
      </c>
      <c r="J24" s="1">
        <v>119475924</v>
      </c>
      <c r="K24" s="1">
        <v>-51035493</v>
      </c>
      <c r="L24" s="1">
        <f t="shared" si="0"/>
        <v>-170511417</v>
      </c>
    </row>
    <row r="25" spans="1:12" x14ac:dyDescent="0.3">
      <c r="A25" t="s">
        <v>255</v>
      </c>
      <c r="B25" s="26" t="s">
        <v>259</v>
      </c>
      <c r="C25" s="1">
        <v>58494554</v>
      </c>
      <c r="D25" s="1">
        <v>415053451</v>
      </c>
      <c r="E25" s="1">
        <v>280120125</v>
      </c>
      <c r="F25" s="1">
        <v>128196088</v>
      </c>
      <c r="G25" s="1">
        <v>237630368</v>
      </c>
      <c r="H25" s="1">
        <v>294038710</v>
      </c>
      <c r="I25" s="1">
        <v>255718102</v>
      </c>
      <c r="J25" s="1">
        <v>232846040</v>
      </c>
      <c r="K25" s="1">
        <v>118243197</v>
      </c>
      <c r="L25" s="1">
        <f t="shared" si="0"/>
        <v>-114602843</v>
      </c>
    </row>
    <row r="26" spans="1:12" x14ac:dyDescent="0.3">
      <c r="A26" t="s">
        <v>256</v>
      </c>
      <c r="B26" s="26" t="s">
        <v>260</v>
      </c>
      <c r="C26" s="1">
        <v>37392700</v>
      </c>
      <c r="D26" s="1">
        <v>349041938</v>
      </c>
      <c r="E26" s="1">
        <v>147447279</v>
      </c>
      <c r="F26" s="1">
        <v>298026380</v>
      </c>
      <c r="G26" s="1">
        <v>157548956</v>
      </c>
      <c r="H26" s="1">
        <v>132637212</v>
      </c>
      <c r="I26" s="1">
        <v>142924317</v>
      </c>
      <c r="J26" s="1">
        <v>192257439</v>
      </c>
      <c r="K26" s="1">
        <v>81711479</v>
      </c>
      <c r="L26" s="1">
        <f t="shared" si="0"/>
        <v>-110545960</v>
      </c>
    </row>
    <row r="27" spans="1:12" x14ac:dyDescent="0.3">
      <c r="A27" t="s">
        <v>257</v>
      </c>
      <c r="B27" s="26" t="s">
        <v>260</v>
      </c>
      <c r="C27" s="1">
        <v>0</v>
      </c>
      <c r="D27" s="1">
        <v>9416958</v>
      </c>
      <c r="E27" s="1">
        <v>9244858</v>
      </c>
      <c r="F27" s="1">
        <v>9681438</v>
      </c>
      <c r="G27" s="1">
        <v>10102491</v>
      </c>
      <c r="H27" s="1">
        <v>10431473</v>
      </c>
      <c r="I27" s="1">
        <v>10252732</v>
      </c>
      <c r="J27" s="1">
        <v>9715322</v>
      </c>
      <c r="K27" s="1">
        <v>10324237</v>
      </c>
      <c r="L27" s="1">
        <f t="shared" si="0"/>
        <v>608915</v>
      </c>
    </row>
    <row r="28" spans="1:12" x14ac:dyDescent="0.3">
      <c r="A28" s="10" t="s">
        <v>258</v>
      </c>
      <c r="B28" s="36" t="s">
        <v>261</v>
      </c>
      <c r="C28" s="37">
        <f>C10-C21+C22-C23+C24+C25-C26-C27</f>
        <v>487003440</v>
      </c>
      <c r="D28" s="37">
        <f>D10-D21+D22-D23+D24+D25-D26-D27</f>
        <v>190170230</v>
      </c>
      <c r="E28" s="37">
        <f>E10-E21+E22-E23+E24+E25-E26-E27</f>
        <v>152884025</v>
      </c>
      <c r="F28" s="37">
        <f>F10-F21+F22-F23+F24+F25-F26-F27</f>
        <v>157386487</v>
      </c>
      <c r="G28" s="37">
        <f t="shared" ref="G28:H28" si="11">G10-G21+G22-G23+G24+G25-G26-G27</f>
        <v>498245724</v>
      </c>
      <c r="H28" s="37">
        <f t="shared" si="11"/>
        <v>532951049</v>
      </c>
      <c r="I28" s="37">
        <f t="shared" ref="I28" si="12">I10-I21+I22-I23+I24+I25-I26-I27</f>
        <v>391743051</v>
      </c>
      <c r="J28" s="37">
        <f t="shared" ref="J28" si="13">J10-J21+J22-J23+J24+J25-J26-J27</f>
        <v>315131286</v>
      </c>
      <c r="K28" s="37">
        <f t="shared" ref="K28" si="14">K10-K21+K22-K23+K24+K25-K26-K27</f>
        <v>-727773665</v>
      </c>
      <c r="L28" s="37">
        <f t="shared" si="0"/>
        <v>-1042904951</v>
      </c>
    </row>
  </sheetData>
  <conditionalFormatting sqref="F28:H28 L28">
    <cfRule type="cellIs" dxfId="98" priority="34" operator="greaterThan">
      <formula>0</formula>
    </cfRule>
  </conditionalFormatting>
  <conditionalFormatting sqref="F28:H28">
    <cfRule type="cellIs" dxfId="97" priority="31" operator="greaterThan">
      <formula>0</formula>
    </cfRule>
  </conditionalFormatting>
  <conditionalFormatting sqref="E28">
    <cfRule type="cellIs" dxfId="96" priority="24" operator="greaterThan">
      <formula>0</formula>
    </cfRule>
  </conditionalFormatting>
  <conditionalFormatting sqref="E28">
    <cfRule type="cellIs" dxfId="95" priority="23" operator="greaterThan">
      <formula>0</formula>
    </cfRule>
  </conditionalFormatting>
  <conditionalFormatting sqref="C28">
    <cfRule type="cellIs" dxfId="94" priority="22" operator="greaterThan">
      <formula>0</formula>
    </cfRule>
  </conditionalFormatting>
  <conditionalFormatting sqref="C28">
    <cfRule type="cellIs" dxfId="93" priority="21" operator="greaterThan">
      <formula>0</formula>
    </cfRule>
  </conditionalFormatting>
  <conditionalFormatting sqref="G28:H28">
    <cfRule type="cellIs" dxfId="92" priority="20" operator="greaterThan">
      <formula>0</formula>
    </cfRule>
  </conditionalFormatting>
  <conditionalFormatting sqref="G28:H28">
    <cfRule type="cellIs" dxfId="91" priority="19" operator="greaterThan">
      <formula>0</formula>
    </cfRule>
  </conditionalFormatting>
  <conditionalFormatting sqref="I28">
    <cfRule type="cellIs" dxfId="90" priority="18" operator="greaterThan">
      <formula>0</formula>
    </cfRule>
  </conditionalFormatting>
  <conditionalFormatting sqref="I28">
    <cfRule type="cellIs" dxfId="89" priority="17" operator="greaterThan">
      <formula>0</formula>
    </cfRule>
  </conditionalFormatting>
  <conditionalFormatting sqref="I28">
    <cfRule type="cellIs" dxfId="88" priority="16" operator="greaterThan">
      <formula>0</formula>
    </cfRule>
  </conditionalFormatting>
  <conditionalFormatting sqref="I28">
    <cfRule type="cellIs" dxfId="87" priority="15" operator="greaterThan">
      <formula>0</formula>
    </cfRule>
  </conditionalFormatting>
  <conditionalFormatting sqref="J28">
    <cfRule type="cellIs" dxfId="86" priority="10" operator="greaterThan">
      <formula>0</formula>
    </cfRule>
  </conditionalFormatting>
  <conditionalFormatting sqref="J28">
    <cfRule type="cellIs" dxfId="85" priority="9" operator="greaterThan">
      <formula>0</formula>
    </cfRule>
  </conditionalFormatting>
  <conditionalFormatting sqref="J28">
    <cfRule type="cellIs" dxfId="84" priority="8" operator="greaterThan">
      <formula>0</formula>
    </cfRule>
  </conditionalFormatting>
  <conditionalFormatting sqref="J28">
    <cfRule type="cellIs" dxfId="83" priority="7" operator="greaterThan">
      <formula>0</formula>
    </cfRule>
  </conditionalFormatting>
  <conditionalFormatting sqref="K28">
    <cfRule type="cellIs" dxfId="82" priority="6" operator="greaterThan">
      <formula>0</formula>
    </cfRule>
  </conditionalFormatting>
  <conditionalFormatting sqref="K28">
    <cfRule type="cellIs" dxfId="81" priority="5" operator="greaterThan">
      <formula>0</formula>
    </cfRule>
  </conditionalFormatting>
  <conditionalFormatting sqref="K28">
    <cfRule type="cellIs" dxfId="80" priority="4" operator="greaterThan">
      <formula>0</formula>
    </cfRule>
  </conditionalFormatting>
  <conditionalFormatting sqref="K28">
    <cfRule type="cellIs" dxfId="79" priority="3" operator="greaterThan">
      <formula>0</formula>
    </cfRule>
  </conditionalFormatting>
  <conditionalFormatting sqref="D28">
    <cfRule type="cellIs" dxfId="78" priority="2" operator="greaterThan">
      <formula>0</formula>
    </cfRule>
  </conditionalFormatting>
  <conditionalFormatting sqref="D28">
    <cfRule type="cellIs" dxfId="77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sqref="A1:K16"/>
    </sheetView>
  </sheetViews>
  <sheetFormatPr defaultRowHeight="14.4" x14ac:dyDescent="0.3"/>
  <cols>
    <col min="1" max="1" width="34.5546875" customWidth="1"/>
    <col min="2" max="10" width="14.21875" bestFit="1" customWidth="1"/>
    <col min="11" max="11" width="13.88671875" bestFit="1" customWidth="1"/>
  </cols>
  <sheetData>
    <row r="1" spans="1:11" x14ac:dyDescent="0.3">
      <c r="A1" s="41"/>
      <c r="B1" s="42">
        <v>2013</v>
      </c>
      <c r="C1" s="42">
        <v>2014</v>
      </c>
      <c r="D1" s="42">
        <v>2015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 t="s">
        <v>265</v>
      </c>
    </row>
    <row r="2" spans="1:11" x14ac:dyDescent="0.3">
      <c r="A2" s="71" t="s">
        <v>342</v>
      </c>
      <c r="B2" s="64">
        <f>Conto_economico!C10</f>
        <v>23284388762</v>
      </c>
      <c r="C2" s="64">
        <f>Conto_economico!D10</f>
        <v>23785422556</v>
      </c>
      <c r="D2" s="64">
        <f>Conto_economico!E10</f>
        <v>23507043818</v>
      </c>
      <c r="E2" s="64">
        <f>Conto_economico!F10</f>
        <v>23021952873</v>
      </c>
      <c r="F2" s="64">
        <f>Conto_economico!G10</f>
        <v>24296892200</v>
      </c>
      <c r="G2" s="64">
        <f>Conto_economico!H10</f>
        <v>24429405929</v>
      </c>
      <c r="H2" s="64">
        <f>Conto_economico!I10</f>
        <v>24419210109</v>
      </c>
      <c r="I2" s="64">
        <f>Conto_economico!J10</f>
        <v>25922765846</v>
      </c>
      <c r="J2" s="64">
        <f>Conto_economico!K10</f>
        <v>26508524922</v>
      </c>
      <c r="K2" s="1">
        <f t="shared" ref="K2:K16" si="0">J2-I2</f>
        <v>585759076</v>
      </c>
    </row>
    <row r="3" spans="1:11" x14ac:dyDescent="0.3">
      <c r="A3" s="71" t="s">
        <v>337</v>
      </c>
      <c r="B3" s="64">
        <f>Conto_economico!C2</f>
        <v>18884862853</v>
      </c>
      <c r="C3" s="64">
        <f>Conto_economico!D2</f>
        <v>19486364957</v>
      </c>
      <c r="D3" s="64">
        <f>Conto_economico!E2</f>
        <v>19336210445</v>
      </c>
      <c r="E3" s="64">
        <f>Conto_economico!F2</f>
        <v>20354807099</v>
      </c>
      <c r="F3" s="64">
        <f>Conto_economico!G2</f>
        <v>21356690142</v>
      </c>
      <c r="G3" s="64">
        <f>Conto_economico!H2</f>
        <v>20735390535</v>
      </c>
      <c r="H3" s="64">
        <f>Conto_economico!I2</f>
        <v>21142712464</v>
      </c>
      <c r="I3" s="64">
        <f>Conto_economico!J2</f>
        <v>21693501930</v>
      </c>
      <c r="J3" s="64">
        <f>Conto_economico!K2</f>
        <v>22133071139</v>
      </c>
      <c r="K3" s="64">
        <f t="shared" si="0"/>
        <v>439569209</v>
      </c>
    </row>
    <row r="4" spans="1:11" x14ac:dyDescent="0.3">
      <c r="A4" s="71" t="s">
        <v>338</v>
      </c>
      <c r="B4" s="64">
        <f>Conto_economico!C4</f>
        <v>2249400139</v>
      </c>
      <c r="C4" s="64">
        <f>Conto_economico!D4</f>
        <v>2257772550</v>
      </c>
      <c r="D4" s="64">
        <f>Conto_economico!E4</f>
        <v>2362184939</v>
      </c>
      <c r="E4" s="64">
        <f>Conto_economico!F4</f>
        <v>1360208546</v>
      </c>
      <c r="F4" s="64">
        <f>Conto_economico!G4</f>
        <v>1538113614</v>
      </c>
      <c r="G4" s="64">
        <f>Conto_economico!H4</f>
        <v>1996385460</v>
      </c>
      <c r="H4" s="64">
        <f>Conto_economico!I4</f>
        <v>1712970652</v>
      </c>
      <c r="I4" s="64">
        <f>Conto_economico!J4</f>
        <v>2578248913</v>
      </c>
      <c r="J4" s="64">
        <f>Conto_economico!K4</f>
        <v>3124995523</v>
      </c>
      <c r="K4" s="64">
        <f t="shared" si="0"/>
        <v>546746610</v>
      </c>
    </row>
    <row r="5" spans="1:11" x14ac:dyDescent="0.3">
      <c r="A5" s="71" t="s">
        <v>343</v>
      </c>
      <c r="B5" s="65">
        <f>Conto_economico!C21</f>
        <v>22761484429</v>
      </c>
      <c r="C5" s="65">
        <f>Conto_economico!D21</f>
        <v>23605840149</v>
      </c>
      <c r="D5" s="65">
        <f>Conto_economico!E21</f>
        <v>23437969269</v>
      </c>
      <c r="E5" s="65">
        <f>Conto_economico!F21</f>
        <v>22634214905</v>
      </c>
      <c r="F5" s="65">
        <f>Conto_economico!G21</f>
        <v>23776337913</v>
      </c>
      <c r="G5" s="65">
        <f>Conto_economico!H21</f>
        <v>23971511819</v>
      </c>
      <c r="H5" s="65">
        <f>Conto_economico!I21</f>
        <v>24182242555</v>
      </c>
      <c r="I5" s="65">
        <f>Conto_economico!J21</f>
        <v>25705060393</v>
      </c>
      <c r="J5" s="65">
        <f>Conto_economico!K21</f>
        <v>27151327531</v>
      </c>
      <c r="K5" s="64">
        <f t="shared" si="0"/>
        <v>1446267138</v>
      </c>
    </row>
    <row r="6" spans="1:11" x14ac:dyDescent="0.3">
      <c r="A6" s="71" t="s">
        <v>339</v>
      </c>
      <c r="B6" s="64">
        <f>Conto_economico!C12</f>
        <v>1377533091</v>
      </c>
      <c r="C6" s="64">
        <f>Conto_economico!D12</f>
        <v>1340569307</v>
      </c>
      <c r="D6" s="64">
        <f>Conto_economico!E12</f>
        <v>1614931407</v>
      </c>
      <c r="E6" s="64">
        <f>Conto_economico!F12</f>
        <v>1312573661</v>
      </c>
      <c r="F6" s="64">
        <f>Conto_economico!G12</f>
        <v>1316158215</v>
      </c>
      <c r="G6" s="64">
        <f>Conto_economico!H12</f>
        <v>1403000561</v>
      </c>
      <c r="H6" s="64">
        <f>Conto_economico!I12</f>
        <v>1433122398</v>
      </c>
      <c r="I6" s="64">
        <f>Conto_economico!J12</f>
        <v>1630876599</v>
      </c>
      <c r="J6" s="64">
        <f>Conto_economico!K12</f>
        <v>1343458437</v>
      </c>
      <c r="K6" s="64">
        <f t="shared" si="0"/>
        <v>-287418162</v>
      </c>
    </row>
    <row r="7" spans="1:11" x14ac:dyDescent="0.3">
      <c r="A7" s="71" t="s">
        <v>420</v>
      </c>
      <c r="B7" s="64">
        <f>Conto_economico!C14</f>
        <v>20881757592</v>
      </c>
      <c r="C7" s="64">
        <f>Conto_economico!D14</f>
        <v>21699112254</v>
      </c>
      <c r="D7" s="64">
        <f>Conto_economico!E14</f>
        <v>21273128975</v>
      </c>
      <c r="E7" s="64">
        <f>Conto_economico!F14</f>
        <v>20985938215</v>
      </c>
      <c r="F7" s="64">
        <f>Conto_economico!G14</f>
        <v>21250566730</v>
      </c>
      <c r="G7" s="64">
        <f>Conto_economico!H14</f>
        <v>21978488954</v>
      </c>
      <c r="H7" s="64">
        <f>Conto_economico!I14</f>
        <v>22359588266</v>
      </c>
      <c r="I7" s="64">
        <f>Conto_economico!J14</f>
        <v>23476729853</v>
      </c>
      <c r="J7" s="64">
        <f>Conto_economico!K14</f>
        <v>25395168036</v>
      </c>
      <c r="K7" s="64">
        <f t="shared" ref="K7" si="1">J7-I7</f>
        <v>1918438183</v>
      </c>
    </row>
    <row r="8" spans="1:11" x14ac:dyDescent="0.3">
      <c r="A8" s="71" t="s">
        <v>340</v>
      </c>
      <c r="B8" s="64">
        <f>Conto_economico!C15</f>
        <v>156983327</v>
      </c>
      <c r="C8" s="64">
        <f>Conto_economico!D15</f>
        <v>151810127</v>
      </c>
      <c r="D8" s="64">
        <f>Conto_economico!E15</f>
        <v>147707029</v>
      </c>
      <c r="E8" s="64">
        <f>Conto_economico!F15</f>
        <v>160986929</v>
      </c>
      <c r="F8" s="64">
        <f>Conto_economico!G15</f>
        <v>174718157</v>
      </c>
      <c r="G8" s="64">
        <f>Conto_economico!H15</f>
        <v>161990469</v>
      </c>
      <c r="H8" s="64">
        <f>Conto_economico!I15</f>
        <v>158182355</v>
      </c>
      <c r="I8" s="64">
        <f>Conto_economico!J15</f>
        <v>151897818</v>
      </c>
      <c r="J8" s="64">
        <f>Conto_economico!K15</f>
        <v>153958431</v>
      </c>
      <c r="K8" s="64">
        <f t="shared" si="0"/>
        <v>2060613</v>
      </c>
    </row>
    <row r="9" spans="1:11" x14ac:dyDescent="0.3">
      <c r="A9" s="71" t="s">
        <v>341</v>
      </c>
      <c r="B9" s="64">
        <f>Conto_economico!C16</f>
        <v>117334042</v>
      </c>
      <c r="C9" s="64">
        <f>Conto_economico!D16</f>
        <v>57248323</v>
      </c>
      <c r="D9" s="64">
        <f>Conto_economico!E16</f>
        <v>58071559</v>
      </c>
      <c r="E9" s="64">
        <f>Conto_economico!F16</f>
        <v>56005232</v>
      </c>
      <c r="F9" s="64">
        <f>Conto_economico!G16</f>
        <v>56318014</v>
      </c>
      <c r="G9" s="64">
        <f>Conto_economico!H16</f>
        <v>63837262</v>
      </c>
      <c r="H9" s="64">
        <f>Conto_economico!I16</f>
        <v>61397502</v>
      </c>
      <c r="I9" s="64">
        <f>Conto_economico!J16</f>
        <v>65355244</v>
      </c>
      <c r="J9" s="64">
        <f>Conto_economico!K16</f>
        <v>68751236</v>
      </c>
      <c r="K9" s="64">
        <f t="shared" si="0"/>
        <v>3395992</v>
      </c>
    </row>
    <row r="10" spans="1:11" x14ac:dyDescent="0.3">
      <c r="A10" s="47" t="s">
        <v>305</v>
      </c>
      <c r="B10" s="66">
        <f t="shared" ref="B10:D10" si="2">B2-B5</f>
        <v>522904333</v>
      </c>
      <c r="C10" s="66">
        <f t="shared" ref="C10" si="3">C2-C5</f>
        <v>179582407</v>
      </c>
      <c r="D10" s="66">
        <f t="shared" si="2"/>
        <v>69074549</v>
      </c>
      <c r="E10" s="66">
        <f t="shared" ref="E10:G10" si="4">E2-E5</f>
        <v>387737968</v>
      </c>
      <c r="F10" s="66">
        <f t="shared" si="4"/>
        <v>520554287</v>
      </c>
      <c r="G10" s="66">
        <f t="shared" si="4"/>
        <v>457894110</v>
      </c>
      <c r="H10" s="66">
        <f t="shared" ref="H10:J10" si="5">H2-H5</f>
        <v>236967554</v>
      </c>
      <c r="I10" s="66">
        <f t="shared" ref="I10" si="6">I2-I5</f>
        <v>217705453</v>
      </c>
      <c r="J10" s="66">
        <f t="shared" si="5"/>
        <v>-642802609</v>
      </c>
      <c r="K10" s="66">
        <f t="shared" si="0"/>
        <v>-860508062</v>
      </c>
    </row>
    <row r="11" spans="1:11" x14ac:dyDescent="0.3">
      <c r="A11" s="71" t="s">
        <v>306</v>
      </c>
      <c r="B11" s="64">
        <f>Conto_economico!C22-Conto_economico!C23</f>
        <v>-55518026</v>
      </c>
      <c r="C11" s="64">
        <f>Conto_economico!D22-Conto_economico!D23</f>
        <v>-22560381</v>
      </c>
      <c r="D11" s="64">
        <f>Conto_economico!E22-Conto_economico!E23</f>
        <v>-38795575</v>
      </c>
      <c r="E11" s="64">
        <f>Conto_economico!F22-Conto_economico!F23</f>
        <v>-38390096</v>
      </c>
      <c r="F11" s="64">
        <f>Conto_economico!G22-Conto_economico!G23</f>
        <v>-46708162</v>
      </c>
      <c r="G11" s="64">
        <f>Conto_economico!H22-Conto_economico!H23</f>
        <v>-29145074</v>
      </c>
      <c r="H11" s="64">
        <f>Conto_economico!I22-Conto_economico!I23</f>
        <v>-50004552</v>
      </c>
      <c r="I11" s="64">
        <f>Conto_economico!J22-Conto_economico!J23</f>
        <v>-52923370</v>
      </c>
      <c r="J11" s="64">
        <f>Conto_economico!K22-Conto_economico!K23</f>
        <v>-60143044</v>
      </c>
      <c r="K11" s="64">
        <f t="shared" si="0"/>
        <v>-7219674</v>
      </c>
    </row>
    <row r="12" spans="1:11" x14ac:dyDescent="0.3">
      <c r="A12" s="71" t="s">
        <v>307</v>
      </c>
      <c r="B12" s="65">
        <f>Conto_economico!C25-Conto_economico!C26</f>
        <v>21101854</v>
      </c>
      <c r="C12" s="65">
        <f>Conto_economico!D25-Conto_economico!D26</f>
        <v>66011513</v>
      </c>
      <c r="D12" s="65">
        <f>Conto_economico!E25-Conto_economico!E26</f>
        <v>132672846</v>
      </c>
      <c r="E12" s="65">
        <f>Conto_economico!F25-Conto_economico!F26</f>
        <v>-169830292</v>
      </c>
      <c r="F12" s="65">
        <f>Conto_economico!G25-Conto_economico!G26</f>
        <v>80081412</v>
      </c>
      <c r="G12" s="65">
        <f>Conto_economico!H25-Conto_economico!H26</f>
        <v>161401498</v>
      </c>
      <c r="H12" s="65">
        <f>Conto_economico!I25-Conto_economico!I26</f>
        <v>112793785</v>
      </c>
      <c r="I12" s="65">
        <f>Conto_economico!J25-Conto_economico!J26</f>
        <v>40588601</v>
      </c>
      <c r="J12" s="65">
        <f>Conto_economico!K25-Conto_economico!K26</f>
        <v>36531718</v>
      </c>
      <c r="K12" s="64">
        <f t="shared" si="0"/>
        <v>-4056883</v>
      </c>
    </row>
    <row r="13" spans="1:11" x14ac:dyDescent="0.3">
      <c r="A13" s="71" t="s">
        <v>254</v>
      </c>
      <c r="B13" s="65">
        <f>Conto_economico!C24</f>
        <v>-1484721</v>
      </c>
      <c r="C13" s="65">
        <f>Conto_economico!D24</f>
        <v>-23446351</v>
      </c>
      <c r="D13" s="65">
        <f>Conto_economico!E24</f>
        <v>-822937</v>
      </c>
      <c r="E13" s="65">
        <f>Conto_economico!F24</f>
        <v>-12449655</v>
      </c>
      <c r="F13" s="65">
        <f>Conto_economico!G24</f>
        <v>-45579322</v>
      </c>
      <c r="G13" s="65">
        <f>Conto_economico!H24</f>
        <v>-46768012</v>
      </c>
      <c r="H13" s="65">
        <f>Conto_economico!I24</f>
        <v>102238996</v>
      </c>
      <c r="I13" s="65">
        <f>Conto_economico!J24</f>
        <v>119475924</v>
      </c>
      <c r="J13" s="65">
        <f>Conto_economico!K24</f>
        <v>-51035493</v>
      </c>
      <c r="K13" s="64">
        <f t="shared" si="0"/>
        <v>-170511417</v>
      </c>
    </row>
    <row r="14" spans="1:11" x14ac:dyDescent="0.3">
      <c r="A14" s="47" t="s">
        <v>308</v>
      </c>
      <c r="B14" s="66">
        <f t="shared" ref="B14:D14" si="7">SUM(B10:B13)</f>
        <v>487003440</v>
      </c>
      <c r="C14" s="66">
        <f t="shared" ref="C14" si="8">SUM(C10:C13)</f>
        <v>199587188</v>
      </c>
      <c r="D14" s="66">
        <f t="shared" si="7"/>
        <v>162128883</v>
      </c>
      <c r="E14" s="66">
        <f t="shared" ref="E14:G14" si="9">SUM(E10:E13)</f>
        <v>167067925</v>
      </c>
      <c r="F14" s="66">
        <f t="shared" si="9"/>
        <v>508348215</v>
      </c>
      <c r="G14" s="66">
        <f t="shared" si="9"/>
        <v>543382522</v>
      </c>
      <c r="H14" s="66">
        <f t="shared" ref="H14:J14" si="10">SUM(H10:H13)</f>
        <v>401995783</v>
      </c>
      <c r="I14" s="66">
        <f t="shared" ref="I14" si="11">SUM(I10:I13)</f>
        <v>324846608</v>
      </c>
      <c r="J14" s="66">
        <f t="shared" si="10"/>
        <v>-717449428</v>
      </c>
      <c r="K14" s="66">
        <f t="shared" si="0"/>
        <v>-1042296036</v>
      </c>
    </row>
    <row r="15" spans="1:11" x14ac:dyDescent="0.3">
      <c r="A15" s="71" t="s">
        <v>257</v>
      </c>
      <c r="B15" s="64">
        <f>Conto_economico!C27</f>
        <v>0</v>
      </c>
      <c r="C15" s="64">
        <f>Conto_economico!D27</f>
        <v>9416958</v>
      </c>
      <c r="D15" s="64">
        <f>Conto_economico!E27</f>
        <v>9244858</v>
      </c>
      <c r="E15" s="64">
        <f>Conto_economico!F27</f>
        <v>9681438</v>
      </c>
      <c r="F15" s="64">
        <f>Conto_economico!G27</f>
        <v>10102491</v>
      </c>
      <c r="G15" s="64">
        <f>Conto_economico!H27</f>
        <v>10431473</v>
      </c>
      <c r="H15" s="64">
        <f>Conto_economico!I27</f>
        <v>10252732</v>
      </c>
      <c r="I15" s="64">
        <f>Conto_economico!J27</f>
        <v>9715322</v>
      </c>
      <c r="J15" s="64">
        <f>Conto_economico!K27</f>
        <v>10324237</v>
      </c>
      <c r="K15" s="64">
        <f t="shared" si="0"/>
        <v>608915</v>
      </c>
    </row>
    <row r="16" spans="1:11" x14ac:dyDescent="0.3">
      <c r="A16" s="70" t="s">
        <v>258</v>
      </c>
      <c r="B16" s="67">
        <f t="shared" ref="B16:D16" si="12">B14-B15</f>
        <v>487003440</v>
      </c>
      <c r="C16" s="67">
        <f t="shared" ref="C16" si="13">C14-C15</f>
        <v>190170230</v>
      </c>
      <c r="D16" s="67">
        <f t="shared" si="12"/>
        <v>152884025</v>
      </c>
      <c r="E16" s="67">
        <f t="shared" ref="E16:G16" si="14">E14-E15</f>
        <v>157386487</v>
      </c>
      <c r="F16" s="67">
        <f t="shared" si="14"/>
        <v>498245724</v>
      </c>
      <c r="G16" s="67">
        <f t="shared" si="14"/>
        <v>532951049</v>
      </c>
      <c r="H16" s="67">
        <f t="shared" ref="H16:J16" si="15">H14-H15</f>
        <v>391743051</v>
      </c>
      <c r="I16" s="67">
        <f t="shared" ref="I16" si="16">I14-I15</f>
        <v>315131286</v>
      </c>
      <c r="J16" s="67">
        <f t="shared" si="15"/>
        <v>-727773665</v>
      </c>
      <c r="K16" s="67">
        <f t="shared" si="0"/>
        <v>-1042904951</v>
      </c>
    </row>
  </sheetData>
  <conditionalFormatting sqref="E16:G16 J16:K16">
    <cfRule type="cellIs" dxfId="76" priority="19" operator="greaterThan">
      <formula>0</formula>
    </cfRule>
  </conditionalFormatting>
  <conditionalFormatting sqref="E10:G10 E14:G14 J14:K14 J10:K10">
    <cfRule type="cellIs" dxfId="75" priority="18" operator="lessThan">
      <formula>0</formula>
    </cfRule>
  </conditionalFormatting>
  <conditionalFormatting sqref="D16">
    <cfRule type="cellIs" dxfId="74" priority="10" operator="greaterThan">
      <formula>0</formula>
    </cfRule>
  </conditionalFormatting>
  <conditionalFormatting sqref="D10 D14">
    <cfRule type="cellIs" dxfId="73" priority="9" operator="lessThan">
      <formula>0</formula>
    </cfRule>
  </conditionalFormatting>
  <conditionalFormatting sqref="B16">
    <cfRule type="cellIs" dxfId="72" priority="8" operator="greaterThan">
      <formula>0</formula>
    </cfRule>
  </conditionalFormatting>
  <conditionalFormatting sqref="B10 B14">
    <cfRule type="cellIs" dxfId="71" priority="7" operator="lessThan">
      <formula>0</formula>
    </cfRule>
  </conditionalFormatting>
  <conditionalFormatting sqref="H16">
    <cfRule type="cellIs" dxfId="70" priority="6" operator="greaterThan">
      <formula>0</formula>
    </cfRule>
  </conditionalFormatting>
  <conditionalFormatting sqref="H14 H10">
    <cfRule type="cellIs" dxfId="69" priority="5" operator="lessThan">
      <formula>0</formula>
    </cfRule>
  </conditionalFormatting>
  <conditionalFormatting sqref="I16">
    <cfRule type="cellIs" dxfId="68" priority="4" operator="greaterThan">
      <formula>0</formula>
    </cfRule>
  </conditionalFormatting>
  <conditionalFormatting sqref="I14 I10">
    <cfRule type="cellIs" dxfId="67" priority="3" operator="lessThan">
      <formula>0</formula>
    </cfRule>
  </conditionalFormatting>
  <conditionalFormatting sqref="C16">
    <cfRule type="cellIs" dxfId="66" priority="2" operator="greaterThan">
      <formula>0</formula>
    </cfRule>
  </conditionalFormatting>
  <conditionalFormatting sqref="C10 C14">
    <cfRule type="cellIs" dxfId="6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topLeftCell="A19" workbookViewId="0">
      <selection activeCell="I27" sqref="I27:J27"/>
    </sheetView>
  </sheetViews>
  <sheetFormatPr defaultRowHeight="14.4" x14ac:dyDescent="0.3"/>
  <cols>
    <col min="1" max="1" width="51.6640625" style="32" bestFit="1" customWidth="1"/>
    <col min="2" max="10" width="13.77734375" bestFit="1" customWidth="1"/>
    <col min="11" max="12" width="12.6640625" bestFit="1" customWidth="1"/>
  </cols>
  <sheetData>
    <row r="1" spans="1:11" x14ac:dyDescent="0.3">
      <c r="A1" s="73"/>
      <c r="B1" s="98">
        <v>2013</v>
      </c>
      <c r="C1" s="98">
        <v>2014</v>
      </c>
      <c r="D1" s="98">
        <v>2015</v>
      </c>
      <c r="E1" s="98">
        <v>2016</v>
      </c>
      <c r="F1" s="69">
        <v>2017</v>
      </c>
      <c r="G1" s="69">
        <v>2018</v>
      </c>
      <c r="H1" s="69">
        <v>2019</v>
      </c>
      <c r="I1" s="69">
        <v>2020</v>
      </c>
      <c r="J1" s="69">
        <v>2021</v>
      </c>
    </row>
    <row r="2" spans="1:11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1" x14ac:dyDescent="0.3">
      <c r="A3" s="32" t="s">
        <v>213</v>
      </c>
      <c r="B3" s="1">
        <v>96684814</v>
      </c>
      <c r="C3" s="1">
        <v>91122971</v>
      </c>
      <c r="D3" s="1">
        <v>92518025</v>
      </c>
      <c r="E3" s="1">
        <v>99858224</v>
      </c>
      <c r="F3" s="1">
        <v>100199624</v>
      </c>
      <c r="G3" s="1">
        <v>97157338</v>
      </c>
      <c r="H3" s="1">
        <v>109591528</v>
      </c>
      <c r="I3" s="1">
        <v>110144653</v>
      </c>
      <c r="J3" s="1">
        <v>122426961</v>
      </c>
      <c r="K3" s="1"/>
    </row>
    <row r="4" spans="1:11" x14ac:dyDescent="0.3">
      <c r="A4" s="32" t="s">
        <v>214</v>
      </c>
      <c r="B4" s="1">
        <v>1116106500</v>
      </c>
      <c r="C4" s="1">
        <v>1189781279</v>
      </c>
      <c r="D4" s="1">
        <v>1219774356</v>
      </c>
      <c r="E4" s="1">
        <v>1206412554</v>
      </c>
      <c r="F4" s="1">
        <v>1208719654</v>
      </c>
      <c r="G4" s="1">
        <v>1183519810</v>
      </c>
      <c r="H4" s="1">
        <v>1162296022</v>
      </c>
      <c r="I4" s="1">
        <v>1150660813</v>
      </c>
      <c r="J4" s="1">
        <v>1140569665</v>
      </c>
    </row>
    <row r="5" spans="1:11" x14ac:dyDescent="0.3">
      <c r="A5" s="32" t="s">
        <v>228</v>
      </c>
      <c r="B5" s="1">
        <f>506382120+57186835</f>
        <v>563568955</v>
      </c>
      <c r="C5" s="1">
        <f>1668975875+61165211</f>
        <v>1730141086</v>
      </c>
      <c r="D5" s="1">
        <f>1752316066+61054318</f>
        <v>1813370384</v>
      </c>
      <c r="E5" s="1">
        <v>1852943863</v>
      </c>
      <c r="F5" s="1">
        <v>2044724792</v>
      </c>
      <c r="G5" s="1">
        <v>2043633876</v>
      </c>
      <c r="H5" s="1">
        <v>2383308206</v>
      </c>
      <c r="I5" s="1">
        <v>2528375282</v>
      </c>
      <c r="J5" s="1">
        <v>2374486898</v>
      </c>
    </row>
    <row r="6" spans="1:11" x14ac:dyDescent="0.3">
      <c r="A6" s="32" t="s">
        <v>229</v>
      </c>
      <c r="B6" s="1">
        <f>263557639+1020000+389895609</f>
        <v>654473248</v>
      </c>
      <c r="C6" s="1">
        <f>433705692+1020000+805314738</f>
        <v>1240040430</v>
      </c>
      <c r="D6" s="1">
        <f>195683391+1020000+822126426</f>
        <v>1018829817</v>
      </c>
      <c r="E6" s="1">
        <v>994077822</v>
      </c>
      <c r="F6" s="1">
        <v>925070626</v>
      </c>
      <c r="G6" s="1">
        <v>738348527</v>
      </c>
      <c r="H6" s="1">
        <v>582940396</v>
      </c>
      <c r="I6" s="1">
        <v>454874347</v>
      </c>
      <c r="J6" s="1">
        <v>371048139</v>
      </c>
    </row>
    <row r="7" spans="1:11" x14ac:dyDescent="0.3">
      <c r="A7" s="32" t="s">
        <v>230</v>
      </c>
      <c r="B7" s="1">
        <v>825256260</v>
      </c>
      <c r="C7" s="1">
        <v>870075929</v>
      </c>
      <c r="D7" s="1">
        <v>443291322</v>
      </c>
      <c r="E7" s="1">
        <v>269067961</v>
      </c>
      <c r="F7" s="1">
        <v>276478059</v>
      </c>
      <c r="G7" s="1">
        <v>280455263</v>
      </c>
      <c r="H7" s="1">
        <v>282269166</v>
      </c>
      <c r="I7" s="1">
        <v>284175922</v>
      </c>
      <c r="J7" s="1">
        <v>281704086</v>
      </c>
    </row>
    <row r="8" spans="1:11" x14ac:dyDescent="0.3">
      <c r="A8" s="32" t="s">
        <v>231</v>
      </c>
      <c r="B8" s="1">
        <v>38606</v>
      </c>
      <c r="C8" s="1">
        <v>142099</v>
      </c>
      <c r="D8" s="1">
        <v>101178</v>
      </c>
      <c r="E8" s="1">
        <v>1093542</v>
      </c>
      <c r="F8" s="1">
        <v>85823</v>
      </c>
      <c r="G8" s="1">
        <v>83164</v>
      </c>
      <c r="H8" s="1">
        <v>90570</v>
      </c>
      <c r="I8" s="1">
        <v>47245</v>
      </c>
      <c r="J8" s="1">
        <v>60742</v>
      </c>
    </row>
    <row r="9" spans="1:11" x14ac:dyDescent="0.3">
      <c r="A9" s="32" t="s">
        <v>215</v>
      </c>
      <c r="B9" s="1">
        <v>14399124635</v>
      </c>
      <c r="C9" s="1">
        <v>18296781905</v>
      </c>
      <c r="D9" s="1">
        <v>17933870578</v>
      </c>
      <c r="E9" s="1">
        <v>18770790190</v>
      </c>
      <c r="F9" s="1">
        <v>20199924641</v>
      </c>
      <c r="G9" s="1">
        <v>16185293785</v>
      </c>
      <c r="H9" s="1">
        <v>13174801712</v>
      </c>
      <c r="I9" s="1">
        <v>7202019654</v>
      </c>
      <c r="J9" s="1">
        <v>7357184180</v>
      </c>
    </row>
    <row r="10" spans="1:11" x14ac:dyDescent="0.3">
      <c r="A10" s="97" t="s">
        <v>356</v>
      </c>
      <c r="B10" s="1">
        <v>5372151896</v>
      </c>
      <c r="C10" s="1">
        <v>9276740927</v>
      </c>
      <c r="D10" s="1">
        <v>8257637791</v>
      </c>
      <c r="E10" s="1">
        <v>10753861850</v>
      </c>
      <c r="F10" s="1">
        <v>9499805224</v>
      </c>
      <c r="G10" s="1">
        <v>8865550446</v>
      </c>
      <c r="H10" s="1">
        <v>6518856143</v>
      </c>
      <c r="I10" s="1">
        <v>2273835831</v>
      </c>
      <c r="J10" s="1">
        <v>2513945341</v>
      </c>
    </row>
    <row r="11" spans="1:11" x14ac:dyDescent="0.3">
      <c r="A11" s="97" t="s">
        <v>360</v>
      </c>
      <c r="B11" s="1">
        <v>2581732267</v>
      </c>
      <c r="C11" s="1">
        <v>2898797075</v>
      </c>
      <c r="D11" s="1">
        <v>1553698697</v>
      </c>
      <c r="E11" s="1">
        <v>1355426521</v>
      </c>
      <c r="F11" s="1">
        <v>1718520853</v>
      </c>
      <c r="G11" s="1">
        <v>1373613620</v>
      </c>
      <c r="H11" s="1">
        <v>1409605263</v>
      </c>
      <c r="I11" s="1">
        <v>1062021967</v>
      </c>
      <c r="J11" s="1">
        <v>1363246993</v>
      </c>
    </row>
    <row r="12" spans="1:11" x14ac:dyDescent="0.3">
      <c r="A12" s="32" t="s">
        <v>232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1" x14ac:dyDescent="0.3">
      <c r="A13" s="32" t="s">
        <v>216</v>
      </c>
      <c r="B13" s="1">
        <f>1359252531+117751137+16856</f>
        <v>1477020524</v>
      </c>
      <c r="C13" s="1">
        <v>1865499519</v>
      </c>
      <c r="D13" s="1">
        <v>2278644658</v>
      </c>
      <c r="E13" s="1">
        <v>3767828623</v>
      </c>
      <c r="F13" s="1">
        <v>5210219443</v>
      </c>
      <c r="G13" s="1">
        <v>7237721535</v>
      </c>
      <c r="H13" s="1">
        <v>8630514689</v>
      </c>
      <c r="I13" s="1">
        <v>10514541033</v>
      </c>
      <c r="J13" s="1">
        <v>12006340015</v>
      </c>
    </row>
    <row r="14" spans="1:11" x14ac:dyDescent="0.3">
      <c r="A14" s="32" t="s">
        <v>217</v>
      </c>
      <c r="B14" s="1">
        <v>9012969</v>
      </c>
      <c r="C14" s="1">
        <v>12594960</v>
      </c>
      <c r="D14" s="1">
        <v>13239322</v>
      </c>
      <c r="E14" s="1">
        <v>8530477</v>
      </c>
      <c r="F14" s="1">
        <v>36156878</v>
      </c>
      <c r="G14" s="1">
        <v>6386093</v>
      </c>
      <c r="H14" s="1">
        <v>3798185</v>
      </c>
      <c r="I14" s="1">
        <v>354582007</v>
      </c>
      <c r="J14" s="1">
        <v>223510141</v>
      </c>
    </row>
    <row r="15" spans="1:11" x14ac:dyDescent="0.3">
      <c r="A15" s="10" t="s">
        <v>218</v>
      </c>
      <c r="B15" s="11">
        <f t="shared" ref="B15:F15" si="0">SUM(B2:B9)+SUM(B12:B14)</f>
        <v>19141286511</v>
      </c>
      <c r="C15" s="11">
        <f t="shared" ref="C15" si="1">SUM(C2:C9)+SUM(C12:C14)</f>
        <v>25296180178</v>
      </c>
      <c r="D15" s="11">
        <f t="shared" si="0"/>
        <v>24813639640</v>
      </c>
      <c r="E15" s="11">
        <f t="shared" si="0"/>
        <v>26970603256</v>
      </c>
      <c r="F15" s="11">
        <f t="shared" si="0"/>
        <v>30001579540</v>
      </c>
      <c r="G15" s="11">
        <f>SUM(G2:G9)+SUM(G12:G14)</f>
        <v>27772599391</v>
      </c>
      <c r="H15" s="11">
        <f>SUM(H2:H9)+SUM(H12:H14)</f>
        <v>26329610474</v>
      </c>
      <c r="I15" s="11">
        <f>SUM(I2:I9)+SUM(I12:I14)</f>
        <v>22599420956</v>
      </c>
      <c r="J15" s="11">
        <f>SUM(J2:J9)+SUM(J12:J14)</f>
        <v>23877330827</v>
      </c>
    </row>
    <row r="16" spans="1:11" x14ac:dyDescent="0.3">
      <c r="A16" s="32" t="s">
        <v>219</v>
      </c>
      <c r="B16" s="1">
        <v>836300279</v>
      </c>
      <c r="C16" s="1">
        <v>396068013</v>
      </c>
      <c r="D16" s="1">
        <v>396068013</v>
      </c>
      <c r="E16" s="1">
        <v>396068013</v>
      </c>
      <c r="F16" s="1">
        <v>210621519</v>
      </c>
      <c r="G16" s="1">
        <v>210621519</v>
      </c>
      <c r="H16" s="1">
        <v>210621519</v>
      </c>
      <c r="I16" s="1">
        <v>210621519</v>
      </c>
      <c r="J16" s="1">
        <v>210621519</v>
      </c>
    </row>
    <row r="17" spans="1:12" x14ac:dyDescent="0.3">
      <c r="A17" s="32" t="s">
        <v>220</v>
      </c>
      <c r="B17" s="95">
        <v>9073053</v>
      </c>
      <c r="C17" s="95">
        <v>878385305</v>
      </c>
      <c r="D17" s="95">
        <v>1145301758</v>
      </c>
      <c r="E17" s="95">
        <v>1335849362</v>
      </c>
      <c r="F17" s="1">
        <v>1527366779</v>
      </c>
      <c r="G17" s="1">
        <v>2065930396</v>
      </c>
      <c r="H17" s="1">
        <v>2544184348</v>
      </c>
      <c r="I17" s="1">
        <v>1410601833</v>
      </c>
      <c r="J17" s="1">
        <v>1588624166</v>
      </c>
    </row>
    <row r="18" spans="1:12" x14ac:dyDescent="0.3">
      <c r="A18" s="32" t="s">
        <v>221</v>
      </c>
      <c r="B18" s="1">
        <v>487003441</v>
      </c>
      <c r="C18" s="1">
        <v>190170230</v>
      </c>
      <c r="D18" s="1">
        <v>152884025</v>
      </c>
      <c r="E18" s="1">
        <v>157386491</v>
      </c>
      <c r="F18" s="1">
        <v>498245724</v>
      </c>
      <c r="G18" s="1">
        <v>532951049</v>
      </c>
      <c r="H18" s="1">
        <v>391743051</v>
      </c>
      <c r="I18" s="1">
        <v>315131286</v>
      </c>
      <c r="J18" s="1">
        <v>-727773665</v>
      </c>
    </row>
    <row r="19" spans="1:12" x14ac:dyDescent="0.3">
      <c r="A19" s="32" t="s">
        <v>372</v>
      </c>
      <c r="B19" s="1"/>
      <c r="C19" s="1"/>
      <c r="D19" s="1"/>
      <c r="E19" s="1"/>
      <c r="F19" s="1"/>
      <c r="G19" s="1"/>
      <c r="H19" s="1"/>
      <c r="I19" s="1">
        <v>1525271641</v>
      </c>
      <c r="J19" s="1">
        <v>1701091423</v>
      </c>
      <c r="K19" s="1"/>
    </row>
    <row r="20" spans="1:12" x14ac:dyDescent="0.3">
      <c r="A20" s="32" t="s">
        <v>373</v>
      </c>
      <c r="B20" s="1"/>
      <c r="C20" s="1"/>
      <c r="D20" s="1"/>
      <c r="E20" s="1"/>
      <c r="F20" s="1"/>
      <c r="G20" s="1"/>
      <c r="H20" s="1"/>
      <c r="I20" s="1">
        <v>0</v>
      </c>
      <c r="J20" s="1">
        <v>0</v>
      </c>
      <c r="K20" s="1"/>
    </row>
    <row r="21" spans="1:12" x14ac:dyDescent="0.3">
      <c r="A21" s="32" t="s">
        <v>222</v>
      </c>
      <c r="B21" s="1">
        <f>296147839+157648</f>
        <v>296305487</v>
      </c>
      <c r="C21" s="1">
        <f>164245277+231706</f>
        <v>164476983</v>
      </c>
      <c r="D21" s="1">
        <f>82649412+306620</f>
        <v>82956032</v>
      </c>
      <c r="E21" s="1">
        <f>65264562+336391</f>
        <v>65600953</v>
      </c>
      <c r="F21" s="1">
        <f>243689688+381657</f>
        <v>244071345</v>
      </c>
      <c r="G21" s="1">
        <f>161763224+222896</f>
        <v>161986120</v>
      </c>
      <c r="H21" s="1">
        <f>176228547+204496</f>
        <v>176433043</v>
      </c>
      <c r="I21" s="1">
        <f>206812121+211327</f>
        <v>207023448</v>
      </c>
      <c r="J21" s="1">
        <f>263473531+218298</f>
        <v>263691829</v>
      </c>
    </row>
    <row r="22" spans="1:12" x14ac:dyDescent="0.3">
      <c r="A22" s="32" t="s">
        <v>209</v>
      </c>
      <c r="B22" s="1">
        <f>1028436263+7506974145+43951499+1825720110</f>
        <v>10405082017</v>
      </c>
      <c r="C22" s="1">
        <v>11188163033</v>
      </c>
      <c r="D22" s="1">
        <v>10362695747</v>
      </c>
      <c r="E22" s="1">
        <v>13552593316</v>
      </c>
      <c r="F22" s="1">
        <v>12104813095</v>
      </c>
      <c r="G22" s="1">
        <v>12315732526</v>
      </c>
      <c r="H22" s="1">
        <v>10918928235</v>
      </c>
      <c r="I22" s="1">
        <v>4973072594</v>
      </c>
      <c r="J22" s="1">
        <v>1778920734</v>
      </c>
    </row>
    <row r="23" spans="1:12" x14ac:dyDescent="0.3">
      <c r="A23" s="32" t="s">
        <v>223</v>
      </c>
      <c r="B23" s="1">
        <v>14014265</v>
      </c>
      <c r="C23" s="1">
        <v>70474075</v>
      </c>
      <c r="D23" s="1">
        <v>471264320</v>
      </c>
      <c r="E23" s="1">
        <v>111349328</v>
      </c>
      <c r="F23" s="1">
        <v>99991747</v>
      </c>
      <c r="G23" s="1">
        <v>115821074</v>
      </c>
      <c r="H23" s="1">
        <v>116254481</v>
      </c>
      <c r="I23" s="1">
        <v>475256227</v>
      </c>
      <c r="J23" s="1">
        <v>308784720</v>
      </c>
    </row>
    <row r="24" spans="1:12" x14ac:dyDescent="0.3">
      <c r="A24" s="32" t="s">
        <v>224</v>
      </c>
      <c r="B24" s="1">
        <f>2832660108+20747552+46476414+54237959</f>
        <v>2954122033</v>
      </c>
      <c r="C24" s="1">
        <v>8066510833</v>
      </c>
      <c r="D24" s="1">
        <v>7784576588</v>
      </c>
      <c r="E24" s="1">
        <v>7567563901</v>
      </c>
      <c r="F24" s="1">
        <v>10829778548</v>
      </c>
      <c r="G24" s="1">
        <v>7734760751</v>
      </c>
      <c r="H24" s="1">
        <v>8698164874</v>
      </c>
      <c r="I24" s="1">
        <v>10196702210</v>
      </c>
      <c r="J24" s="1">
        <v>11832235635</v>
      </c>
    </row>
    <row r="25" spans="1:12" x14ac:dyDescent="0.3">
      <c r="A25" s="97" t="s">
        <v>357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1:12" x14ac:dyDescent="0.3">
      <c r="A26" s="97" t="s">
        <v>358</v>
      </c>
      <c r="B26" s="1">
        <v>2832660108</v>
      </c>
      <c r="C26" s="1">
        <v>7760836448</v>
      </c>
      <c r="D26" s="1">
        <v>7446090913</v>
      </c>
      <c r="E26" s="1">
        <v>7274421066</v>
      </c>
      <c r="F26" s="1">
        <v>10572677194</v>
      </c>
      <c r="G26" s="1">
        <v>7427124645</v>
      </c>
      <c r="H26" s="1">
        <v>8328967613</v>
      </c>
      <c r="I26" s="1">
        <v>9843263823</v>
      </c>
      <c r="J26" s="1">
        <v>11277991763</v>
      </c>
    </row>
    <row r="27" spans="1:12" x14ac:dyDescent="0.3">
      <c r="A27" s="32" t="s">
        <v>225</v>
      </c>
      <c r="B27" s="1">
        <f>1918605+645263+19981+127885867+1219735923</f>
        <v>1350205639</v>
      </c>
      <c r="C27" s="1">
        <f>1627693497+3974828</f>
        <v>1631668325</v>
      </c>
      <c r="D27" s="1">
        <f>2413019367+2723224</f>
        <v>2415742591</v>
      </c>
      <c r="E27" s="1">
        <f>2027187166+2504976</f>
        <v>2029692142</v>
      </c>
      <c r="F27" s="1">
        <v>2908271986</v>
      </c>
      <c r="G27" s="1">
        <v>3348648928</v>
      </c>
      <c r="H27" s="1">
        <v>1717395438</v>
      </c>
      <c r="I27" s="1">
        <v>1805018609</v>
      </c>
      <c r="J27" s="1">
        <v>5079872999</v>
      </c>
      <c r="K27" s="1"/>
      <c r="L27" s="1"/>
    </row>
    <row r="28" spans="1:12" x14ac:dyDescent="0.3">
      <c r="A28" s="32" t="s">
        <v>226</v>
      </c>
      <c r="B28" s="1">
        <v>2789180297</v>
      </c>
      <c r="C28" s="1">
        <v>2710263381</v>
      </c>
      <c r="D28" s="1">
        <v>2002150566</v>
      </c>
      <c r="E28" s="1">
        <v>1754499750</v>
      </c>
      <c r="F28" s="1">
        <v>1578418797</v>
      </c>
      <c r="G28" s="1">
        <v>1286147028</v>
      </c>
      <c r="H28" s="1">
        <v>1555885485</v>
      </c>
      <c r="I28" s="1">
        <v>1480721589</v>
      </c>
      <c r="J28" s="1">
        <v>1841261467</v>
      </c>
    </row>
    <row r="29" spans="1:12" x14ac:dyDescent="0.3">
      <c r="A29" s="72" t="s">
        <v>227</v>
      </c>
      <c r="B29" s="3">
        <f t="shared" ref="B29:F29" si="2">SUM(B16:B28)-B25-B26</f>
        <v>19141286511</v>
      </c>
      <c r="C29" s="3">
        <f t="shared" ref="C29" si="3">SUM(C16:C28)-C25-C26</f>
        <v>25296180178</v>
      </c>
      <c r="D29" s="3">
        <f t="shared" si="2"/>
        <v>24813639640</v>
      </c>
      <c r="E29" s="3">
        <f t="shared" si="2"/>
        <v>26970603256</v>
      </c>
      <c r="F29" s="3">
        <f t="shared" si="2"/>
        <v>30001579540</v>
      </c>
      <c r="G29" s="3">
        <f>SUM(G16:G28)-G25-G26</f>
        <v>27772599391</v>
      </c>
      <c r="H29" s="3">
        <f>SUM(H16:H28)-H25-H26</f>
        <v>26329610474</v>
      </c>
      <c r="I29" s="3">
        <f>SUM(I16:I28)-I25-I26</f>
        <v>22599420956</v>
      </c>
      <c r="J29" s="3">
        <f>SUM(J16:J28)-J25-J26</f>
        <v>23877330827</v>
      </c>
    </row>
    <row r="30" spans="1:12" x14ac:dyDescent="0.3">
      <c r="A30" s="10" t="s">
        <v>266</v>
      </c>
      <c r="B30" s="11">
        <f>B16+B17+B18+B19+B20</f>
        <v>1332376773</v>
      </c>
      <c r="C30" s="11">
        <f>C16+C17+C18+C19+C20</f>
        <v>1464623548</v>
      </c>
      <c r="D30" s="11">
        <f t="shared" ref="D30:J30" si="4">D16+D17+D18+D19+D20</f>
        <v>1694253796</v>
      </c>
      <c r="E30" s="11">
        <f t="shared" si="4"/>
        <v>1889303866</v>
      </c>
      <c r="F30" s="11">
        <f t="shared" si="4"/>
        <v>2236234022</v>
      </c>
      <c r="G30" s="11">
        <f t="shared" si="4"/>
        <v>2809502964</v>
      </c>
      <c r="H30" s="11">
        <f t="shared" si="4"/>
        <v>3146548918</v>
      </c>
      <c r="I30" s="11">
        <f t="shared" si="4"/>
        <v>3461626279</v>
      </c>
      <c r="J30" s="11">
        <f t="shared" si="4"/>
        <v>2772563443</v>
      </c>
    </row>
    <row r="31" spans="1:12" x14ac:dyDescent="0.3">
      <c r="G31" s="6">
        <f>G30/G29*100</f>
        <v>10.116096532578974</v>
      </c>
      <c r="H31" s="6">
        <f>H30/H29*100</f>
        <v>11.950609452073582</v>
      </c>
      <c r="I31" s="6">
        <f>I30/I29*100</f>
        <v>15.317322889553772</v>
      </c>
      <c r="J31" s="6">
        <f>J30/J29*100</f>
        <v>11.611697568242601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Entrate_Uscite</vt:lpstr>
      <vt:lpstr>Tav_Entrate</vt:lpstr>
      <vt:lpstr>Tav_Uscite</vt:lpstr>
      <vt:lpstr>Spese_missione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2023-02-03T18:25:58Z</dcterms:modified>
</cp:coreProperties>
</file>