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5.xml" ContentType="application/vnd.openxmlformats-officedocument.drawing+xml"/>
  <Override PartName="/xl/charts/chart1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Bilanci\rendiconti\Regioni\"/>
    </mc:Choice>
  </mc:AlternateContent>
  <bookViews>
    <workbookView xWindow="240" yWindow="48" windowWidth="20112" windowHeight="7992" firstSheet="5" activeTab="9"/>
  </bookViews>
  <sheets>
    <sheet name="Entrate_Uscite" sheetId="2" r:id="rId1"/>
    <sheet name="Tav_Entrate" sheetId="7" r:id="rId2"/>
    <sheet name="Tav_Uscite" sheetId="8" r:id="rId3"/>
    <sheet name="Tav_Saldi" sheetId="9" r:id="rId4"/>
    <sheet name="Risultato_amministrazione" sheetId="1" r:id="rId5"/>
    <sheet name="Conto_economico" sheetId="6" r:id="rId6"/>
    <sheet name="Tav_contoeconomico" sheetId="10" r:id="rId7"/>
    <sheet name="Stato_patrimoniale" sheetId="5" r:id="rId8"/>
    <sheet name="Piano_indicatori" sheetId="4" r:id="rId9"/>
    <sheet name="Tav_indicatori" sheetId="12" r:id="rId10"/>
    <sheet name="Popolazione" sheetId="13" r:id="rId11"/>
  </sheets>
  <calcPr calcId="152511"/>
</workbook>
</file>

<file path=xl/calcChain.xml><?xml version="1.0" encoding="utf-8"?>
<calcChain xmlns="http://schemas.openxmlformats.org/spreadsheetml/2006/main">
  <c r="H9" i="12" l="1"/>
  <c r="H8" i="12"/>
  <c r="H7" i="12"/>
  <c r="H6" i="12"/>
  <c r="H5" i="12"/>
  <c r="H4" i="12"/>
  <c r="H3" i="12"/>
  <c r="H2" i="12"/>
  <c r="G6" i="9"/>
  <c r="G5" i="9"/>
  <c r="G4" i="9"/>
  <c r="G3" i="9"/>
  <c r="G2" i="9"/>
  <c r="E6" i="9"/>
  <c r="E5" i="9"/>
  <c r="E4" i="9"/>
  <c r="E3" i="9"/>
  <c r="E2" i="9"/>
  <c r="H31" i="8"/>
  <c r="H30" i="8"/>
  <c r="H29" i="8"/>
  <c r="H28" i="8"/>
  <c r="H27" i="8"/>
  <c r="H26" i="8"/>
  <c r="H25" i="8"/>
  <c r="H24" i="8"/>
  <c r="H23" i="8"/>
  <c r="H22" i="8"/>
  <c r="H21" i="8"/>
  <c r="H20" i="8"/>
  <c r="H19" i="8"/>
  <c r="H18" i="8"/>
  <c r="H17" i="8"/>
  <c r="H16" i="8"/>
  <c r="H15" i="8"/>
  <c r="H14" i="8"/>
  <c r="H13" i="8"/>
  <c r="H12" i="8"/>
  <c r="H11" i="8"/>
  <c r="H10" i="8"/>
  <c r="H9" i="8"/>
  <c r="H8" i="8"/>
  <c r="H7" i="8"/>
  <c r="H6" i="8"/>
  <c r="H5" i="8"/>
  <c r="H4" i="8"/>
  <c r="H3" i="8"/>
  <c r="H2" i="8"/>
  <c r="E29" i="8"/>
  <c r="E28" i="8"/>
  <c r="E26" i="8"/>
  <c r="E25" i="8"/>
  <c r="E24" i="8"/>
  <c r="E23" i="8"/>
  <c r="E22" i="8"/>
  <c r="E19" i="8"/>
  <c r="E18" i="8"/>
  <c r="E17" i="8"/>
  <c r="E16" i="8"/>
  <c r="E14" i="8"/>
  <c r="E13" i="8"/>
  <c r="E12" i="8"/>
  <c r="E11" i="8"/>
  <c r="E15" i="8" s="1"/>
  <c r="E9" i="8"/>
  <c r="E8" i="8"/>
  <c r="E7" i="8"/>
  <c r="E6" i="8"/>
  <c r="E5" i="8"/>
  <c r="E4" i="8"/>
  <c r="E3" i="8"/>
  <c r="E2" i="8"/>
  <c r="E10" i="8" s="1"/>
  <c r="H21" i="7"/>
  <c r="H20" i="7"/>
  <c r="H19" i="7"/>
  <c r="H18" i="7"/>
  <c r="H17" i="7"/>
  <c r="H16" i="7"/>
  <c r="H15" i="7"/>
  <c r="H14" i="7"/>
  <c r="H13" i="7"/>
  <c r="H12" i="7"/>
  <c r="H11" i="7"/>
  <c r="H10" i="7"/>
  <c r="H9" i="7"/>
  <c r="H8" i="7"/>
  <c r="H7" i="7"/>
  <c r="H6" i="7"/>
  <c r="H5" i="7"/>
  <c r="H4" i="7"/>
  <c r="H3" i="7"/>
  <c r="H2" i="7"/>
  <c r="E19" i="7"/>
  <c r="E18" i="7"/>
  <c r="E17" i="7"/>
  <c r="E14" i="7"/>
  <c r="E13" i="7"/>
  <c r="E12" i="7"/>
  <c r="E10" i="7"/>
  <c r="E9" i="7"/>
  <c r="E8" i="7"/>
  <c r="E7" i="7"/>
  <c r="E6" i="7"/>
  <c r="E4" i="7"/>
  <c r="E3" i="7"/>
  <c r="E2" i="7"/>
  <c r="N55" i="2"/>
  <c r="O54" i="2"/>
  <c r="N54" i="2"/>
  <c r="O53" i="2"/>
  <c r="N53" i="2"/>
  <c r="O52" i="2"/>
  <c r="N52" i="2"/>
  <c r="O51" i="2"/>
  <c r="N51" i="2"/>
  <c r="O50" i="2"/>
  <c r="N50" i="2"/>
  <c r="O16" i="2"/>
  <c r="R16" i="2" s="1"/>
  <c r="N16" i="2"/>
  <c r="O15" i="2"/>
  <c r="N15" i="2"/>
  <c r="O14" i="2"/>
  <c r="N14" i="2"/>
  <c r="N20" i="2" s="1"/>
  <c r="R60" i="2"/>
  <c r="R59" i="2"/>
  <c r="Q59" i="2"/>
  <c r="R55" i="2"/>
  <c r="Q55" i="2"/>
  <c r="R54" i="2"/>
  <c r="Q54" i="2"/>
  <c r="R53" i="2"/>
  <c r="Q53" i="2"/>
  <c r="R52" i="2"/>
  <c r="Q52" i="2"/>
  <c r="R51" i="2"/>
  <c r="Q51" i="2"/>
  <c r="R50" i="2"/>
  <c r="Q50" i="2"/>
  <c r="R49" i="2"/>
  <c r="Q49" i="2"/>
  <c r="R48" i="2"/>
  <c r="Q48" i="2"/>
  <c r="R47" i="2"/>
  <c r="Q47" i="2"/>
  <c r="R46" i="2"/>
  <c r="Q46" i="2"/>
  <c r="R45" i="2"/>
  <c r="Q45" i="2"/>
  <c r="R44" i="2"/>
  <c r="Q44" i="2"/>
  <c r="R43" i="2"/>
  <c r="Q43" i="2"/>
  <c r="R42" i="2"/>
  <c r="Q42" i="2"/>
  <c r="R41" i="2"/>
  <c r="Q41" i="2"/>
  <c r="R40" i="2"/>
  <c r="Q40" i="2"/>
  <c r="R39" i="2"/>
  <c r="Q39" i="2"/>
  <c r="R38" i="2"/>
  <c r="Q38" i="2"/>
  <c r="R37" i="2"/>
  <c r="Q37" i="2"/>
  <c r="R36" i="2"/>
  <c r="Q36" i="2"/>
  <c r="R35" i="2"/>
  <c r="Q35" i="2"/>
  <c r="R34" i="2"/>
  <c r="Q34" i="2"/>
  <c r="R33" i="2"/>
  <c r="Q33" i="2"/>
  <c r="R32" i="2"/>
  <c r="Q32" i="2"/>
  <c r="R31" i="2"/>
  <c r="Q31" i="2"/>
  <c r="R30" i="2"/>
  <c r="Q30" i="2"/>
  <c r="R29" i="2"/>
  <c r="Q29" i="2"/>
  <c r="R28" i="2"/>
  <c r="Q28" i="2"/>
  <c r="R27" i="2"/>
  <c r="Q27" i="2"/>
  <c r="R26" i="2"/>
  <c r="Q26" i="2"/>
  <c r="R25" i="2"/>
  <c r="Q25" i="2"/>
  <c r="R24" i="2"/>
  <c r="Q24" i="2"/>
  <c r="R23" i="2"/>
  <c r="Q23" i="2"/>
  <c r="R19" i="2"/>
  <c r="Q19" i="2"/>
  <c r="R18" i="2"/>
  <c r="Q18" i="2"/>
  <c r="R17" i="2"/>
  <c r="Q17" i="2"/>
  <c r="Q16" i="2"/>
  <c r="R15" i="2"/>
  <c r="Q15" i="2"/>
  <c r="R14" i="2"/>
  <c r="Q14" i="2"/>
  <c r="R13" i="2"/>
  <c r="Q13" i="2"/>
  <c r="R12" i="2"/>
  <c r="Q12" i="2"/>
  <c r="R11" i="2"/>
  <c r="Q11" i="2"/>
  <c r="R10" i="2"/>
  <c r="Q10" i="2"/>
  <c r="R9" i="2"/>
  <c r="Q9" i="2"/>
  <c r="R8" i="2"/>
  <c r="Q8" i="2"/>
  <c r="R7" i="2"/>
  <c r="Q7" i="2"/>
  <c r="R6" i="2"/>
  <c r="Q6" i="2"/>
  <c r="R5" i="2"/>
  <c r="Q5" i="2"/>
  <c r="R4" i="2"/>
  <c r="Q4" i="2"/>
  <c r="R3" i="2"/>
  <c r="Q3" i="2"/>
  <c r="E27" i="8" l="1"/>
  <c r="E20" i="8"/>
  <c r="E30" i="8"/>
  <c r="E31" i="8" s="1"/>
  <c r="E21" i="8"/>
  <c r="E5" i="7"/>
  <c r="E15" i="7"/>
  <c r="E11" i="7"/>
  <c r="E20" i="7"/>
  <c r="E21" i="7" s="1"/>
  <c r="E16" i="7"/>
  <c r="N21" i="2"/>
  <c r="Q21" i="2" s="1"/>
  <c r="Q20" i="2"/>
  <c r="O20" i="2"/>
  <c r="O21" i="2" l="1"/>
  <c r="R21" i="2" s="1"/>
  <c r="R20" i="2"/>
  <c r="L59" i="2" l="1"/>
  <c r="L56" i="2"/>
  <c r="L57" i="2" s="1"/>
  <c r="K55" i="2"/>
  <c r="M55" i="2" s="1"/>
  <c r="L54" i="2"/>
  <c r="K54" i="2"/>
  <c r="M54" i="2" s="1"/>
  <c r="L53" i="2"/>
  <c r="M53" i="2" s="1"/>
  <c r="K53" i="2"/>
  <c r="L52" i="2"/>
  <c r="K52" i="2"/>
  <c r="M52" i="2" s="1"/>
  <c r="L51" i="2"/>
  <c r="K51" i="2"/>
  <c r="M51" i="2" s="1"/>
  <c r="M50" i="2"/>
  <c r="L50" i="2"/>
  <c r="L63" i="2" s="1"/>
  <c r="K50" i="2"/>
  <c r="M49" i="2"/>
  <c r="M48" i="2"/>
  <c r="M47" i="2"/>
  <c r="M46" i="2"/>
  <c r="M45" i="2"/>
  <c r="M44" i="2"/>
  <c r="M43" i="2"/>
  <c r="M42" i="2"/>
  <c r="M41" i="2"/>
  <c r="M40" i="2"/>
  <c r="M39" i="2"/>
  <c r="M38" i="2"/>
  <c r="M37" i="2"/>
  <c r="M36" i="2"/>
  <c r="M35" i="2"/>
  <c r="M34" i="2"/>
  <c r="M33" i="2"/>
  <c r="M32" i="2"/>
  <c r="M31" i="2"/>
  <c r="M30" i="2"/>
  <c r="M29" i="2"/>
  <c r="M26" i="2"/>
  <c r="M25" i="2"/>
  <c r="M24" i="2"/>
  <c r="M23" i="2"/>
  <c r="L20" i="2"/>
  <c r="L21" i="2" s="1"/>
  <c r="L61" i="2" s="1"/>
  <c r="M19" i="2"/>
  <c r="M18" i="2"/>
  <c r="M17" i="2"/>
  <c r="L16" i="2"/>
  <c r="M15" i="2"/>
  <c r="L15" i="2"/>
  <c r="K15" i="2"/>
  <c r="K59" i="2" s="1"/>
  <c r="L14" i="2"/>
  <c r="L58" i="2" s="1"/>
  <c r="K14" i="2"/>
  <c r="K58" i="2" s="1"/>
  <c r="M13" i="2"/>
  <c r="K12" i="2"/>
  <c r="K16" i="2" s="1"/>
  <c r="M16" i="2" s="1"/>
  <c r="M11" i="2"/>
  <c r="M10" i="2"/>
  <c r="M9" i="2"/>
  <c r="M8" i="2"/>
  <c r="M7" i="2"/>
  <c r="M6" i="2"/>
  <c r="M5" i="2"/>
  <c r="M4" i="2"/>
  <c r="M3" i="2"/>
  <c r="F28" i="5"/>
  <c r="F29" i="5" s="1"/>
  <c r="F27" i="5"/>
  <c r="F15" i="5"/>
  <c r="G12" i="10"/>
  <c r="G3" i="10"/>
  <c r="E14" i="10"/>
  <c r="E12" i="10"/>
  <c r="E11" i="10"/>
  <c r="E10" i="10"/>
  <c r="E9" i="10"/>
  <c r="E13" i="10" s="1"/>
  <c r="E15" i="10" s="1"/>
  <c r="E8" i="10"/>
  <c r="E7" i="10"/>
  <c r="E6" i="10"/>
  <c r="E5" i="10"/>
  <c r="E4" i="10"/>
  <c r="E3" i="10"/>
  <c r="E2" i="10"/>
  <c r="H27" i="6"/>
  <c r="H26" i="6"/>
  <c r="H25" i="6"/>
  <c r="H24" i="6"/>
  <c r="H23" i="6"/>
  <c r="H22" i="6"/>
  <c r="H20" i="6"/>
  <c r="H19" i="6"/>
  <c r="H18" i="6"/>
  <c r="H17" i="6"/>
  <c r="H16" i="6"/>
  <c r="H15" i="6"/>
  <c r="H14" i="6"/>
  <c r="H13" i="6"/>
  <c r="H12" i="6"/>
  <c r="H11" i="6"/>
  <c r="H9" i="6"/>
  <c r="H8" i="6"/>
  <c r="H7" i="6"/>
  <c r="H6" i="6"/>
  <c r="H5" i="6"/>
  <c r="H4" i="6"/>
  <c r="H3" i="6"/>
  <c r="H2" i="6"/>
  <c r="F28" i="6"/>
  <c r="F21" i="6"/>
  <c r="F10" i="6"/>
  <c r="K20" i="2" l="1"/>
  <c r="K56" i="2"/>
  <c r="M12" i="2"/>
  <c r="K60" i="2"/>
  <c r="L60" i="2"/>
  <c r="M14" i="2"/>
  <c r="L62" i="2"/>
  <c r="G52" i="1"/>
  <c r="G24" i="1"/>
  <c r="G20" i="1"/>
  <c r="G14" i="1"/>
  <c r="G7" i="1"/>
  <c r="C2" i="13"/>
  <c r="F3" i="13"/>
  <c r="C3" i="13"/>
  <c r="K57" i="2" l="1"/>
  <c r="M57" i="2" s="1"/>
  <c r="M56" i="2"/>
  <c r="K21" i="2"/>
  <c r="M20" i="2"/>
  <c r="G22" i="1"/>
  <c r="G9" i="12"/>
  <c r="G8" i="12"/>
  <c r="G7" i="12"/>
  <c r="G6" i="12"/>
  <c r="G5" i="12"/>
  <c r="G4" i="12"/>
  <c r="G3" i="12"/>
  <c r="G2" i="12"/>
  <c r="D26" i="8"/>
  <c r="D25" i="8"/>
  <c r="D24" i="8"/>
  <c r="D23" i="8"/>
  <c r="D22" i="8"/>
  <c r="D19" i="8"/>
  <c r="D18" i="8"/>
  <c r="D17" i="8"/>
  <c r="D16" i="8"/>
  <c r="D14" i="8"/>
  <c r="D13" i="8"/>
  <c r="D12" i="8"/>
  <c r="D11" i="8"/>
  <c r="D9" i="8"/>
  <c r="D8" i="8"/>
  <c r="D7" i="8"/>
  <c r="D6" i="8"/>
  <c r="D5" i="8"/>
  <c r="D4" i="8"/>
  <c r="D3" i="8"/>
  <c r="D2" i="8"/>
  <c r="D19" i="7"/>
  <c r="D18" i="7"/>
  <c r="D17" i="7"/>
  <c r="D14" i="7"/>
  <c r="D12" i="7"/>
  <c r="D10" i="7"/>
  <c r="D9" i="7"/>
  <c r="D8" i="7"/>
  <c r="D7" i="7"/>
  <c r="D6" i="7"/>
  <c r="D4" i="7"/>
  <c r="D3" i="7"/>
  <c r="D2" i="7"/>
  <c r="N59" i="2"/>
  <c r="F3" i="9" s="1"/>
  <c r="O63" i="2"/>
  <c r="N60" i="2"/>
  <c r="O62" i="2"/>
  <c r="O60" i="2"/>
  <c r="F5" i="9" l="1"/>
  <c r="Q60" i="2"/>
  <c r="M21" i="2"/>
  <c r="K61" i="2"/>
  <c r="N58" i="2"/>
  <c r="O58" i="2"/>
  <c r="O59" i="2"/>
  <c r="H3" i="9" s="1"/>
  <c r="F4" i="9"/>
  <c r="H5" i="9"/>
  <c r="H4" i="9"/>
  <c r="D10" i="8"/>
  <c r="D15" i="8"/>
  <c r="D20" i="8"/>
  <c r="D27" i="8"/>
  <c r="D11" i="7"/>
  <c r="D5" i="7"/>
  <c r="H2" i="9" l="1"/>
  <c r="R58" i="2"/>
  <c r="F2" i="9"/>
  <c r="Q58" i="2"/>
  <c r="D21" i="8"/>
  <c r="H55" i="2" l="1"/>
  <c r="I54" i="2"/>
  <c r="H54" i="2"/>
  <c r="I53" i="2"/>
  <c r="H53" i="2"/>
  <c r="I52" i="2"/>
  <c r="H52" i="2"/>
  <c r="J51" i="2"/>
  <c r="I51" i="2"/>
  <c r="H51" i="2"/>
  <c r="I50" i="2"/>
  <c r="H50" i="2"/>
  <c r="J49" i="2"/>
  <c r="J48" i="2"/>
  <c r="J47" i="2"/>
  <c r="J46" i="2"/>
  <c r="J45" i="2"/>
  <c r="J44" i="2"/>
  <c r="J43" i="2"/>
  <c r="J42" i="2"/>
  <c r="J41" i="2"/>
  <c r="J40" i="2"/>
  <c r="J39" i="2"/>
  <c r="J38" i="2"/>
  <c r="J37" i="2"/>
  <c r="J36" i="2"/>
  <c r="J35" i="2"/>
  <c r="J34" i="2"/>
  <c r="J33" i="2"/>
  <c r="J32" i="2"/>
  <c r="J31" i="2"/>
  <c r="J30" i="2"/>
  <c r="J29" i="2"/>
  <c r="J26" i="2"/>
  <c r="J25" i="2"/>
  <c r="J24" i="2"/>
  <c r="J23" i="2"/>
  <c r="J19" i="2"/>
  <c r="J18" i="2"/>
  <c r="J17" i="2"/>
  <c r="I16" i="2"/>
  <c r="H16" i="2"/>
  <c r="I15" i="2"/>
  <c r="H15" i="2"/>
  <c r="I14" i="2"/>
  <c r="H14" i="2"/>
  <c r="J13" i="2"/>
  <c r="J12" i="2"/>
  <c r="H12" i="2"/>
  <c r="J11" i="2"/>
  <c r="J10" i="2"/>
  <c r="J9" i="2"/>
  <c r="J8" i="2"/>
  <c r="J7" i="2"/>
  <c r="J6" i="2"/>
  <c r="J5" i="2"/>
  <c r="J4" i="2"/>
  <c r="J3" i="2"/>
  <c r="G28" i="5"/>
  <c r="G27" i="5"/>
  <c r="G15" i="5"/>
  <c r="F14" i="10"/>
  <c r="G14" i="10" s="1"/>
  <c r="F12" i="10"/>
  <c r="F11" i="10"/>
  <c r="G11" i="10" s="1"/>
  <c r="F10" i="10"/>
  <c r="G10" i="10" s="1"/>
  <c r="F8" i="10"/>
  <c r="G8" i="10" s="1"/>
  <c r="F7" i="10"/>
  <c r="G7" i="10" s="1"/>
  <c r="F6" i="10"/>
  <c r="G6" i="10" s="1"/>
  <c r="F4" i="10"/>
  <c r="G4" i="10" s="1"/>
  <c r="F3" i="10"/>
  <c r="G21" i="6"/>
  <c r="G10" i="6"/>
  <c r="F24" i="1"/>
  <c r="F20" i="1"/>
  <c r="F52" i="1"/>
  <c r="F7" i="1"/>
  <c r="F5" i="10" l="1"/>
  <c r="G5" i="10" s="1"/>
  <c r="H21" i="6"/>
  <c r="G28" i="6"/>
  <c r="H28" i="6" s="1"/>
  <c r="H10" i="6"/>
  <c r="D13" i="7"/>
  <c r="J54" i="2"/>
  <c r="D28" i="8"/>
  <c r="D4" i="9"/>
  <c r="I56" i="2"/>
  <c r="I57" i="2" s="1"/>
  <c r="I63" i="2"/>
  <c r="F2" i="10"/>
  <c r="G2" i="10" s="1"/>
  <c r="J16" i="2"/>
  <c r="J14" i="2"/>
  <c r="H60" i="2"/>
  <c r="H58" i="2"/>
  <c r="I62" i="2"/>
  <c r="I60" i="2"/>
  <c r="I58" i="2"/>
  <c r="D29" i="8"/>
  <c r="H59" i="2"/>
  <c r="J52" i="2"/>
  <c r="J55" i="2"/>
  <c r="I59" i="2"/>
  <c r="J50" i="2"/>
  <c r="J53" i="2"/>
  <c r="H20" i="2"/>
  <c r="J15" i="2"/>
  <c r="I20" i="2"/>
  <c r="H56" i="2"/>
  <c r="G29" i="5"/>
  <c r="F14" i="1"/>
  <c r="F22" i="1" s="1"/>
  <c r="F4" i="13"/>
  <c r="E24" i="1"/>
  <c r="D24" i="1"/>
  <c r="C24" i="1"/>
  <c r="B24" i="1"/>
  <c r="B15" i="5"/>
  <c r="C15" i="5"/>
  <c r="D15" i="5"/>
  <c r="E15" i="5"/>
  <c r="F8" i="13"/>
  <c r="F7" i="13"/>
  <c r="C7" i="13"/>
  <c r="F6" i="13"/>
  <c r="C6" i="13"/>
  <c r="F5" i="13"/>
  <c r="C5" i="13"/>
  <c r="C4" i="13"/>
  <c r="B13" i="1"/>
  <c r="B52" i="1" s="1"/>
  <c r="F9" i="10" l="1"/>
  <c r="D3" i="9"/>
  <c r="D2" i="9"/>
  <c r="D5" i="9"/>
  <c r="I21" i="2"/>
  <c r="D30" i="8"/>
  <c r="D15" i="7"/>
  <c r="H57" i="2"/>
  <c r="J57" i="2" s="1"/>
  <c r="J56" i="2"/>
  <c r="H21" i="2"/>
  <c r="J20" i="2"/>
  <c r="B27" i="5"/>
  <c r="C27" i="5"/>
  <c r="D27" i="5"/>
  <c r="E27" i="5"/>
  <c r="B55" i="2"/>
  <c r="C54" i="2"/>
  <c r="B54" i="2"/>
  <c r="C53" i="2"/>
  <c r="B53" i="2"/>
  <c r="C52" i="2"/>
  <c r="B52" i="2"/>
  <c r="C51" i="2"/>
  <c r="B51" i="2"/>
  <c r="C50" i="2"/>
  <c r="C63" i="2" s="1"/>
  <c r="B50" i="2"/>
  <c r="C16" i="2"/>
  <c r="B16" i="2"/>
  <c r="C15" i="2"/>
  <c r="B15" i="2"/>
  <c r="C14" i="2"/>
  <c r="B14" i="2"/>
  <c r="D13" i="1"/>
  <c r="D52" i="1" s="1"/>
  <c r="C13" i="1"/>
  <c r="C52" i="1" s="1"/>
  <c r="F13" i="10" l="1"/>
  <c r="G9" i="10"/>
  <c r="H61" i="2"/>
  <c r="D6" i="9" s="1"/>
  <c r="C60" i="2"/>
  <c r="C58" i="2"/>
  <c r="C62" i="2"/>
  <c r="D20" i="7"/>
  <c r="D16" i="7"/>
  <c r="B60" i="2"/>
  <c r="B5" i="9" s="1"/>
  <c r="B58" i="2"/>
  <c r="B2" i="9" s="1"/>
  <c r="B59" i="2"/>
  <c r="B3" i="9" s="1"/>
  <c r="D31" i="8"/>
  <c r="C59" i="2"/>
  <c r="I61" i="2"/>
  <c r="B4" i="9"/>
  <c r="J21" i="2"/>
  <c r="B20" i="2"/>
  <c r="B21" i="2" s="1"/>
  <c r="C20" i="2"/>
  <c r="C21" i="2" s="1"/>
  <c r="E55" i="2"/>
  <c r="F54" i="2"/>
  <c r="E54" i="2"/>
  <c r="F53" i="2"/>
  <c r="E53" i="2"/>
  <c r="F52" i="2"/>
  <c r="E52" i="2"/>
  <c r="F51" i="2"/>
  <c r="E51" i="2"/>
  <c r="F50" i="2"/>
  <c r="E50" i="2"/>
  <c r="F16" i="2"/>
  <c r="E16" i="2"/>
  <c r="F15" i="2"/>
  <c r="E15" i="2"/>
  <c r="F14" i="2"/>
  <c r="E14" i="2"/>
  <c r="E13" i="1"/>
  <c r="E12" i="1"/>
  <c r="E52" i="1" s="1"/>
  <c r="F15" i="10" l="1"/>
  <c r="G15" i="10" s="1"/>
  <c r="G13" i="10"/>
  <c r="D21" i="7"/>
  <c r="F63" i="2"/>
  <c r="F62" i="2"/>
  <c r="F60" i="2"/>
  <c r="F58" i="2"/>
  <c r="F59" i="2"/>
  <c r="E60" i="2"/>
  <c r="C5" i="9" s="1"/>
  <c r="E58" i="2"/>
  <c r="C2" i="9" s="1"/>
  <c r="E59" i="2"/>
  <c r="C3" i="9" s="1"/>
  <c r="C4" i="9"/>
  <c r="E20" i="2"/>
  <c r="E21" i="2" s="1"/>
  <c r="E61" i="2" s="1"/>
  <c r="C6" i="9" s="1"/>
  <c r="F20" i="2"/>
  <c r="F21" i="2" s="1"/>
  <c r="D7" i="1"/>
  <c r="C28" i="5"/>
  <c r="B7" i="1"/>
  <c r="C7" i="1"/>
  <c r="E7" i="1"/>
  <c r="C10" i="6"/>
  <c r="C21" i="6"/>
  <c r="F56" i="2"/>
  <c r="F57" i="2" s="1"/>
  <c r="E56" i="2"/>
  <c r="E57" i="2" s="1"/>
  <c r="F61" i="2" l="1"/>
  <c r="C28" i="6"/>
  <c r="B14" i="1" l="1"/>
  <c r="B20" i="1"/>
  <c r="B22" i="1" l="1"/>
  <c r="D21" i="6" l="1"/>
  <c r="E21" i="6"/>
  <c r="E10" i="6"/>
  <c r="D10" i="6"/>
  <c r="B28" i="5" l="1"/>
  <c r="D20" i="1"/>
  <c r="C20" i="1"/>
  <c r="E20" i="1"/>
  <c r="C14" i="1"/>
  <c r="D14" i="1"/>
  <c r="E14" i="1"/>
  <c r="E28" i="5" l="1"/>
  <c r="D28" i="5"/>
  <c r="D28" i="6"/>
  <c r="E28" i="6"/>
  <c r="E29" i="5" l="1"/>
  <c r="C22" i="1"/>
  <c r="D22" i="1"/>
  <c r="E22" i="1"/>
  <c r="B6" i="10" l="1"/>
  <c r="C6" i="10"/>
  <c r="D6" i="10"/>
  <c r="B7" i="10"/>
  <c r="C7" i="10"/>
  <c r="D7" i="10"/>
  <c r="B8" i="10"/>
  <c r="C8" i="10"/>
  <c r="D8" i="10"/>
  <c r="B3" i="10"/>
  <c r="C3" i="10"/>
  <c r="D3" i="10"/>
  <c r="B4" i="10"/>
  <c r="C4" i="10"/>
  <c r="D4" i="10"/>
  <c r="I6" i="12" l="1"/>
  <c r="F2" i="12"/>
  <c r="I2" i="12"/>
  <c r="F3" i="12"/>
  <c r="I3" i="12"/>
  <c r="F4" i="12"/>
  <c r="I4" i="12"/>
  <c r="F5" i="12"/>
  <c r="I5" i="12"/>
  <c r="F6" i="12"/>
  <c r="F7" i="12"/>
  <c r="I7" i="12"/>
  <c r="F8" i="12"/>
  <c r="I8" i="12"/>
  <c r="F9" i="12"/>
  <c r="I9" i="12"/>
  <c r="E9" i="12"/>
  <c r="E8" i="12"/>
  <c r="E7" i="12"/>
  <c r="E6" i="12"/>
  <c r="E5" i="12"/>
  <c r="E4" i="12"/>
  <c r="E3" i="12"/>
  <c r="E2" i="12"/>
  <c r="B10" i="10"/>
  <c r="C10" i="10"/>
  <c r="D10" i="10"/>
  <c r="B11" i="10"/>
  <c r="C11" i="10"/>
  <c r="D11" i="10"/>
  <c r="B12" i="10"/>
  <c r="C12" i="10"/>
  <c r="D12" i="10"/>
  <c r="B14" i="10"/>
  <c r="C14" i="10"/>
  <c r="D14" i="10"/>
  <c r="I2" i="8" l="1"/>
  <c r="I3" i="8"/>
  <c r="I4" i="8"/>
  <c r="I5" i="8"/>
  <c r="I6" i="8"/>
  <c r="I7" i="8"/>
  <c r="I8" i="8"/>
  <c r="I9" i="8"/>
  <c r="I11" i="8"/>
  <c r="I12" i="8"/>
  <c r="I13" i="8"/>
  <c r="I14" i="8"/>
  <c r="I16" i="8"/>
  <c r="I17" i="8"/>
  <c r="I18" i="8"/>
  <c r="I19" i="8"/>
  <c r="I22" i="8"/>
  <c r="I23" i="8"/>
  <c r="I24" i="8"/>
  <c r="I25" i="8"/>
  <c r="I26" i="8"/>
  <c r="I29" i="8"/>
  <c r="F26" i="8"/>
  <c r="J26" i="8" s="1"/>
  <c r="F25" i="8"/>
  <c r="F24" i="8"/>
  <c r="F23" i="8"/>
  <c r="F22" i="8"/>
  <c r="F19" i="8"/>
  <c r="F18" i="8"/>
  <c r="F17" i="8"/>
  <c r="F16" i="8"/>
  <c r="F14" i="8"/>
  <c r="F13" i="8"/>
  <c r="F12" i="8"/>
  <c r="F11" i="8"/>
  <c r="F9" i="8"/>
  <c r="F8" i="8"/>
  <c r="F7" i="8"/>
  <c r="F6" i="8"/>
  <c r="F5" i="8"/>
  <c r="F4" i="8"/>
  <c r="F3" i="8"/>
  <c r="F2" i="8"/>
  <c r="C29" i="8"/>
  <c r="C28" i="8"/>
  <c r="C26" i="8"/>
  <c r="C25" i="8"/>
  <c r="C24" i="8"/>
  <c r="C23" i="8"/>
  <c r="C22" i="8"/>
  <c r="C19" i="8"/>
  <c r="C18" i="8"/>
  <c r="C17" i="8"/>
  <c r="C16" i="8"/>
  <c r="C14" i="8"/>
  <c r="C13" i="8"/>
  <c r="C12" i="8"/>
  <c r="C11" i="8"/>
  <c r="C9" i="8"/>
  <c r="C8" i="8"/>
  <c r="C7" i="8"/>
  <c r="C6" i="8"/>
  <c r="C5" i="8"/>
  <c r="C4" i="8"/>
  <c r="C3" i="8"/>
  <c r="C2" i="8"/>
  <c r="B12" i="8"/>
  <c r="B13" i="8"/>
  <c r="B14" i="8"/>
  <c r="B29" i="8"/>
  <c r="B28" i="8"/>
  <c r="B23" i="8"/>
  <c r="B24" i="8"/>
  <c r="B25" i="8"/>
  <c r="B26" i="8"/>
  <c r="B22" i="8"/>
  <c r="B17" i="8"/>
  <c r="B18" i="8"/>
  <c r="B19" i="8"/>
  <c r="B16" i="8"/>
  <c r="B11" i="8"/>
  <c r="B3" i="8"/>
  <c r="B4" i="8"/>
  <c r="B5" i="8"/>
  <c r="B6" i="8"/>
  <c r="B7" i="8"/>
  <c r="B8" i="8"/>
  <c r="B9" i="8"/>
  <c r="B2" i="8"/>
  <c r="I2" i="7"/>
  <c r="I3" i="7"/>
  <c r="I4" i="7"/>
  <c r="I6" i="7"/>
  <c r="I7" i="7"/>
  <c r="I8" i="7"/>
  <c r="I9" i="7"/>
  <c r="I10" i="7"/>
  <c r="I12" i="7"/>
  <c r="I13" i="7"/>
  <c r="I14" i="7"/>
  <c r="I17" i="7"/>
  <c r="I18" i="7"/>
  <c r="I19" i="7"/>
  <c r="F19" i="7"/>
  <c r="F18" i="7"/>
  <c r="F17" i="7"/>
  <c r="F14" i="7"/>
  <c r="F13" i="7"/>
  <c r="F12" i="7"/>
  <c r="F10" i="7"/>
  <c r="F9" i="7"/>
  <c r="F8" i="7"/>
  <c r="F7" i="7"/>
  <c r="F6" i="7"/>
  <c r="F4" i="7"/>
  <c r="F3" i="7"/>
  <c r="F2" i="7"/>
  <c r="C19" i="7"/>
  <c r="C18" i="7"/>
  <c r="C17" i="7"/>
  <c r="C14" i="7"/>
  <c r="C13" i="7"/>
  <c r="C12" i="7"/>
  <c r="C10" i="7"/>
  <c r="C9" i="7"/>
  <c r="C8" i="7"/>
  <c r="C7" i="7"/>
  <c r="C6" i="7"/>
  <c r="C4" i="7"/>
  <c r="C3" i="7"/>
  <c r="C2" i="7"/>
  <c r="B18" i="7"/>
  <c r="B19" i="7"/>
  <c r="B17" i="7"/>
  <c r="B13" i="7"/>
  <c r="B14" i="7"/>
  <c r="B12" i="7"/>
  <c r="B7" i="7"/>
  <c r="B8" i="7"/>
  <c r="B9" i="7"/>
  <c r="B10" i="7"/>
  <c r="B6" i="7"/>
  <c r="B3" i="7"/>
  <c r="B4" i="7"/>
  <c r="B2" i="7"/>
  <c r="J7" i="8" l="1"/>
  <c r="J17" i="8"/>
  <c r="J9" i="8"/>
  <c r="J19" i="8"/>
  <c r="J5" i="8"/>
  <c r="J25" i="8"/>
  <c r="J13" i="8"/>
  <c r="J8" i="7"/>
  <c r="J13" i="7"/>
  <c r="J6" i="7"/>
  <c r="J18" i="8"/>
  <c r="J6" i="8"/>
  <c r="J22" i="8"/>
  <c r="I20" i="8"/>
  <c r="J10" i="7"/>
  <c r="J9" i="7"/>
  <c r="J19" i="7"/>
  <c r="I11" i="7"/>
  <c r="F15" i="8"/>
  <c r="J23" i="8"/>
  <c r="B5" i="7"/>
  <c r="J4" i="8"/>
  <c r="J8" i="8"/>
  <c r="J24" i="8"/>
  <c r="I15" i="7"/>
  <c r="J14" i="7"/>
  <c r="B11" i="7"/>
  <c r="J4" i="7"/>
  <c r="B27" i="8"/>
  <c r="B15" i="7"/>
  <c r="F27" i="8"/>
  <c r="I27" i="8"/>
  <c r="I15" i="8"/>
  <c r="C27" i="8"/>
  <c r="I10" i="8"/>
  <c r="F10" i="8"/>
  <c r="F20" i="8"/>
  <c r="C10" i="8"/>
  <c r="C15" i="8"/>
  <c r="C20" i="8"/>
  <c r="J14" i="8"/>
  <c r="J3" i="8"/>
  <c r="J12" i="8"/>
  <c r="B20" i="8"/>
  <c r="B15" i="8"/>
  <c r="B10" i="8"/>
  <c r="J2" i="8"/>
  <c r="J11" i="8"/>
  <c r="J16" i="8"/>
  <c r="J2" i="7"/>
  <c r="I5" i="7"/>
  <c r="J17" i="7"/>
  <c r="C15" i="7"/>
  <c r="C11" i="7"/>
  <c r="J7" i="7"/>
  <c r="J12" i="7"/>
  <c r="J18" i="7"/>
  <c r="F11" i="7"/>
  <c r="F5" i="7"/>
  <c r="F15" i="7"/>
  <c r="J3" i="7"/>
  <c r="C5" i="7"/>
  <c r="F21" i="8" l="1"/>
  <c r="B21" i="8"/>
  <c r="C21" i="8"/>
  <c r="I21" i="8"/>
  <c r="C16" i="7"/>
  <c r="I16" i="7"/>
  <c r="F16" i="7"/>
  <c r="B16" i="7"/>
  <c r="B20" i="7"/>
  <c r="B21" i="7" s="1"/>
  <c r="I20" i="7"/>
  <c r="I21" i="7" s="1"/>
  <c r="J11" i="7"/>
  <c r="J20" i="8"/>
  <c r="J15" i="7"/>
  <c r="C30" i="8"/>
  <c r="C31" i="8" s="1"/>
  <c r="J27" i="8"/>
  <c r="B30" i="8"/>
  <c r="B31" i="8" s="1"/>
  <c r="J15" i="8"/>
  <c r="J10" i="8"/>
  <c r="C20" i="7"/>
  <c r="C21" i="7" s="1"/>
  <c r="F20" i="7"/>
  <c r="J5" i="7"/>
  <c r="F21" i="7" l="1"/>
  <c r="J21" i="8"/>
  <c r="G16" i="7"/>
  <c r="J16" i="7"/>
  <c r="G21" i="7"/>
  <c r="G3" i="7"/>
  <c r="G7" i="7"/>
  <c r="G2" i="7"/>
  <c r="G8" i="7"/>
  <c r="G17" i="7"/>
  <c r="G18" i="7"/>
  <c r="G13" i="7"/>
  <c r="G10" i="7"/>
  <c r="G6" i="7"/>
  <c r="G14" i="7"/>
  <c r="G12" i="7"/>
  <c r="G9" i="7"/>
  <c r="G4" i="7"/>
  <c r="G15" i="7"/>
  <c r="G5" i="7"/>
  <c r="J20" i="7"/>
  <c r="J21" i="7"/>
  <c r="I28" i="8"/>
  <c r="I30" i="8" s="1"/>
  <c r="I31" i="8" s="1"/>
  <c r="G11" i="7" l="1"/>
  <c r="C5" i="10"/>
  <c r="D5" i="10"/>
  <c r="B5" i="10"/>
  <c r="C2" i="10"/>
  <c r="D2" i="10"/>
  <c r="B2" i="10"/>
  <c r="C9" i="10" l="1"/>
  <c r="C13" i="10" s="1"/>
  <c r="C15" i="10" s="1"/>
  <c r="B9" i="10"/>
  <c r="B13" i="10" s="1"/>
  <c r="B15" i="10" s="1"/>
  <c r="D9" i="10"/>
  <c r="D13" i="10" l="1"/>
  <c r="D15" i="10" l="1"/>
  <c r="P49" i="2" l="1"/>
  <c r="P48" i="2"/>
  <c r="P47" i="2"/>
  <c r="P46" i="2"/>
  <c r="P45" i="2"/>
  <c r="P44" i="2"/>
  <c r="P43" i="2"/>
  <c r="P42" i="2"/>
  <c r="P41" i="2"/>
  <c r="P40" i="2"/>
  <c r="P39" i="2"/>
  <c r="P38" i="2"/>
  <c r="P37" i="2"/>
  <c r="P36" i="2"/>
  <c r="P35" i="2"/>
  <c r="P34" i="2"/>
  <c r="P33" i="2"/>
  <c r="P32" i="2"/>
  <c r="P31" i="2"/>
  <c r="P30" i="2"/>
  <c r="P29" i="2"/>
  <c r="P26" i="2"/>
  <c r="P25" i="2"/>
  <c r="P24" i="2"/>
  <c r="P23" i="2"/>
  <c r="P19" i="2"/>
  <c r="P18" i="2"/>
  <c r="P17" i="2"/>
  <c r="P13" i="2"/>
  <c r="P12" i="2"/>
  <c r="P11" i="2"/>
  <c r="P10" i="2"/>
  <c r="P9" i="2"/>
  <c r="P8" i="2"/>
  <c r="P7" i="2"/>
  <c r="P6" i="2"/>
  <c r="P5" i="2"/>
  <c r="P4" i="2"/>
  <c r="P3" i="2"/>
  <c r="G49" i="2"/>
  <c r="G48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6" i="2"/>
  <c r="G25" i="2"/>
  <c r="G24" i="2"/>
  <c r="G23" i="2"/>
  <c r="G19" i="2"/>
  <c r="G18" i="2"/>
  <c r="G17" i="2"/>
  <c r="G13" i="2"/>
  <c r="G11" i="2"/>
  <c r="G10" i="2"/>
  <c r="G9" i="2"/>
  <c r="G8" i="2"/>
  <c r="G7" i="2"/>
  <c r="G6" i="2"/>
  <c r="G5" i="2"/>
  <c r="G4" i="2"/>
  <c r="G3" i="2"/>
  <c r="D24" i="2"/>
  <c r="D25" i="2"/>
  <c r="D26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23" i="2"/>
  <c r="D4" i="2"/>
  <c r="D5" i="2"/>
  <c r="D6" i="2"/>
  <c r="D7" i="2"/>
  <c r="D8" i="2"/>
  <c r="D9" i="2"/>
  <c r="D10" i="2"/>
  <c r="D11" i="2"/>
  <c r="D13" i="2"/>
  <c r="D17" i="2"/>
  <c r="D18" i="2"/>
  <c r="D19" i="2"/>
  <c r="D3" i="2"/>
  <c r="F28" i="8" l="1"/>
  <c r="P55" i="2" l="1"/>
  <c r="F29" i="8"/>
  <c r="J28" i="8"/>
  <c r="P51" i="2"/>
  <c r="P54" i="2"/>
  <c r="P53" i="2"/>
  <c r="P52" i="2"/>
  <c r="P50" i="2"/>
  <c r="P16" i="2"/>
  <c r="P14" i="2"/>
  <c r="P15" i="2"/>
  <c r="O56" i="2"/>
  <c r="R56" i="2" s="1"/>
  <c r="N56" i="2"/>
  <c r="Q56" i="2" s="1"/>
  <c r="F30" i="8" l="1"/>
  <c r="O57" i="2"/>
  <c r="R57" i="2" s="1"/>
  <c r="J30" i="8"/>
  <c r="J29" i="8"/>
  <c r="P21" i="2"/>
  <c r="P20" i="2"/>
  <c r="N57" i="2"/>
  <c r="P56" i="2"/>
  <c r="G12" i="2"/>
  <c r="D55" i="2"/>
  <c r="D54" i="2"/>
  <c r="N61" i="2" l="1"/>
  <c r="F6" i="9" s="1"/>
  <c r="Q57" i="2"/>
  <c r="F31" i="8"/>
  <c r="G13" i="8" s="1"/>
  <c r="G21" i="8"/>
  <c r="O61" i="2"/>
  <c r="H6" i="9" s="1"/>
  <c r="P57" i="2"/>
  <c r="G17" i="8"/>
  <c r="G11" i="8"/>
  <c r="G5" i="8"/>
  <c r="G25" i="8"/>
  <c r="G4" i="8"/>
  <c r="G19" i="8"/>
  <c r="G28" i="8"/>
  <c r="G14" i="2"/>
  <c r="G15" i="2"/>
  <c r="G50" i="2"/>
  <c r="G51" i="2"/>
  <c r="G52" i="2"/>
  <c r="G53" i="2"/>
  <c r="G54" i="2"/>
  <c r="G55" i="2"/>
  <c r="D14" i="2"/>
  <c r="D16" i="2"/>
  <c r="D12" i="2"/>
  <c r="D51" i="2"/>
  <c r="D53" i="2"/>
  <c r="D15" i="2"/>
  <c r="D50" i="2"/>
  <c r="D52" i="2"/>
  <c r="C56" i="2"/>
  <c r="C57" i="2" s="1"/>
  <c r="C61" i="2" s="1"/>
  <c r="B56" i="2"/>
  <c r="G8" i="8" l="1"/>
  <c r="G26" i="8"/>
  <c r="J31" i="8"/>
  <c r="G10" i="8"/>
  <c r="G12" i="8"/>
  <c r="G16" i="8"/>
  <c r="G15" i="8"/>
  <c r="G2" i="8"/>
  <c r="G31" i="8"/>
  <c r="G6" i="8"/>
  <c r="G14" i="8"/>
  <c r="G20" i="8"/>
  <c r="G3" i="8"/>
  <c r="G18" i="8"/>
  <c r="G7" i="8"/>
  <c r="G23" i="8"/>
  <c r="G24" i="8"/>
  <c r="G27" i="8"/>
  <c r="G22" i="8"/>
  <c r="G9" i="8"/>
  <c r="G20" i="2"/>
  <c r="G56" i="2"/>
  <c r="G16" i="2"/>
  <c r="D21" i="2"/>
  <c r="D20" i="2"/>
  <c r="B57" i="2"/>
  <c r="D56" i="2"/>
  <c r="D57" i="2" l="1"/>
  <c r="B61" i="2"/>
  <c r="B6" i="9" s="1"/>
  <c r="G21" i="2"/>
  <c r="G57" i="2"/>
</calcChain>
</file>

<file path=xl/sharedStrings.xml><?xml version="1.0" encoding="utf-8"?>
<sst xmlns="http://schemas.openxmlformats.org/spreadsheetml/2006/main" count="475" uniqueCount="372">
  <si>
    <t>Risultato di amministrazione (A)</t>
  </si>
  <si>
    <t>Parte accantonata (B)</t>
  </si>
  <si>
    <t>Parte vincolata (C)</t>
  </si>
  <si>
    <t>Parte destinata a investimenti (D)</t>
  </si>
  <si>
    <t>Parte disponibile (E=A-B-C-D)</t>
  </si>
  <si>
    <t>Saldo di cassa</t>
  </si>
  <si>
    <t>Residui attivi</t>
  </si>
  <si>
    <t>Residui passivi</t>
  </si>
  <si>
    <t>FPV per spese correnti</t>
  </si>
  <si>
    <t>Fondo crediti di dubbia esigibilità</t>
  </si>
  <si>
    <t>Fondo anticipazioni liquidità DL35/2013</t>
  </si>
  <si>
    <t>Fondo perdite società partecipate</t>
  </si>
  <si>
    <t>Fondo contenzioso</t>
  </si>
  <si>
    <t>Altri accantonamenti</t>
  </si>
  <si>
    <t>Vincoli da trasferimenti</t>
  </si>
  <si>
    <t>Vincoli da leggi e principi contabili</t>
  </si>
  <si>
    <t>Vincoli da contrazione di mutui</t>
  </si>
  <si>
    <t>Vincoli attribuiti dall'ente</t>
  </si>
  <si>
    <t>Altri vincoli</t>
  </si>
  <si>
    <t xml:space="preserve">  100 Entrate correnti di natura tributaria, contributiva e perequativa </t>
  </si>
  <si>
    <t xml:space="preserve">  200 Trasferimenti correnti </t>
  </si>
  <si>
    <t xml:space="preserve">  300 Entrate extratributarie </t>
  </si>
  <si>
    <t xml:space="preserve">  401 Tributi in conto capitale</t>
  </si>
  <si>
    <t xml:space="preserve">  402 Contributi agli investimenti </t>
  </si>
  <si>
    <t xml:space="preserve">  403 Altri trasferimenti in conto capitale </t>
  </si>
  <si>
    <t xml:space="preserve">  404 Entrate da alienazione di beni materiali e immateriali </t>
  </si>
  <si>
    <t xml:space="preserve">  405 Altre entrate in conto capitale </t>
  </si>
  <si>
    <t xml:space="preserve">  501 Alienazione di attività finanziarie </t>
  </si>
  <si>
    <t xml:space="preserve">  502_3 Riscossione di crediti </t>
  </si>
  <si>
    <t xml:space="preserve">  504 Altre entrate per riduzione di attività finanziarie </t>
  </si>
  <si>
    <t xml:space="preserve"> - Entrate correnti </t>
  </si>
  <si>
    <t xml:space="preserve"> - Entrate in conto capitale</t>
  </si>
  <si>
    <t xml:space="preserve"> - Entrate da riduzione attività finanziarie </t>
  </si>
  <si>
    <t xml:space="preserve"> - Accensione di prestiti </t>
  </si>
  <si>
    <t xml:space="preserve"> - Anticipazioni da istituto tesoriere/cassiere </t>
  </si>
  <si>
    <t xml:space="preserve"> - Entrate per conto terzi e partite di giro</t>
  </si>
  <si>
    <t>Totale Entrate</t>
  </si>
  <si>
    <t>Entrate nette</t>
  </si>
  <si>
    <t xml:space="preserve">101 REDDITI DA LAVORO DIPENDENTE </t>
  </si>
  <si>
    <t xml:space="preserve">102 IMPOSTE E TASSE A CARICO DELL'ENTE </t>
  </si>
  <si>
    <t xml:space="preserve">103 ACQUISTO DI BENI E SERVIZI </t>
  </si>
  <si>
    <t xml:space="preserve">104 TRASFERIMENTI CORRENTI </t>
  </si>
  <si>
    <t xml:space="preserve">107 INTERESSI PASSIVI </t>
  </si>
  <si>
    <t xml:space="preserve">108 ALTRE SPESE PER REDDITI DA CAPITALE </t>
  </si>
  <si>
    <t xml:space="preserve">109 RIMBORSI E POSTE CORRETTIVE DELLE ENTRATE </t>
  </si>
  <si>
    <t xml:space="preserve">110 ALTRE SPESE CORRENTI </t>
  </si>
  <si>
    <t>201 TRIBUTI IN CONTO CAPITALE A CARICO DELL?ENTE</t>
  </si>
  <si>
    <t xml:space="preserve">202 INVESTIMENTI FISSI LORDI E ACQUISTO DI TERRENI </t>
  </si>
  <si>
    <t xml:space="preserve">203 CONTRIBUTI AGLI INVESTIMENTI </t>
  </si>
  <si>
    <t xml:space="preserve">204ALTRI TRASFERIMENTI IN CONTO CAPITALE </t>
  </si>
  <si>
    <t xml:space="preserve">205ALTRE SPESE IN CONTO CAPITALE </t>
  </si>
  <si>
    <t xml:space="preserve">301 ACQUISIZIONI DI ATTIVITA' FINANZIARIE </t>
  </si>
  <si>
    <t xml:space="preserve">303 CONCESSIONE CREDITI DI MEDIO-LUNGO TERMINE </t>
  </si>
  <si>
    <t xml:space="preserve">304 ALTRE SPESE PER INCREMENTO DI ATTIVITA' FINANZIARIE </t>
  </si>
  <si>
    <t xml:space="preserve">401 RIMBORSO DI TITOLI OBBLIGAZIONARI </t>
  </si>
  <si>
    <t xml:space="preserve">402 RIMBORSO PRESTITI A BREVE TERMINE </t>
  </si>
  <si>
    <t xml:space="preserve">403 RIMBORSO MUTUI E ALTRI FINANZIAMENTI A MEDIO LUNGO TERMINE </t>
  </si>
  <si>
    <t xml:space="preserve">404 RIMBORSO DI ALTRE FORME DI INDEBITAMENTO </t>
  </si>
  <si>
    <t xml:space="preserve">405 FONDI PER RIMBORSO PRESTITI </t>
  </si>
  <si>
    <t xml:space="preserve">501 CHIUSURA ANTICIPAZIONI RICEVUTE DA ISTITUTO TESORIERE/CASSIERE </t>
  </si>
  <si>
    <t xml:space="preserve">701 USCITE PER PARTITE DI GIRO </t>
  </si>
  <si>
    <t xml:space="preserve">702 USCITE PER CONTO TERZI </t>
  </si>
  <si>
    <t>1 Spese correnti</t>
  </si>
  <si>
    <t>2 Spese in conto capitale</t>
  </si>
  <si>
    <t>3 Spese per incremento attività finanziaria</t>
  </si>
  <si>
    <t>4 Rimborso prestiti</t>
  </si>
  <si>
    <t>5 Chiusura anticipazioni ricevute tesoriere/cassiere</t>
  </si>
  <si>
    <t>7 Conto terzi e partite di giro</t>
  </si>
  <si>
    <t>Totale Uscite</t>
  </si>
  <si>
    <t>Uscite nette</t>
  </si>
  <si>
    <t>Saldo corrente</t>
  </si>
  <si>
    <t>Saldo in conto capitale</t>
  </si>
  <si>
    <t>Acc</t>
  </si>
  <si>
    <t>Risc</t>
  </si>
  <si>
    <t>Imp</t>
  </si>
  <si>
    <t>Pag</t>
  </si>
  <si>
    <t>Rigidità strutturale di bilancio</t>
  </si>
  <si>
    <t>1.1</t>
  </si>
  <si>
    <t>Incidenza spese rigide (ripiano disavanzo,personale e debito) su entrate correnti</t>
  </si>
  <si>
    <t>Entrate correnti</t>
  </si>
  <si>
    <t>2.1</t>
  </si>
  <si>
    <t>Incidenza degli accertamenti di parte corrente sulle previsioni iniziali di parte corrente</t>
  </si>
  <si>
    <t>2.2</t>
  </si>
  <si>
    <t>Incidenza degli accertamenti di parte corrente sulle previsioni definitive di parte corrente</t>
  </si>
  <si>
    <t>2.3</t>
  </si>
  <si>
    <t>Incidenza degli accertamenti delle entrate proprie sulle previsioni iniziali di parte corrente</t>
  </si>
  <si>
    <t>2.4</t>
  </si>
  <si>
    <t>Incidenza degli accertamenti delle entrate proprie sulle previsioni definitive di parte corrente</t>
  </si>
  <si>
    <t>2.5</t>
  </si>
  <si>
    <t>Incidenza degli incassi correnti sulle previsioni iniziali di parte corrente</t>
  </si>
  <si>
    <t>2.6</t>
  </si>
  <si>
    <t>Incidenza degli incassi correnti sulle previsioni definitive di parte corrente</t>
  </si>
  <si>
    <t>2.7</t>
  </si>
  <si>
    <t>Incidenza degli incassi delle entrate proprie sulle previsioni iniziali di parte corrente</t>
  </si>
  <si>
    <t>2.8</t>
  </si>
  <si>
    <t>Incidenza degli incassi delle entrate proprie sulle previsioni definitive di parte corrente</t>
  </si>
  <si>
    <t>Anticipazioni dell'Istituto tesoriere</t>
  </si>
  <si>
    <t>3.1</t>
  </si>
  <si>
    <t>Utilizzo medio Anticipazioni di tesoreria</t>
  </si>
  <si>
    <t>3.2</t>
  </si>
  <si>
    <t>Anticipazione chiuse solo contabilmente</t>
  </si>
  <si>
    <t>Spese di personale</t>
  </si>
  <si>
    <t>4.1</t>
  </si>
  <si>
    <t>Incidenza della spesa di personale sulla spesa corrente</t>
  </si>
  <si>
    <t>4.2</t>
  </si>
  <si>
    <t>Incidenza del salario accessorio ed incentivante rispetto al totale della spesa di personale</t>
  </si>
  <si>
    <t>4.3</t>
  </si>
  <si>
    <t>Incidenza spesa personale flessibile rispetto al totale della spesa di personale</t>
  </si>
  <si>
    <t>4.4</t>
  </si>
  <si>
    <t>Spesa di personale procapite</t>
  </si>
  <si>
    <t>Esternalizzazione dei servizi</t>
  </si>
  <si>
    <t>5.1</t>
  </si>
  <si>
    <t>Indicatore di esternalizzazione dei servizi</t>
  </si>
  <si>
    <t>Interessi passivi</t>
  </si>
  <si>
    <t>6.1</t>
  </si>
  <si>
    <t>Incidenza degli interessi passivi sulla spesa corrente</t>
  </si>
  <si>
    <t>6.2</t>
  </si>
  <si>
    <t>Incidenza degli interessi passivi sulle anticipazioni sul totale della spesa per interessi passivi</t>
  </si>
  <si>
    <t>6.3</t>
  </si>
  <si>
    <t>Incidenza interessi di mora sul totale della spesa per interessi passivi</t>
  </si>
  <si>
    <t>Investimenti</t>
  </si>
  <si>
    <t>7.1</t>
  </si>
  <si>
    <t>Incidenza investimenti sul totale della spesa corrente e in conto capitale</t>
  </si>
  <si>
    <t>7.2</t>
  </si>
  <si>
    <t>Investimenti diretti procapite</t>
  </si>
  <si>
    <t>7.3</t>
  </si>
  <si>
    <t>Contributi agli investimenti procapite</t>
  </si>
  <si>
    <t>7.4</t>
  </si>
  <si>
    <t>Investimenti complessivi procapite</t>
  </si>
  <si>
    <t>7.5</t>
  </si>
  <si>
    <t>Quota investimenti complessivi finanziati dal risparmio corrente</t>
  </si>
  <si>
    <t>7.6</t>
  </si>
  <si>
    <t>Quota investimenti complessivi finanziati dal saldo positivo delle partite finanziarie</t>
  </si>
  <si>
    <t>7.7</t>
  </si>
  <si>
    <t>Quota investimenti complessivi finanziati da debito</t>
  </si>
  <si>
    <t>Analisi dei residui</t>
  </si>
  <si>
    <t>8.1</t>
  </si>
  <si>
    <t>Incidenza nuovi residui passivi di parte corrente su stock residui passivi correnti</t>
  </si>
  <si>
    <t>8.2</t>
  </si>
  <si>
    <t>Incidenza nuovi residui passivi in c/capitale su stock residui passivi in conto capitale al 31/12</t>
  </si>
  <si>
    <t>8.3</t>
  </si>
  <si>
    <t>Incidenza nuovi residui passivi per incremento attività finanziarie su stock residui passivi per incremento attività finanziarie al 31/12</t>
  </si>
  <si>
    <t>8.4</t>
  </si>
  <si>
    <t>Incidenza nuovi residui attivi di parte corrente su stock residui attivi di parte corrente</t>
  </si>
  <si>
    <t>8.5</t>
  </si>
  <si>
    <t>Incidenza nuovi residui attivi in c/capitale su stock residui attivi in c/capitale</t>
  </si>
  <si>
    <t>8.6</t>
  </si>
  <si>
    <t>Incidenza nuovi residui attivi per riduzione di attività finanziarie su stock residui attivi per riduzione di attività finanziarie</t>
  </si>
  <si>
    <t>Smaltimento debiti non finanziari</t>
  </si>
  <si>
    <t>9.1</t>
  </si>
  <si>
    <t>Smaltimento debiti commerciali nati nell'esercizio</t>
  </si>
  <si>
    <t>9.2</t>
  </si>
  <si>
    <t>Smaltimento debiti commerciali nati negli esercizi precedenti</t>
  </si>
  <si>
    <t>9.3</t>
  </si>
  <si>
    <t>Smaltimento debiti verso altre amministrazioni pubbliche nati nell'esercizio</t>
  </si>
  <si>
    <t>9.4</t>
  </si>
  <si>
    <t>Smaltimento debiti verso altre amministrazioni pubbliche nati negli esercizi precedenti</t>
  </si>
  <si>
    <t>9.5</t>
  </si>
  <si>
    <t>Indicatore annuale di tempestività dei pagamenti</t>
  </si>
  <si>
    <t>Debiti finanziari</t>
  </si>
  <si>
    <t>10.1</t>
  </si>
  <si>
    <t>Incidenza estinzioni anticipate debiti finanziari</t>
  </si>
  <si>
    <t>10.2</t>
  </si>
  <si>
    <t>Incidenza estinzioni ordinarie debiti finanziari</t>
  </si>
  <si>
    <t>10.3</t>
  </si>
  <si>
    <t>Sostenibilità debiti finanziari</t>
  </si>
  <si>
    <t>10.4</t>
  </si>
  <si>
    <t>Indebitamento procapite</t>
  </si>
  <si>
    <t>Composizione dell'avanzo di amministrazione</t>
  </si>
  <si>
    <t>11.1</t>
  </si>
  <si>
    <t>Incidenza quota libera di parte corrente nell'avanzo</t>
  </si>
  <si>
    <t>11.2</t>
  </si>
  <si>
    <t>Incidenza quota libera in c/capitale nell'avanzo</t>
  </si>
  <si>
    <t>11.3</t>
  </si>
  <si>
    <t>Incidenza quota accantonata nell'avanzo</t>
  </si>
  <si>
    <t>11.4</t>
  </si>
  <si>
    <t>Incidenza quota vincolata nell'avanzo</t>
  </si>
  <si>
    <t>Disavanzo di amministrazione</t>
  </si>
  <si>
    <t>12.1</t>
  </si>
  <si>
    <t>Quota disavanzo ripianato nell'esercizio</t>
  </si>
  <si>
    <t>12.2</t>
  </si>
  <si>
    <t>Incremento del disavanzo rispetto all'esercizio precedente</t>
  </si>
  <si>
    <t>12.3</t>
  </si>
  <si>
    <t>Sostenibilità patrimoniale del disavanzo</t>
  </si>
  <si>
    <t>12.4</t>
  </si>
  <si>
    <t>Sostenibilità disavanzo effettivamente a carico dell'esercizio</t>
  </si>
  <si>
    <t>Debiti fuori bilancio</t>
  </si>
  <si>
    <t>13.1</t>
  </si>
  <si>
    <t>Debiti riconosciuti e finanziati</t>
  </si>
  <si>
    <t>13.2</t>
  </si>
  <si>
    <t>Debiti in corso di riconoscimento</t>
  </si>
  <si>
    <t>13.3</t>
  </si>
  <si>
    <t>Debiti riconosciuti e in corso di finanziamento</t>
  </si>
  <si>
    <t>Fondo pluriennale vincolato</t>
  </si>
  <si>
    <t>14.1</t>
  </si>
  <si>
    <t>Utilizzo del FPV</t>
  </si>
  <si>
    <t>Partite di giro e conto terzi</t>
  </si>
  <si>
    <t>15.1</t>
  </si>
  <si>
    <t>Incidenza partite di giro e conto terzi in entrata</t>
  </si>
  <si>
    <t>15.2</t>
  </si>
  <si>
    <t>Incidenza partite di giro e conto terzi in uscita</t>
  </si>
  <si>
    <t>Complessiva</t>
  </si>
  <si>
    <t>Crediti esigibili nell'esercizio</t>
  </si>
  <si>
    <t>Crediti esigibili negli esercizi precedenti</t>
  </si>
  <si>
    <t>Istruzione e diritto allo studio</t>
  </si>
  <si>
    <t>Trasporti e diritto alla mobilità</t>
  </si>
  <si>
    <t>Diritti sociali, politiche sociali e famiglia</t>
  </si>
  <si>
    <t>Capacità di pagamento</t>
  </si>
  <si>
    <t>Debiti da finanziamento (D1)</t>
  </si>
  <si>
    <t>Piano degli indicatori</t>
  </si>
  <si>
    <t>Soglia</t>
  </si>
  <si>
    <t>Crediti verso lo Stato e altre AP per Fondo dotazione (A)</t>
  </si>
  <si>
    <t>Immobilizzazioni immateriali (B1)</t>
  </si>
  <si>
    <t>Immobilizzazioni materiali (B2)</t>
  </si>
  <si>
    <t>Crediti (C2)</t>
  </si>
  <si>
    <t>Disponibilità liquide (C4)</t>
  </si>
  <si>
    <t>Ratei e risconti attivi (D)</t>
  </si>
  <si>
    <t>TOTALE ATTIVO</t>
  </si>
  <si>
    <t>Fondo di dotazione (A1)</t>
  </si>
  <si>
    <t>Riserve (A2)</t>
  </si>
  <si>
    <t>Risultato economico dell'esercizio (A3)</t>
  </si>
  <si>
    <t>Fondo rischi ed oneri (B)</t>
  </si>
  <si>
    <t>Debiti verso fornitori (D2)</t>
  </si>
  <si>
    <t>Debiti per trasferimenti e contributi (D4)</t>
  </si>
  <si>
    <t>Altri debiti (D5)</t>
  </si>
  <si>
    <t>Ratei e risconti passivi (E)</t>
  </si>
  <si>
    <t>TOTALE PASSIVO</t>
  </si>
  <si>
    <t>Immobilizzazioni finanziarie - partecipazioni (B3.1)</t>
  </si>
  <si>
    <t>Immobilizzazioni finanziarie - crediti (B3.2)</t>
  </si>
  <si>
    <t>Immobilizzazioni finanziarie - altri titoli (B3.3)</t>
  </si>
  <si>
    <t>Rimanenze (C1)</t>
  </si>
  <si>
    <t>Attività finanziarie che non costituiscono utilizzi (C3)</t>
  </si>
  <si>
    <t>Var. %</t>
  </si>
  <si>
    <t>%Risc</t>
  </si>
  <si>
    <t>Proventi da tributi</t>
  </si>
  <si>
    <t>Proventi da fondi perequativi</t>
  </si>
  <si>
    <t>Proventi da trasferimenti e contributi</t>
  </si>
  <si>
    <t>Ricavi delle vendite e prestazioni e proventi da servizi pubblici</t>
  </si>
  <si>
    <t>Variazioni nelle rimanenze di prodotti in corso di lavorazione, etc. (+/-)</t>
  </si>
  <si>
    <t>Variazione dei lavori in corso su ordinazione</t>
  </si>
  <si>
    <t>Incrementi di immobilizzazioni per lavori interni</t>
  </si>
  <si>
    <t>Altri ricavi e proventi diversi</t>
  </si>
  <si>
    <t>Acquisto di materie prime e/o beni di consumo</t>
  </si>
  <si>
    <t>Prestazioni di servizi</t>
  </si>
  <si>
    <t>Utilizzo beni di terzi</t>
  </si>
  <si>
    <t>Trasferimenti e contributi</t>
  </si>
  <si>
    <t>Personale</t>
  </si>
  <si>
    <t>Ammortamenti e svalutazioni</t>
  </si>
  <si>
    <t>Variazioni nelle rimanenze di materie prime e/o beni di consumo (+/-)</t>
  </si>
  <si>
    <t>Accantonamenti per rischi</t>
  </si>
  <si>
    <t>Oneri diversi di gestione</t>
  </si>
  <si>
    <t>Proventi finanziari</t>
  </si>
  <si>
    <t>Oneri finanziari</t>
  </si>
  <si>
    <t>Rettifiche di valore</t>
  </si>
  <si>
    <t>Proventi straordinari</t>
  </si>
  <si>
    <t>Oneri straordinari</t>
  </si>
  <si>
    <t>Imposte</t>
  </si>
  <si>
    <t>Risultato dell'esercizio</t>
  </si>
  <si>
    <t>(+)</t>
  </si>
  <si>
    <t>(-)</t>
  </si>
  <si>
    <t>(=)</t>
  </si>
  <si>
    <t xml:space="preserve">302 CONCESSIONE CREDITI DI BREVE TERMINE </t>
  </si>
  <si>
    <t>COMPONENTI POSITIVI DELLA GESTIONE</t>
  </si>
  <si>
    <t>COMPONENTI NEGATIVI DELLA GESTIONE</t>
  </si>
  <si>
    <t>Diff.</t>
  </si>
  <si>
    <t>PATRIMONIO NETTO</t>
  </si>
  <si>
    <t>Incidenza spesa (al netto servizi per conto terzi)</t>
  </si>
  <si>
    <t>% Risc.</t>
  </si>
  <si>
    <t>101 Redditi da lavoro dipendente</t>
  </si>
  <si>
    <t>102 Imposte e tasse a carico dell'ente</t>
  </si>
  <si>
    <t>103 Acquisto di beni e servizi</t>
  </si>
  <si>
    <t>104 Trasferimenti correnti</t>
  </si>
  <si>
    <t>107 Interessi passivi</t>
  </si>
  <si>
    <t>108 Altre spese per redditi da capitale</t>
  </si>
  <si>
    <t>109 Rimborsi e poste correttive delle entrate</t>
  </si>
  <si>
    <t>110 Altre spese correnti</t>
  </si>
  <si>
    <t>202 Investimenti fissi lordi e acquisto di terreni</t>
  </si>
  <si>
    <t>203 Contributi agli investimenti</t>
  </si>
  <si>
    <t>204 Altri trasferimenti in conto capitale</t>
  </si>
  <si>
    <t>205 Altre spese in conto capitale</t>
  </si>
  <si>
    <t xml:space="preserve"> - Spese correnti </t>
  </si>
  <si>
    <t xml:space="preserve"> - Spese in conto capitale</t>
  </si>
  <si>
    <t>301 Acquisizioni di attività finanziarie</t>
  </si>
  <si>
    <t>302 Concessione crediti di breve termine</t>
  </si>
  <si>
    <t>303 Concessione crediti di medio-lungo termine</t>
  </si>
  <si>
    <t>304 Altre spese per incremento di attività finanziarie</t>
  </si>
  <si>
    <t xml:space="preserve"> - Spese per incremento attività finanziarie </t>
  </si>
  <si>
    <t>401 Rimborso di titoli obbligazionari</t>
  </si>
  <si>
    <t>402 Rimborso prestiti a breve termine</t>
  </si>
  <si>
    <t>403 Rimborso mutui e finanziamenti a medio-lungo termine</t>
  </si>
  <si>
    <t>404 Rimborso di altre forme di indebitamento</t>
  </si>
  <si>
    <t>405 Fondi per rimborso prestiti</t>
  </si>
  <si>
    <t xml:space="preserve"> - Rimborso prestiti </t>
  </si>
  <si>
    <t xml:space="preserve"> - Chiusura anticipazioni ricevute da tesoriere/cassiere </t>
  </si>
  <si>
    <t xml:space="preserve"> - Uscite per conto terzi e partite di giro</t>
  </si>
  <si>
    <t>Comp.% netta</t>
  </si>
  <si>
    <t xml:space="preserve">Saldo corrente </t>
  </si>
  <si>
    <t xml:space="preserve">Saldo finale </t>
  </si>
  <si>
    <t>Saldo netto</t>
  </si>
  <si>
    <t>Saldo riduzione/incremento attività finanziarie</t>
  </si>
  <si>
    <t>Capacità di riscossione</t>
  </si>
  <si>
    <t>Spesa per il personale (pro capite)</t>
  </si>
  <si>
    <t>Investimenti (pro capite)</t>
  </si>
  <si>
    <t>Entrate natura tributaria, contributiva e perequativa (Titolo 1)</t>
  </si>
  <si>
    <t>Saldo della gestione</t>
  </si>
  <si>
    <t>(Proventi - Oneri) finanziari</t>
  </si>
  <si>
    <t>(Proventi- Oneri) straordinari</t>
  </si>
  <si>
    <t>Saldo prima delle imposte</t>
  </si>
  <si>
    <t>Parametro</t>
  </si>
  <si>
    <t>Indicatore</t>
  </si>
  <si>
    <t>P.1</t>
  </si>
  <si>
    <t>P.2</t>
  </si>
  <si>
    <t>P.3</t>
  </si>
  <si>
    <t>P.4</t>
  </si>
  <si>
    <t>P.5</t>
  </si>
  <si>
    <t>P.6</t>
  </si>
  <si>
    <t>P.7</t>
  </si>
  <si>
    <t>P.8</t>
  </si>
  <si>
    <t>Incidenza spese rigide (ripiano disavanzo, personale e debito) su entrate correnti</t>
  </si>
  <si>
    <t>Descrizione</t>
  </si>
  <si>
    <t>13.2/3</t>
  </si>
  <si>
    <t>Anticipazione di tesoreria chiuse solo contabilmente</t>
  </si>
  <si>
    <t>Sostenibilità dei debiti finanziari</t>
  </si>
  <si>
    <t>Debiti in corso di riconoscimento o di finanziamento</t>
  </si>
  <si>
    <t>Effettiva capacità di riscossione (totale Entrate)</t>
  </si>
  <si>
    <t>&gt; 48</t>
  </si>
  <si>
    <t>&lt;22</t>
  </si>
  <si>
    <t>&gt;0</t>
  </si>
  <si>
    <t>&gt;16</t>
  </si>
  <si>
    <t>&gt;1,2</t>
  </si>
  <si>
    <t>&gt;1</t>
  </si>
  <si>
    <t>&gt;0,6</t>
  </si>
  <si>
    <t>&lt;47</t>
  </si>
  <si>
    <t>Totale Entrate nette</t>
  </si>
  <si>
    <t>% Pag.</t>
  </si>
  <si>
    <t>Risc. - Pag.</t>
  </si>
  <si>
    <t xml:space="preserve">  -- di cui proventi da tributi</t>
  </si>
  <si>
    <t xml:space="preserve">  -- di cui proventi da trasferimenti</t>
  </si>
  <si>
    <t xml:space="preserve">  -- di cui prestazioni di servizi</t>
  </si>
  <si>
    <t xml:space="preserve">  -- di cui personale</t>
  </si>
  <si>
    <t xml:space="preserve">  -- di cui ammortamenti e svalutazioni</t>
  </si>
  <si>
    <t>Ricavi e proventi</t>
  </si>
  <si>
    <t>Costi</t>
  </si>
  <si>
    <t>Entrate finali</t>
  </si>
  <si>
    <t>Uscite finali</t>
  </si>
  <si>
    <t>Sviluppo sostenibile, tutela territ. e ambiente</t>
  </si>
  <si>
    <t>Saldo naturale</t>
  </si>
  <si>
    <t>Saldo migratorio</t>
  </si>
  <si>
    <t>Verifica</t>
  </si>
  <si>
    <t>Fondo a copertura residui perenti</t>
  </si>
  <si>
    <t>105 TRASFERIMENTI DI TRIBUTI</t>
  </si>
  <si>
    <t>106 FONDI PEREQUATIVI</t>
  </si>
  <si>
    <t>12.5</t>
  </si>
  <si>
    <t>Quota disavanzo derivante da debito autorizzato e non contratto</t>
  </si>
  <si>
    <t xml:space="preserve">Tutela della salute </t>
  </si>
  <si>
    <t>FPV per spese in conto capitale (*)</t>
  </si>
  <si>
    <t>(*) include FPV per incremento attività finanziarie</t>
  </si>
  <si>
    <t>Media Regioni</t>
  </si>
  <si>
    <t xml:space="preserve">    di cui enti finanziati dal ssn</t>
  </si>
  <si>
    <t xml:space="preserve">    di cui altre amministrazioni pubbliche</t>
  </si>
  <si>
    <t xml:space="preserve">     di cui da tributi destinati al finanziamento della sanità</t>
  </si>
  <si>
    <t>Anno</t>
  </si>
  <si>
    <t>Regione</t>
  </si>
  <si>
    <t>Popolazione al 1° gennaio</t>
  </si>
  <si>
    <t xml:space="preserve">     di cui da trasferimenti e contributi da amm.ni pubbliche</t>
  </si>
  <si>
    <t>Rapporto Fcde/Residui attivi (scala dx)</t>
  </si>
  <si>
    <t>Saldo entrate/uscite finali</t>
  </si>
  <si>
    <t>Saldo entrate/uscite nette</t>
  </si>
  <si>
    <t>Capacità riscossione entrate finali</t>
  </si>
  <si>
    <t>Capacità pagamento uscite finali</t>
  </si>
  <si>
    <t>Riscossioni 2020</t>
  </si>
  <si>
    <t>Pagamenti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</si>
</sst>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€_-;\-* #,##0.00\ _€_-;_-* &quot;-&quot;??\ _€_-;_-@_-"/>
    <numFmt numFmtId="164" formatCode="_-* #,##0_-;\-* #,##0_-;_-* &quot;-&quot;??_-;_-@_-"/>
    <numFmt numFmtId="165" formatCode="0.0"/>
    <numFmt numFmtId="166" formatCode="#,##0_ ;\-#,##0\ "/>
    <numFmt numFmtId="167" formatCode="#,##0.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8"/>
      <color rgb="FF000000"/>
      <name val="Arial"/>
      <family val="2"/>
    </font>
    <font>
      <b/>
      <sz val="11"/>
      <color rgb="FF0070C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ont="0" applyBorder="0" applyProtection="0"/>
  </cellStyleXfs>
  <cellXfs count="117">
    <xf numFmtId="0" fontId="0" fillId="0" borderId="0" xfId="0"/>
    <xf numFmtId="3" fontId="0" fillId="0" borderId="0" xfId="0" applyNumberFormat="1"/>
    <xf numFmtId="0" fontId="1" fillId="0" borderId="0" xfId="0" applyFont="1" applyAlignment="1">
      <alignment horizontal="center"/>
    </xf>
    <xf numFmtId="3" fontId="1" fillId="0" borderId="0" xfId="0" applyNumberFormat="1" applyFont="1"/>
    <xf numFmtId="0" fontId="1" fillId="0" borderId="0" xfId="0" applyFont="1"/>
    <xf numFmtId="0" fontId="5" fillId="0" borderId="0" xfId="2" applyFont="1" applyFill="1" applyBorder="1" applyAlignment="1" applyProtection="1">
      <alignment vertical="center" readingOrder="1"/>
    </xf>
    <xf numFmtId="165" fontId="0" fillId="0" borderId="0" xfId="0" applyNumberFormat="1"/>
    <xf numFmtId="2" fontId="0" fillId="0" borderId="0" xfId="0" applyNumberFormat="1"/>
    <xf numFmtId="0" fontId="0" fillId="3" borderId="0" xfId="0" applyFill="1"/>
    <xf numFmtId="0" fontId="0" fillId="3" borderId="0" xfId="0" applyFill="1" applyAlignment="1">
      <alignment horizontal="center"/>
    </xf>
    <xf numFmtId="0" fontId="1" fillId="0" borderId="1" xfId="0" applyFont="1" applyBorder="1"/>
    <xf numFmtId="3" fontId="1" fillId="0" borderId="1" xfId="0" applyNumberFormat="1" applyFont="1" applyBorder="1"/>
    <xf numFmtId="0" fontId="0" fillId="0" borderId="0" xfId="0" applyAlignment="1">
      <alignment horizontal="center"/>
    </xf>
    <xf numFmtId="165" fontId="0" fillId="0" borderId="0" xfId="0" applyNumberFormat="1" applyAlignment="1">
      <alignment horizontal="center"/>
    </xf>
    <xf numFmtId="0" fontId="5" fillId="0" borderId="1" xfId="2" applyFont="1" applyFill="1" applyBorder="1" applyAlignment="1" applyProtection="1">
      <alignment vertical="center" readingOrder="1"/>
    </xf>
    <xf numFmtId="164" fontId="0" fillId="0" borderId="1" xfId="0" applyNumberFormat="1" applyBorder="1"/>
    <xf numFmtId="165" fontId="0" fillId="0" borderId="1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/>
    </xf>
    <xf numFmtId="164" fontId="0" fillId="0" borderId="0" xfId="0" applyNumberFormat="1" applyBorder="1"/>
    <xf numFmtId="164" fontId="0" fillId="0" borderId="2" xfId="0" applyNumberFormat="1" applyBorder="1" applyAlignment="1">
      <alignment horizontal="center"/>
    </xf>
    <xf numFmtId="164" fontId="0" fillId="0" borderId="3" xfId="0" applyNumberFormat="1" applyBorder="1" applyAlignment="1">
      <alignment horizontal="center"/>
    </xf>
    <xf numFmtId="164" fontId="0" fillId="0" borderId="2" xfId="0" applyNumberFormat="1" applyBorder="1"/>
    <xf numFmtId="0" fontId="0" fillId="0" borderId="4" xfId="0" applyBorder="1" applyAlignment="1">
      <alignment horizontal="center"/>
    </xf>
    <xf numFmtId="164" fontId="0" fillId="0" borderId="4" xfId="0" applyNumberFormat="1" applyBorder="1"/>
    <xf numFmtId="164" fontId="0" fillId="0" borderId="5" xfId="0" applyNumberFormat="1" applyBorder="1"/>
    <xf numFmtId="0" fontId="0" fillId="0" borderId="0" xfId="0" quotePrefix="1" applyAlignment="1">
      <alignment horizontal="center"/>
    </xf>
    <xf numFmtId="164" fontId="0" fillId="0" borderId="0" xfId="1" applyNumberFormat="1" applyFont="1"/>
    <xf numFmtId="164" fontId="0" fillId="0" borderId="0" xfId="0" applyNumberFormat="1"/>
    <xf numFmtId="164" fontId="0" fillId="2" borderId="0" xfId="1" applyNumberFormat="1" applyFont="1" applyFill="1"/>
    <xf numFmtId="2" fontId="0" fillId="0" borderId="0" xfId="0" applyNumberFormat="1" applyFill="1"/>
    <xf numFmtId="0" fontId="0" fillId="0" borderId="0" xfId="0" applyFill="1"/>
    <xf numFmtId="0" fontId="0" fillId="0" borderId="0" xfId="0" applyBorder="1"/>
    <xf numFmtId="0" fontId="0" fillId="0" borderId="0" xfId="0" quotePrefix="1" applyBorder="1" applyAlignment="1">
      <alignment horizontal="center"/>
    </xf>
    <xf numFmtId="3" fontId="0" fillId="0" borderId="0" xfId="0" applyNumberFormat="1" applyBorder="1"/>
    <xf numFmtId="0" fontId="1" fillId="0" borderId="1" xfId="0" applyFont="1" applyFill="1" applyBorder="1"/>
    <xf numFmtId="0" fontId="1" fillId="0" borderId="1" xfId="0" quotePrefix="1" applyFont="1" applyBorder="1" applyAlignment="1">
      <alignment horizontal="center"/>
    </xf>
    <xf numFmtId="3" fontId="2" fillId="0" borderId="1" xfId="0" applyNumberFormat="1" applyFont="1" applyBorder="1"/>
    <xf numFmtId="0" fontId="2" fillId="0" borderId="1" xfId="0" applyFont="1" applyBorder="1"/>
    <xf numFmtId="0" fontId="1" fillId="0" borderId="0" xfId="0" applyFont="1" applyAlignment="1">
      <alignment horizontal="center"/>
    </xf>
    <xf numFmtId="164" fontId="0" fillId="0" borderId="0" xfId="0" applyNumberFormat="1" applyBorder="1" applyAlignment="1">
      <alignment horizontal="center"/>
    </xf>
    <xf numFmtId="0" fontId="0" fillId="0" borderId="6" xfId="0" applyBorder="1"/>
    <xf numFmtId="0" fontId="1" fillId="0" borderId="6" xfId="0" applyFont="1" applyBorder="1" applyAlignment="1">
      <alignment horizontal="center" vertical="center"/>
    </xf>
    <xf numFmtId="164" fontId="1" fillId="0" borderId="0" xfId="0" applyNumberFormat="1" applyFont="1"/>
    <xf numFmtId="165" fontId="1" fillId="0" borderId="0" xfId="0" applyNumberFormat="1" applyFont="1" applyAlignment="1">
      <alignment horizontal="center"/>
    </xf>
    <xf numFmtId="164" fontId="1" fillId="0" borderId="0" xfId="0" applyNumberFormat="1" applyFont="1" applyBorder="1" applyAlignment="1">
      <alignment horizontal="center"/>
    </xf>
    <xf numFmtId="164" fontId="1" fillId="0" borderId="0" xfId="1" applyNumberFormat="1" applyFont="1"/>
    <xf numFmtId="0" fontId="6" fillId="0" borderId="0" xfId="0" applyFont="1"/>
    <xf numFmtId="164" fontId="6" fillId="0" borderId="0" xfId="0" applyNumberFormat="1" applyFont="1"/>
    <xf numFmtId="165" fontId="6" fillId="0" borderId="0" xfId="0" applyNumberFormat="1" applyFont="1" applyAlignment="1">
      <alignment horizontal="center"/>
    </xf>
    <xf numFmtId="164" fontId="6" fillId="0" borderId="0" xfId="0" applyNumberFormat="1" applyFont="1" applyBorder="1" applyAlignment="1">
      <alignment horizontal="center"/>
    </xf>
    <xf numFmtId="164" fontId="2" fillId="0" borderId="1" xfId="0" applyNumberFormat="1" applyFont="1" applyBorder="1"/>
    <xf numFmtId="165" fontId="2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1" fillId="0" borderId="6" xfId="0" applyFont="1" applyBorder="1" applyAlignment="1">
      <alignment horizontal="center" vertical="center" wrapText="1"/>
    </xf>
    <xf numFmtId="0" fontId="7" fillId="4" borderId="0" xfId="0" applyFont="1" applyFill="1"/>
    <xf numFmtId="164" fontId="0" fillId="4" borderId="0" xfId="0" applyNumberFormat="1" applyFill="1"/>
    <xf numFmtId="165" fontId="0" fillId="4" borderId="0" xfId="0" applyNumberFormat="1" applyFill="1" applyAlignment="1">
      <alignment horizontal="center"/>
    </xf>
    <xf numFmtId="164" fontId="0" fillId="4" borderId="0" xfId="0" applyNumberFormat="1" applyFill="1" applyBorder="1" applyAlignment="1">
      <alignment horizontal="center"/>
    </xf>
    <xf numFmtId="0" fontId="8" fillId="4" borderId="0" xfId="2" applyFont="1" applyFill="1" applyBorder="1" applyAlignment="1" applyProtection="1">
      <alignment vertical="center" readingOrder="1"/>
    </xf>
    <xf numFmtId="164" fontId="0" fillId="4" borderId="0" xfId="0" applyNumberFormat="1" applyFont="1" applyFill="1"/>
    <xf numFmtId="165" fontId="0" fillId="4" borderId="0" xfId="0" applyNumberFormat="1" applyFont="1" applyFill="1" applyAlignment="1">
      <alignment horizontal="center"/>
    </xf>
    <xf numFmtId="0" fontId="0" fillId="4" borderId="0" xfId="0" applyFont="1" applyFill="1"/>
    <xf numFmtId="0" fontId="0" fillId="0" borderId="0" xfId="0" applyFill="1" applyAlignment="1">
      <alignment horizontal="center"/>
    </xf>
    <xf numFmtId="166" fontId="0" fillId="4" borderId="0" xfId="0" applyNumberFormat="1" applyFont="1" applyFill="1"/>
    <xf numFmtId="166" fontId="3" fillId="4" borderId="0" xfId="1" applyNumberFormat="1" applyFont="1" applyFill="1"/>
    <xf numFmtId="166" fontId="6" fillId="0" borderId="0" xfId="0" applyNumberFormat="1" applyFont="1"/>
    <xf numFmtId="166" fontId="2" fillId="0" borderId="1" xfId="0" applyNumberFormat="1" applyFont="1" applyBorder="1"/>
    <xf numFmtId="0" fontId="0" fillId="5" borderId="0" xfId="0" applyFill="1"/>
    <xf numFmtId="0" fontId="1" fillId="0" borderId="6" xfId="0" applyFont="1" applyBorder="1" applyAlignment="1">
      <alignment horizontal="center"/>
    </xf>
    <xf numFmtId="0" fontId="9" fillId="0" borderId="1" xfId="0" applyFont="1" applyBorder="1"/>
    <xf numFmtId="0" fontId="0" fillId="4" borderId="0" xfId="0" applyFill="1"/>
    <xf numFmtId="0" fontId="1" fillId="0" borderId="0" xfId="0" applyFont="1" applyBorder="1"/>
    <xf numFmtId="0" fontId="1" fillId="0" borderId="6" xfId="0" applyFont="1" applyBorder="1"/>
    <xf numFmtId="0" fontId="1" fillId="0" borderId="6" xfId="0" applyFont="1" applyBorder="1" applyAlignment="1">
      <alignment vertical="center"/>
    </xf>
    <xf numFmtId="166" fontId="0" fillId="4" borderId="0" xfId="0" applyNumberFormat="1" applyFill="1" applyAlignment="1">
      <alignment horizontal="center" vertical="center"/>
    </xf>
    <xf numFmtId="166" fontId="0" fillId="6" borderId="0" xfId="0" applyNumberFormat="1" applyFill="1" applyAlignment="1">
      <alignment horizontal="center" vertical="center"/>
    </xf>
    <xf numFmtId="0" fontId="0" fillId="4" borderId="0" xfId="0" applyFill="1" applyAlignment="1">
      <alignment vertical="center" wrapText="1"/>
    </xf>
    <xf numFmtId="0" fontId="0" fillId="6" borderId="0" xfId="0" applyFill="1" applyAlignment="1">
      <alignment vertical="center" wrapText="1"/>
    </xf>
    <xf numFmtId="0" fontId="10" fillId="4" borderId="0" xfId="0" applyFont="1" applyFill="1" applyAlignment="1">
      <alignment vertical="center"/>
    </xf>
    <xf numFmtId="0" fontId="10" fillId="6" borderId="0" xfId="0" applyFont="1" applyFill="1" applyAlignment="1">
      <alignment vertical="center"/>
    </xf>
    <xf numFmtId="0" fontId="0" fillId="6" borderId="0" xfId="0" applyFill="1" applyAlignment="1">
      <alignment vertical="center"/>
    </xf>
    <xf numFmtId="166" fontId="1" fillId="4" borderId="0" xfId="0" applyNumberFormat="1" applyFont="1" applyFill="1" applyAlignment="1">
      <alignment horizontal="center" vertical="center"/>
    </xf>
    <xf numFmtId="166" fontId="1" fillId="6" borderId="0" xfId="1" applyNumberFormat="1" applyFont="1" applyFill="1" applyAlignment="1">
      <alignment horizontal="center" vertical="center"/>
    </xf>
    <xf numFmtId="166" fontId="9" fillId="4" borderId="0" xfId="0" applyNumberFormat="1" applyFont="1" applyFill="1" applyAlignment="1">
      <alignment horizontal="center" vertical="center"/>
    </xf>
    <xf numFmtId="166" fontId="9" fillId="6" borderId="0" xfId="0" applyNumberFormat="1" applyFont="1" applyFill="1" applyAlignment="1">
      <alignment horizontal="center" vertical="center"/>
    </xf>
    <xf numFmtId="166" fontId="9" fillId="4" borderId="0" xfId="1" applyNumberFormat="1" applyFont="1" applyFill="1" applyAlignment="1">
      <alignment horizontal="center" vertical="center"/>
    </xf>
    <xf numFmtId="166" fontId="9" fillId="6" borderId="0" xfId="1" applyNumberFormat="1" applyFont="1" applyFill="1" applyAlignment="1">
      <alignment horizontal="center" vertical="center"/>
    </xf>
    <xf numFmtId="166" fontId="1" fillId="6" borderId="0" xfId="0" applyNumberFormat="1" applyFont="1" applyFill="1" applyAlignment="1">
      <alignment horizontal="center" vertical="center"/>
    </xf>
    <xf numFmtId="166" fontId="6" fillId="4" borderId="0" xfId="0" quotePrefix="1" applyNumberFormat="1" applyFont="1" applyFill="1" applyAlignment="1">
      <alignment horizontal="center" vertical="center"/>
    </xf>
    <xf numFmtId="166" fontId="6" fillId="6" borderId="0" xfId="1" quotePrefix="1" applyNumberFormat="1" applyFont="1" applyFill="1" applyAlignment="1">
      <alignment horizontal="center" vertical="center"/>
    </xf>
    <xf numFmtId="166" fontId="6" fillId="6" borderId="0" xfId="0" quotePrefix="1" applyNumberFormat="1" applyFont="1" applyFill="1" applyAlignment="1">
      <alignment horizontal="center" vertical="center"/>
    </xf>
    <xf numFmtId="166" fontId="6" fillId="4" borderId="0" xfId="1" quotePrefix="1" applyNumberFormat="1" applyFont="1" applyFill="1" applyAlignment="1">
      <alignment horizontal="center" vertical="center"/>
    </xf>
    <xf numFmtId="0" fontId="10" fillId="4" borderId="0" xfId="0" applyFont="1" applyFill="1" applyAlignment="1">
      <alignment vertical="center" wrapText="1"/>
    </xf>
    <xf numFmtId="3" fontId="1" fillId="0" borderId="1" xfId="0" applyNumberFormat="1" applyFont="1" applyFill="1" applyBorder="1"/>
    <xf numFmtId="3" fontId="0" fillId="0" borderId="0" xfId="0" applyNumberFormat="1" applyFill="1"/>
    <xf numFmtId="0" fontId="1" fillId="0" borderId="6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164" fontId="0" fillId="0" borderId="0" xfId="1" applyNumberFormat="1" applyFont="1" applyFill="1"/>
    <xf numFmtId="0" fontId="0" fillId="0" borderId="0" xfId="0" applyFill="1" applyAlignment="1">
      <alignment horizontal="center"/>
    </xf>
    <xf numFmtId="0" fontId="0" fillId="0" borderId="0" xfId="0" applyFill="1" applyBorder="1"/>
    <xf numFmtId="0" fontId="0" fillId="0" borderId="6" xfId="0" applyBorder="1" applyAlignment="1">
      <alignment horizontal="center" vertical="center" wrapText="1"/>
    </xf>
    <xf numFmtId="167" fontId="0" fillId="0" borderId="0" xfId="0" applyNumberFormat="1" applyFill="1" applyAlignment="1">
      <alignment horizontal="center"/>
    </xf>
    <xf numFmtId="0" fontId="0" fillId="0" borderId="1" xfId="0" applyFill="1" applyBorder="1"/>
    <xf numFmtId="3" fontId="0" fillId="0" borderId="1" xfId="0" applyNumberFormat="1" applyFill="1" applyBorder="1"/>
    <xf numFmtId="0" fontId="0" fillId="0" borderId="0" xfId="0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0" xfId="0" applyAlignment="1">
      <alignment vertical="center"/>
    </xf>
    <xf numFmtId="3" fontId="0" fillId="0" borderId="0" xfId="0" applyNumberFormat="1" applyAlignment="1">
      <alignment vertical="center"/>
    </xf>
    <xf numFmtId="0" fontId="0" fillId="0" borderId="0" xfId="0" applyAlignment="1"/>
    <xf numFmtId="0" fontId="0" fillId="0" borderId="2" xfId="0" applyBorder="1"/>
    <xf numFmtId="167" fontId="0" fillId="4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1" fillId="0" borderId="0" xfId="0" applyFont="1" applyAlignment="1">
      <alignment horizontal="center"/>
    </xf>
  </cellXfs>
  <cellStyles count="3">
    <cellStyle name="Migliaia" xfId="1" builtinId="3"/>
    <cellStyle name="Normal" xfId="2"/>
    <cellStyle name="Normale" xfId="0" builtinId="0"/>
  </cellStyles>
  <dxfs count="100"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color rgb="FF0070C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0070C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806717062543143"/>
          <c:y val="5.4234059497589075E-2"/>
          <c:w val="0.80361249792401179"/>
          <c:h val="0.69993782761097589"/>
        </c:manualLayout>
      </c:layout>
      <c:lineChart>
        <c:grouping val="standard"/>
        <c:varyColors val="0"/>
        <c:ser>
          <c:idx val="0"/>
          <c:order val="0"/>
          <c:tx>
            <c:strRef>
              <c:f>Risultato_amministrazione!$A$3</c:f>
              <c:strCache>
                <c:ptCount val="1"/>
                <c:pt idx="0">
                  <c:v>Residui attivi</c:v>
                </c:pt>
              </c:strCache>
            </c:strRef>
          </c:tx>
          <c:marker>
            <c:symbol val="triangle"/>
            <c:size val="5"/>
          </c:marker>
          <c:cat>
            <c:numRef>
              <c:f>Risultato_amministrazione!$B$1:$F$1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Risultato_amministrazione!$B$3:$F$3</c:f>
              <c:numCache>
                <c:formatCode>#,##0</c:formatCode>
                <c:ptCount val="5"/>
                <c:pt idx="0">
                  <c:v>1860944266.47</c:v>
                </c:pt>
                <c:pt idx="1">
                  <c:v>1981295582.77</c:v>
                </c:pt>
                <c:pt idx="2">
                  <c:v>2404097440.54</c:v>
                </c:pt>
                <c:pt idx="3">
                  <c:v>1906137927.46</c:v>
                </c:pt>
                <c:pt idx="4">
                  <c:v>1740798585.6600001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4815-456D-8408-112A4369BD40}"/>
            </c:ext>
          </c:extLst>
        </c:ser>
        <c:ser>
          <c:idx val="1"/>
          <c:order val="1"/>
          <c:tx>
            <c:strRef>
              <c:f>Risultato_amministrazione!$A$4</c:f>
              <c:strCache>
                <c:ptCount val="1"/>
                <c:pt idx="0">
                  <c:v>Residui passivi</c:v>
                </c:pt>
              </c:strCache>
            </c:strRef>
          </c:tx>
          <c:marker>
            <c:symbol val="square"/>
            <c:size val="5"/>
          </c:marker>
          <c:cat>
            <c:numRef>
              <c:f>Risultato_amministrazione!$B$1:$F$1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Risultato_amministrazione!$B$4:$F$4</c:f>
              <c:numCache>
                <c:formatCode>#,##0</c:formatCode>
                <c:ptCount val="5"/>
                <c:pt idx="0">
                  <c:v>1921099995.26</c:v>
                </c:pt>
                <c:pt idx="1">
                  <c:v>1899632077.5699999</c:v>
                </c:pt>
                <c:pt idx="2">
                  <c:v>2374045980.3499999</c:v>
                </c:pt>
                <c:pt idx="3">
                  <c:v>1791404478.03</c:v>
                </c:pt>
                <c:pt idx="4">
                  <c:v>1661398206.53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815-456D-8408-112A4369BD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7835344"/>
        <c:axId val="617835888"/>
      </c:lineChart>
      <c:catAx>
        <c:axId val="617835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617835888"/>
        <c:crosses val="autoZero"/>
        <c:auto val="1"/>
        <c:lblAlgn val="ctr"/>
        <c:lblOffset val="100"/>
        <c:noMultiLvlLbl val="0"/>
      </c:catAx>
      <c:valAx>
        <c:axId val="617835888"/>
        <c:scaling>
          <c:orientation val="minMax"/>
          <c:max val="2500000000"/>
          <c:min val="1500000000"/>
        </c:scaling>
        <c:delete val="0"/>
        <c:axPos val="l"/>
        <c:numFmt formatCode="#,##0" sourceLinked="1"/>
        <c:majorTickMark val="none"/>
        <c:minorTickMark val="none"/>
        <c:tickLblPos val="nextTo"/>
        <c:crossAx val="617835344"/>
        <c:crosses val="autoZero"/>
        <c:crossBetween val="between"/>
        <c:majorUnit val="500000000"/>
      </c:valAx>
      <c:spPr>
        <a:noFill/>
        <a:ln>
          <a:noFill/>
        </a:ln>
      </c:spPr>
    </c:plotArea>
    <c:legend>
      <c:legendPos val="b"/>
      <c:layout/>
      <c:overlay val="0"/>
      <c:spPr>
        <a:noFill/>
        <a:ln>
          <a:noFill/>
        </a:ln>
      </c:sp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/>
      </a:pPr>
      <a:endParaRPr lang="it-IT"/>
    </a:p>
  </c:txPr>
  <c:printSettings>
    <c:headerFooter/>
    <c:pageMargins b="0.75000000000000488" l="0.70000000000000062" r="0.70000000000000062" t="0.75000000000000488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247043861785319E-2"/>
          <c:y val="1.4773776546629733E-2"/>
          <c:w val="0.95679921453118832"/>
          <c:h val="0.798793668796940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Piano_indicatori!$B$31</c:f>
              <c:strCache>
                <c:ptCount val="1"/>
                <c:pt idx="0">
                  <c:v>Investimenti complessivi procapite</c:v>
                </c:pt>
              </c:strCache>
            </c:strRef>
          </c:tx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00B0F0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Piano_indicatori!$D$1:$H$1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Piano_indicatori!$D$31:$H$31</c:f>
              <c:numCache>
                <c:formatCode>0.00</c:formatCode>
                <c:ptCount val="5"/>
                <c:pt idx="0">
                  <c:v>179.55</c:v>
                </c:pt>
                <c:pt idx="1">
                  <c:v>135.79</c:v>
                </c:pt>
                <c:pt idx="2">
                  <c:v>89.04</c:v>
                </c:pt>
                <c:pt idx="3">
                  <c:v>142.94</c:v>
                </c:pt>
                <c:pt idx="4">
                  <c:v>156.02000000000001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533-4A6E-8076-E1B5B866D10D}"/>
            </c:ext>
          </c:extLst>
        </c:ser>
        <c:ser>
          <c:idx val="1"/>
          <c:order val="1"/>
          <c:tx>
            <c:strRef>
              <c:f>Piano_indicatori!$B$91</c:f>
              <c:strCache>
                <c:ptCount val="1"/>
                <c:pt idx="0">
                  <c:v>Media Regioni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00B050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Piano_indicatori!$D$1:$H$1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Piano_indicatori!$D$93:$H$93</c:f>
              <c:numCache>
                <c:formatCode>0.00</c:formatCode>
                <c:ptCount val="5"/>
                <c:pt idx="0">
                  <c:v>251.09759762080674</c:v>
                </c:pt>
                <c:pt idx="1">
                  <c:v>226.20399780332346</c:v>
                </c:pt>
                <c:pt idx="2">
                  <c:v>238.9835900012705</c:v>
                </c:pt>
                <c:pt idx="3">
                  <c:v>254.8769995879359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533-4A6E-8076-E1B5B866D1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31927184"/>
        <c:axId val="631923376"/>
      </c:barChart>
      <c:catAx>
        <c:axId val="631927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>
            <a:noFill/>
          </a:ln>
        </c:spPr>
        <c:crossAx val="631923376"/>
        <c:crosses val="autoZero"/>
        <c:auto val="1"/>
        <c:lblAlgn val="ctr"/>
        <c:lblOffset val="100"/>
        <c:noMultiLvlLbl val="0"/>
      </c:catAx>
      <c:valAx>
        <c:axId val="631923376"/>
        <c:scaling>
          <c:orientation val="minMax"/>
        </c:scaling>
        <c:delete val="1"/>
        <c:axPos val="l"/>
        <c:numFmt formatCode="0" sourceLinked="0"/>
        <c:majorTickMark val="none"/>
        <c:minorTickMark val="none"/>
        <c:tickLblPos val="none"/>
        <c:crossAx val="631927184"/>
        <c:crosses val="autoZero"/>
        <c:crossBetween val="between"/>
      </c:valAx>
      <c:spPr>
        <a:noFill/>
        <a:ln>
          <a:noFill/>
        </a:ln>
      </c:spPr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0.32604501756868032"/>
          <c:y val="0.91535004107865958"/>
          <c:w val="0.3636191867769108"/>
          <c:h val="8.4649958921340043E-2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/>
      </a:pPr>
      <a:endParaRPr lang="it-IT"/>
    </a:p>
  </c:txPr>
  <c:printSettings>
    <c:headerFooter/>
    <c:pageMargins b="0.75000000000000544" l="0.70000000000000062" r="0.70000000000000062" t="0.75000000000000544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1600392734413741E-2"/>
          <c:y val="3.6934441366574568E-3"/>
          <c:w val="0.95679921453118832"/>
          <c:h val="0.8911189765445505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Piano_indicatori!$B$47</c:f>
              <c:strCache>
                <c:ptCount val="1"/>
                <c:pt idx="0">
                  <c:v>Indicatore annuale di tempestività dei pagamenti</c:v>
                </c:pt>
              </c:strCache>
            </c:strRef>
          </c:tx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00B0F0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Piano_indicatori!$D$1:$H$1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Piano_indicatori!$D$47:$H$47</c:f>
              <c:numCache>
                <c:formatCode>0.00</c:formatCode>
                <c:ptCount val="5"/>
                <c:pt idx="0">
                  <c:v>13</c:v>
                </c:pt>
                <c:pt idx="1">
                  <c:v>-6.51</c:v>
                </c:pt>
                <c:pt idx="2">
                  <c:v>-13.48</c:v>
                </c:pt>
                <c:pt idx="3">
                  <c:v>-22.49</c:v>
                </c:pt>
                <c:pt idx="4">
                  <c:v>-13.07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244-41B9-BDCF-288E48435941}"/>
            </c:ext>
          </c:extLst>
        </c:ser>
        <c:ser>
          <c:idx val="1"/>
          <c:order val="1"/>
          <c:tx>
            <c:strRef>
              <c:f>Piano_indicatori!$B$91</c:f>
              <c:strCache>
                <c:ptCount val="1"/>
                <c:pt idx="0">
                  <c:v>Media Regioni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00B050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Piano_indicatori!$D$1:$H$1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Piano_indicatori!$D$94:$H$94</c:f>
              <c:numCache>
                <c:formatCode>0.00</c:formatCode>
                <c:ptCount val="5"/>
                <c:pt idx="0">
                  <c:v>5.1523529411764697</c:v>
                </c:pt>
                <c:pt idx="1">
                  <c:v>-0.42166666666666625</c:v>
                </c:pt>
                <c:pt idx="2">
                  <c:v>-3.3627777777777768</c:v>
                </c:pt>
                <c:pt idx="3">
                  <c:v>-6.1844444444444466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244-41B9-BDCF-288E484359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31937520"/>
        <c:axId val="631933168"/>
      </c:barChart>
      <c:catAx>
        <c:axId val="631937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>
            <a:noFill/>
          </a:ln>
        </c:spPr>
        <c:crossAx val="631933168"/>
        <c:crosses val="autoZero"/>
        <c:auto val="1"/>
        <c:lblAlgn val="ctr"/>
        <c:lblOffset val="100"/>
        <c:noMultiLvlLbl val="0"/>
      </c:catAx>
      <c:valAx>
        <c:axId val="631933168"/>
        <c:scaling>
          <c:orientation val="minMax"/>
          <c:min val="-25"/>
        </c:scaling>
        <c:delete val="1"/>
        <c:axPos val="l"/>
        <c:numFmt formatCode="0" sourceLinked="0"/>
        <c:majorTickMark val="out"/>
        <c:minorTickMark val="none"/>
        <c:tickLblPos val="nextTo"/>
        <c:crossAx val="631937520"/>
        <c:crosses val="autoZero"/>
        <c:crossBetween val="between"/>
        <c:majorUnit val="5"/>
      </c:valAx>
      <c:spPr>
        <a:noFill/>
        <a:ln>
          <a:noFill/>
        </a:ln>
      </c:spPr>
    </c:plotArea>
    <c:legend>
      <c:legendPos val="b"/>
      <c:legendEntry>
        <c:idx val="0"/>
        <c:delete val="1"/>
      </c:legendEntry>
      <c:layout/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/>
      </a:pPr>
      <a:endParaRPr lang="it-IT"/>
    </a:p>
  </c:txPr>
  <c:printSettings>
    <c:headerFooter/>
    <c:pageMargins b="0.75000000000000544" l="0.70000000000000062" r="0.70000000000000062" t="0.75000000000000544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1600392734413741E-2"/>
          <c:y val="3.6934441366574568E-3"/>
          <c:w val="0.95679921453118832"/>
          <c:h val="0.798793668796940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Piano_indicatori!$B$52</c:f>
              <c:strCache>
                <c:ptCount val="1"/>
                <c:pt idx="0">
                  <c:v>Indebitamento procapite</c:v>
                </c:pt>
              </c:strCache>
            </c:strRef>
          </c:tx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00B0F0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Piano_indicatori!$D$1:$H$1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Piano_indicatori!$D$52:$H$52</c:f>
              <c:numCache>
                <c:formatCode>0.00</c:formatCode>
                <c:ptCount val="5"/>
                <c:pt idx="0">
                  <c:v>1198.7425011759628</c:v>
                </c:pt>
                <c:pt idx="1">
                  <c:v>1279.0244173890489</c:v>
                </c:pt>
                <c:pt idx="2">
                  <c:v>1300.6400000000001</c:v>
                </c:pt>
                <c:pt idx="3">
                  <c:v>1009.5998439053348</c:v>
                </c:pt>
                <c:pt idx="4">
                  <c:v>516.89042132676127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910-4DD5-8C34-963CC30C4CFD}"/>
            </c:ext>
          </c:extLst>
        </c:ser>
        <c:ser>
          <c:idx val="1"/>
          <c:order val="1"/>
          <c:tx>
            <c:strRef>
              <c:f>Piano_indicatori!$B$91</c:f>
              <c:strCache>
                <c:ptCount val="1"/>
                <c:pt idx="0">
                  <c:v>Media Regioni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00B050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Piano_indicatori!$D$1:$H$1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Piano_indicatori!$D$95:$H$95</c:f>
              <c:numCache>
                <c:formatCode>0.00</c:formatCode>
                <c:ptCount val="5"/>
                <c:pt idx="0">
                  <c:v>1497.6574370098967</c:v>
                </c:pt>
                <c:pt idx="1">
                  <c:v>1511.4496314108096</c:v>
                </c:pt>
                <c:pt idx="2">
                  <c:v>1479.4297544978085</c:v>
                </c:pt>
                <c:pt idx="3">
                  <c:v>1400.855257564868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910-4DD5-8C34-963CC30C4C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31924464"/>
        <c:axId val="631933712"/>
      </c:barChart>
      <c:catAx>
        <c:axId val="631924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>
            <a:noFill/>
          </a:ln>
        </c:spPr>
        <c:crossAx val="631933712"/>
        <c:crosses val="autoZero"/>
        <c:auto val="1"/>
        <c:lblAlgn val="ctr"/>
        <c:lblOffset val="100"/>
        <c:noMultiLvlLbl val="0"/>
      </c:catAx>
      <c:valAx>
        <c:axId val="631933712"/>
        <c:scaling>
          <c:orientation val="minMax"/>
          <c:max val="1700"/>
          <c:min val="0"/>
        </c:scaling>
        <c:delete val="1"/>
        <c:axPos val="l"/>
        <c:numFmt formatCode="0" sourceLinked="0"/>
        <c:majorTickMark val="none"/>
        <c:minorTickMark val="none"/>
        <c:tickLblPos val="none"/>
        <c:crossAx val="631924464"/>
        <c:crosses val="autoZero"/>
        <c:crossBetween val="between"/>
        <c:majorUnit val="1000"/>
      </c:valAx>
      <c:spPr>
        <a:noFill/>
        <a:ln>
          <a:noFill/>
        </a:ln>
      </c:spPr>
    </c:plotArea>
    <c:legend>
      <c:legendPos val="b"/>
      <c:legendEntry>
        <c:idx val="0"/>
        <c:delete val="1"/>
      </c:legendEntry>
      <c:layout/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/>
      </a:pPr>
      <a:endParaRPr lang="it-IT"/>
    </a:p>
  </c:txPr>
  <c:printSettings>
    <c:headerFooter/>
    <c:pageMargins b="0.75000000000000544" l="0.70000000000000062" r="0.70000000000000062" t="0.75000000000000544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937752097937642"/>
          <c:y val="7.7745360071207401E-3"/>
          <c:w val="0.78834864500133839"/>
          <c:h val="0.9494655159537152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Popolazione!$A$1</c:f>
              <c:strCache>
                <c:ptCount val="1"/>
                <c:pt idx="0">
                  <c:v>Anno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Popolazione!$A$2:$A$8</c:f>
              <c:numCache>
                <c:formatCode>General</c:formatCode>
                <c:ptCount val="7"/>
                <c:pt idx="0">
                  <c:v>2020</c:v>
                </c:pt>
                <c:pt idx="1">
                  <c:v>2020</c:v>
                </c:pt>
                <c:pt idx="2">
                  <c:v>2019</c:v>
                </c:pt>
                <c:pt idx="3">
                  <c:v>2018</c:v>
                </c:pt>
                <c:pt idx="4">
                  <c:v>2017</c:v>
                </c:pt>
                <c:pt idx="5">
                  <c:v>2016</c:v>
                </c:pt>
                <c:pt idx="6">
                  <c:v>2015</c:v>
                </c:pt>
              </c:numCache>
            </c:numRef>
          </c:cat>
          <c:val>
            <c:numRef>
              <c:f>Popolazione!$B$2:$B$8</c:f>
              <c:numCache>
                <c:formatCode>#,##0</c:formatCode>
                <c:ptCount val="7"/>
                <c:pt idx="0">
                  <c:v>1518495</c:v>
                </c:pt>
                <c:pt idx="1">
                  <c:v>1524826</c:v>
                </c:pt>
                <c:pt idx="2">
                  <c:v>1532980</c:v>
                </c:pt>
                <c:pt idx="3">
                  <c:v>1541541</c:v>
                </c:pt>
                <c:pt idx="4">
                  <c:v>1551379</c:v>
                </c:pt>
                <c:pt idx="5">
                  <c:v>1557742</c:v>
                </c:pt>
                <c:pt idx="6">
                  <c:v>1569427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C94-47EF-9023-381B80469E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31936976"/>
        <c:axId val="631925552"/>
      </c:barChart>
      <c:catAx>
        <c:axId val="6319369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200" b="0"/>
            </a:pPr>
            <a:endParaRPr lang="it-IT"/>
          </a:p>
        </c:txPr>
        <c:crossAx val="631925552"/>
        <c:crosses val="autoZero"/>
        <c:auto val="1"/>
        <c:lblAlgn val="ctr"/>
        <c:lblOffset val="100"/>
        <c:noMultiLvlLbl val="0"/>
      </c:catAx>
      <c:valAx>
        <c:axId val="631925552"/>
        <c:scaling>
          <c:orientation val="minMax"/>
          <c:max val="1600000"/>
          <c:min val="0"/>
        </c:scaling>
        <c:delete val="1"/>
        <c:axPos val="b"/>
        <c:numFmt formatCode="#,##0" sourceLinked="1"/>
        <c:majorTickMark val="none"/>
        <c:minorTickMark val="none"/>
        <c:tickLblPos val="none"/>
        <c:crossAx val="631936976"/>
        <c:crosses val="autoZero"/>
        <c:crossBetween val="between"/>
        <c:majorUnit val="100000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488" l="0.70000000000000062" r="0.70000000000000062" t="0.7500000000000048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184235899084044"/>
          <c:y val="4.1138832588978755E-2"/>
          <c:w val="0.77088167550484843"/>
          <c:h val="0.75147812673757464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Risultato_amministrazione!$A$8</c:f>
              <c:strCache>
                <c:ptCount val="1"/>
                <c:pt idx="0">
                  <c:v>Fondo crediti di dubbia esigibilità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numRef>
              <c:f>Risultato_amministrazione!$B$1:$F$1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Risultato_amministrazione!$B$8:$F$8</c:f>
              <c:numCache>
                <c:formatCode>#,##0</c:formatCode>
                <c:ptCount val="5"/>
                <c:pt idx="0">
                  <c:v>1253500.07</c:v>
                </c:pt>
                <c:pt idx="1">
                  <c:v>7045035.5800000001</c:v>
                </c:pt>
                <c:pt idx="2">
                  <c:v>22752121.280000001</c:v>
                </c:pt>
                <c:pt idx="3">
                  <c:v>37494569.700000003</c:v>
                </c:pt>
                <c:pt idx="4">
                  <c:v>50751779.210000001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570-4566-BAA9-AA8B82BC92A7}"/>
            </c:ext>
          </c:extLst>
        </c:ser>
        <c:ser>
          <c:idx val="3"/>
          <c:order val="1"/>
          <c:tx>
            <c:strRef>
              <c:f>Risultato_amministrazione!$A$9</c:f>
              <c:strCache>
                <c:ptCount val="1"/>
                <c:pt idx="0">
                  <c:v>Fondo a copertura residui perenti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cat>
            <c:numRef>
              <c:f>Risultato_amministrazione!$B$1:$F$1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Risultato_amministrazione!$B$9:$F$9</c:f>
              <c:numCache>
                <c:formatCode>#,##0</c:formatCode>
                <c:ptCount val="5"/>
                <c:pt idx="0">
                  <c:v>78152428.579999998</c:v>
                </c:pt>
                <c:pt idx="1">
                  <c:v>78052908.25</c:v>
                </c:pt>
                <c:pt idx="2">
                  <c:v>92895482.870000005</c:v>
                </c:pt>
                <c:pt idx="3">
                  <c:v>79256598.739999995</c:v>
                </c:pt>
                <c:pt idx="4">
                  <c:v>80091069.549999997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F7F-4A24-B351-ACDAEDF94B8C}"/>
            </c:ext>
          </c:extLst>
        </c:ser>
        <c:ser>
          <c:idx val="0"/>
          <c:order val="2"/>
          <c:tx>
            <c:strRef>
              <c:f>Risultato_amministrazione!$A$10</c:f>
              <c:strCache>
                <c:ptCount val="1"/>
                <c:pt idx="0">
                  <c:v>Fondo anticipazioni liquidità DL35/2013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cat>
            <c:numRef>
              <c:f>Risultato_amministrazione!$B$1:$F$1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Risultato_amministrazione!$B$10:$F$10</c:f>
              <c:numCache>
                <c:formatCode>#,##0</c:formatCode>
                <c:ptCount val="5"/>
                <c:pt idx="0">
                  <c:v>140450800.49000001</c:v>
                </c:pt>
                <c:pt idx="1">
                  <c:v>137373368.84999999</c:v>
                </c:pt>
                <c:pt idx="2">
                  <c:v>134209329.39</c:v>
                </c:pt>
                <c:pt idx="3">
                  <c:v>130956114.77</c:v>
                </c:pt>
                <c:pt idx="4">
                  <c:v>127611079.04000001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F7F-4A24-B351-ACDAEDF94B8C}"/>
            </c:ext>
          </c:extLst>
        </c:ser>
        <c:ser>
          <c:idx val="4"/>
          <c:order val="3"/>
          <c:tx>
            <c:strRef>
              <c:f>Risultato_amministrazione!$A$52</c:f>
              <c:strCache>
                <c:ptCount val="1"/>
                <c:pt idx="0">
                  <c:v>Altri accantonamenti</c:v>
                </c:pt>
              </c:strCache>
            </c:strRef>
          </c:tx>
          <c:spPr>
            <a:solidFill>
              <a:srgbClr val="00B0F0"/>
            </a:solidFill>
          </c:spPr>
          <c:invertIfNegative val="0"/>
          <c:cat>
            <c:numRef>
              <c:f>Risultato_amministrazione!$B$1:$F$1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Risultato_amministrazione!$B$52:$F$52</c:f>
              <c:numCache>
                <c:formatCode>#,##0</c:formatCode>
                <c:ptCount val="5"/>
                <c:pt idx="0">
                  <c:v>27431841.060000002</c:v>
                </c:pt>
                <c:pt idx="1">
                  <c:v>41406553.170000002</c:v>
                </c:pt>
                <c:pt idx="2">
                  <c:v>53779710.969999999</c:v>
                </c:pt>
                <c:pt idx="3">
                  <c:v>73134117.769999996</c:v>
                </c:pt>
                <c:pt idx="4">
                  <c:v>60593214.310000002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9F7F-4A24-B351-ACDAEDF94B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17836432"/>
        <c:axId val="617846224"/>
      </c:barChart>
      <c:lineChart>
        <c:grouping val="standard"/>
        <c:varyColors val="0"/>
        <c:ser>
          <c:idx val="2"/>
          <c:order val="4"/>
          <c:tx>
            <c:strRef>
              <c:f>Risultato_amministrazione!$A$24</c:f>
              <c:strCache>
                <c:ptCount val="1"/>
                <c:pt idx="0">
                  <c:v>Rapporto Fcde/Residui attivi (scala dx)</c:v>
                </c:pt>
              </c:strCache>
            </c:strRef>
          </c:tx>
          <c:spPr>
            <a:ln w="44450" cap="rnd">
              <a:solidFill>
                <a:schemeClr val="tx1"/>
              </a:solidFill>
              <a:prstDash val="sysDot"/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/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Risultato_amministrazione!$B$1:$F$1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Risultato_amministrazione!$B$24:$F$24</c:f>
              <c:numCache>
                <c:formatCode>0.0</c:formatCode>
                <c:ptCount val="5"/>
                <c:pt idx="0">
                  <c:v>6.7358281093379949E-2</c:v>
                </c:pt>
                <c:pt idx="1">
                  <c:v>0.35557721125842873</c:v>
                </c:pt>
                <c:pt idx="2">
                  <c:v>0.94638931419058869</c:v>
                </c:pt>
                <c:pt idx="3">
                  <c:v>1.9670438933012007</c:v>
                </c:pt>
                <c:pt idx="4">
                  <c:v>2.9154308619085967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6570-4566-BAA9-AA8B82BC92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7838608"/>
        <c:axId val="617833712"/>
      </c:lineChart>
      <c:catAx>
        <c:axId val="6178364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617846224"/>
        <c:crosses val="autoZero"/>
        <c:auto val="1"/>
        <c:lblAlgn val="ctr"/>
        <c:lblOffset val="100"/>
        <c:noMultiLvlLbl val="0"/>
      </c:catAx>
      <c:valAx>
        <c:axId val="617846224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617836432"/>
        <c:crosses val="autoZero"/>
        <c:crossBetween val="between"/>
      </c:valAx>
      <c:valAx>
        <c:axId val="617833712"/>
        <c:scaling>
          <c:orientation val="minMax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617838608"/>
        <c:crosses val="max"/>
        <c:crossBetween val="between"/>
        <c:majorUnit val="1"/>
      </c:valAx>
      <c:catAx>
        <c:axId val="6178386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617833712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3.0569660935240231E-2"/>
          <c:y val="0.87240507237278775"/>
          <c:w val="0.94882793017456379"/>
          <c:h val="0.1275949276272128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9214134818513709E-2"/>
          <c:y val="1.9227205294990463E-2"/>
          <c:w val="0.77525935126950996"/>
          <c:h val="0.9264668872912618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Conto_economico!$A$28</c:f>
              <c:strCache>
                <c:ptCount val="1"/>
                <c:pt idx="0">
                  <c:v>Risultato dell'esercizio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0070C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0-4452-41DC-B25A-48B8A55670DF}"/>
              </c:ext>
            </c:extLst>
          </c:dPt>
          <c:dLbls>
            <c:dLbl>
              <c:idx val="2"/>
              <c:layout>
                <c:manualLayout>
                  <c:x val="0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4452-41DC-B25A-48B8A55670D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5.7375111623093769E-4"/>
                  <c:y val="-1.5871582738940975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E3EF-4EE1-84EC-90209335CF2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1.990428206643257E-3"/>
                  <c:y val="-4.182051172390415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E3EF-4EE1-84EC-90209335CF2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>
                    <a:solidFill>
                      <a:srgbClr val="0070C0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Conto_economico!$C$1:$G$1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Conto_economico!$C$28:$G$28</c:f>
              <c:numCache>
                <c:formatCode>#,##0</c:formatCode>
                <c:ptCount val="5"/>
                <c:pt idx="0">
                  <c:v>4705807.7900006054</c:v>
                </c:pt>
                <c:pt idx="1">
                  <c:v>147239770.1300002</c:v>
                </c:pt>
                <c:pt idx="2">
                  <c:v>76835377.639999926</c:v>
                </c:pt>
                <c:pt idx="3">
                  <c:v>72546797.540000439</c:v>
                </c:pt>
                <c:pt idx="4">
                  <c:v>70599498.05000104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4452-41DC-B25A-48B8A55670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17832624"/>
        <c:axId val="617843504"/>
      </c:barChart>
      <c:catAx>
        <c:axId val="6178326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200" b="1"/>
            </a:pPr>
            <a:endParaRPr lang="it-IT"/>
          </a:p>
        </c:txPr>
        <c:crossAx val="617843504"/>
        <c:crosses val="autoZero"/>
        <c:auto val="1"/>
        <c:lblAlgn val="ctr"/>
        <c:lblOffset val="100"/>
        <c:noMultiLvlLbl val="0"/>
      </c:catAx>
      <c:valAx>
        <c:axId val="617843504"/>
        <c:scaling>
          <c:orientation val="minMax"/>
          <c:max val="150000000"/>
        </c:scaling>
        <c:delete val="1"/>
        <c:axPos val="b"/>
        <c:numFmt formatCode="#,##0" sourceLinked="1"/>
        <c:majorTickMark val="none"/>
        <c:minorTickMark val="none"/>
        <c:tickLblPos val="none"/>
        <c:crossAx val="617832624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Stato_patrimoniale!$A$20</c:f>
              <c:strCache>
                <c:ptCount val="1"/>
                <c:pt idx="0">
                  <c:v>Debiti da finanziamento (D1)</c:v>
                </c:pt>
              </c:strCache>
            </c:strRef>
          </c:tx>
          <c:invertIfNegative val="0"/>
          <c:cat>
            <c:numRef>
              <c:f>Stato_patrimoniale!$B$1:$G$1</c:f>
              <c:numCache>
                <c:formatCode>General</c:formatCod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</c:numCache>
            </c:numRef>
          </c:cat>
          <c:val>
            <c:numRef>
              <c:f>Stato_patrimoniale!$B$20:$G$20</c:f>
              <c:numCache>
                <c:formatCode>#,##0</c:formatCode>
                <c:ptCount val="6"/>
                <c:pt idx="0">
                  <c:v>1039930887.58</c:v>
                </c:pt>
                <c:pt idx="1">
                  <c:v>1883288002.7</c:v>
                </c:pt>
                <c:pt idx="2">
                  <c:v>2002065873.71</c:v>
                </c:pt>
                <c:pt idx="3">
                  <c:v>1873885533.1800001</c:v>
                </c:pt>
                <c:pt idx="4">
                  <c:v>1547696368.71</c:v>
                </c:pt>
                <c:pt idx="5">
                  <c:v>788167953.59000003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978-494A-A3FF-551A6B06C6B4}"/>
            </c:ext>
          </c:extLst>
        </c:ser>
        <c:ser>
          <c:idx val="1"/>
          <c:order val="1"/>
          <c:tx>
            <c:strRef>
              <c:f>Stato_patrimoniale!$A$21</c:f>
              <c:strCache>
                <c:ptCount val="1"/>
                <c:pt idx="0">
                  <c:v>Debiti verso fornitori (D2)</c:v>
                </c:pt>
              </c:strCache>
            </c:strRef>
          </c:tx>
          <c:invertIfNegative val="0"/>
          <c:cat>
            <c:numRef>
              <c:f>Stato_patrimoniale!$B$1:$G$1</c:f>
              <c:numCache>
                <c:formatCode>General</c:formatCod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</c:numCache>
            </c:numRef>
          </c:cat>
          <c:val>
            <c:numRef>
              <c:f>Stato_patrimoniale!$B$21:$G$21</c:f>
              <c:numCache>
                <c:formatCode>#,##0</c:formatCode>
                <c:ptCount val="6"/>
                <c:pt idx="0">
                  <c:v>27820464.190000001</c:v>
                </c:pt>
                <c:pt idx="1">
                  <c:v>67692282.049999997</c:v>
                </c:pt>
                <c:pt idx="2">
                  <c:v>51026774.210000001</c:v>
                </c:pt>
                <c:pt idx="3">
                  <c:v>52941058.829999998</c:v>
                </c:pt>
                <c:pt idx="4">
                  <c:v>80621809.909999996</c:v>
                </c:pt>
                <c:pt idx="5">
                  <c:v>75006120.159999996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978-494A-A3FF-551A6B06C6B4}"/>
            </c:ext>
          </c:extLst>
        </c:ser>
        <c:ser>
          <c:idx val="2"/>
          <c:order val="2"/>
          <c:tx>
            <c:strRef>
              <c:f>Stato_patrimoniale!$A$22</c:f>
              <c:strCache>
                <c:ptCount val="1"/>
                <c:pt idx="0">
                  <c:v>Debiti per trasferimenti e contributi (D4)</c:v>
                </c:pt>
              </c:strCache>
            </c:strRef>
          </c:tx>
          <c:invertIfNegative val="0"/>
          <c:cat>
            <c:numRef>
              <c:f>Stato_patrimoniale!$B$1:$G$1</c:f>
              <c:numCache>
                <c:formatCode>General</c:formatCod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</c:numCache>
            </c:numRef>
          </c:cat>
          <c:val>
            <c:numRef>
              <c:f>Stato_patrimoniale!$B$22:$G$22</c:f>
              <c:numCache>
                <c:formatCode>#,##0</c:formatCode>
                <c:ptCount val="6"/>
                <c:pt idx="0">
                  <c:v>970464511.55999994</c:v>
                </c:pt>
                <c:pt idx="1">
                  <c:v>834900823.13</c:v>
                </c:pt>
                <c:pt idx="2">
                  <c:v>986427525.90999997</c:v>
                </c:pt>
                <c:pt idx="3">
                  <c:v>773188401.91999996</c:v>
                </c:pt>
                <c:pt idx="4">
                  <c:v>813135598.26999998</c:v>
                </c:pt>
                <c:pt idx="5">
                  <c:v>824690723.04999995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978-494A-A3FF-551A6B06C6B4}"/>
            </c:ext>
          </c:extLst>
        </c:ser>
        <c:ser>
          <c:idx val="3"/>
          <c:order val="3"/>
          <c:tx>
            <c:strRef>
              <c:f>Stato_patrimoniale!$A$25</c:f>
              <c:strCache>
                <c:ptCount val="1"/>
                <c:pt idx="0">
                  <c:v>Altri debiti (D5)</c:v>
                </c:pt>
              </c:strCache>
            </c:strRef>
          </c:tx>
          <c:invertIfNegative val="0"/>
          <c:cat>
            <c:numRef>
              <c:f>Stato_patrimoniale!$B$1:$G$1</c:f>
              <c:numCache>
                <c:formatCode>General</c:formatCod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</c:numCache>
            </c:numRef>
          </c:cat>
          <c:val>
            <c:numRef>
              <c:f>Stato_patrimoniale!$B$25:$G$25</c:f>
              <c:numCache>
                <c:formatCode>#,##0</c:formatCode>
                <c:ptCount val="6"/>
                <c:pt idx="0">
                  <c:v>1102889739.74</c:v>
                </c:pt>
                <c:pt idx="1">
                  <c:v>323344081.18000001</c:v>
                </c:pt>
                <c:pt idx="2">
                  <c:v>409476862.81999999</c:v>
                </c:pt>
                <c:pt idx="3">
                  <c:v>280650656.19</c:v>
                </c:pt>
                <c:pt idx="4">
                  <c:v>373027616.29000002</c:v>
                </c:pt>
                <c:pt idx="5">
                  <c:v>936301341.13999999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978-494A-A3FF-551A6B06C6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17836976"/>
        <c:axId val="617839696"/>
      </c:barChart>
      <c:catAx>
        <c:axId val="617836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617839696"/>
        <c:crosses val="autoZero"/>
        <c:auto val="1"/>
        <c:lblAlgn val="ctr"/>
        <c:lblOffset val="100"/>
        <c:noMultiLvlLbl val="0"/>
      </c:catAx>
      <c:valAx>
        <c:axId val="617839696"/>
        <c:scaling>
          <c:orientation val="minMax"/>
          <c:max val="3500000000"/>
        </c:scaling>
        <c:delete val="0"/>
        <c:axPos val="l"/>
        <c:numFmt formatCode="#,##0" sourceLinked="1"/>
        <c:majorTickMark val="none"/>
        <c:minorTickMark val="none"/>
        <c:tickLblPos val="nextTo"/>
        <c:crossAx val="617836976"/>
        <c:crosses val="autoZero"/>
        <c:crossBetween val="between"/>
        <c:majorUnit val="1000000000"/>
      </c:valAx>
      <c:spPr>
        <a:noFill/>
        <a:ln>
          <a:noFill/>
        </a:ln>
      </c:spPr>
    </c:plotArea>
    <c:legend>
      <c:legendPos val="b"/>
      <c:layout/>
      <c:overlay val="0"/>
      <c:spPr>
        <a:noFill/>
        <a:ln>
          <a:noFill/>
        </a:ln>
      </c:sp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200"/>
      </a:pPr>
      <a:endParaRPr lang="it-IT"/>
    </a:p>
  </c:txPr>
  <c:printSettings>
    <c:headerFooter/>
    <c:pageMargins b="0.75000000000000488" l="0.70000000000000062" r="0.70000000000000062" t="0.75000000000000488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5140016946700559E-2"/>
          <c:y val="1.2121212121212118E-2"/>
          <c:w val="0.85332768443314888"/>
          <c:h val="0.8325141970890001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Stato_patrimoniale!$A$16</c:f>
              <c:strCache>
                <c:ptCount val="1"/>
                <c:pt idx="0">
                  <c:v>Fondo di dotazione (A1)</c:v>
                </c:pt>
              </c:strCache>
            </c:strRef>
          </c:tx>
          <c:invertIfNegative val="0"/>
          <c:cat>
            <c:numRef>
              <c:f>Stato_patrimoniale!$B$1:$G$1</c:f>
              <c:numCache>
                <c:formatCode>General</c:formatCod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</c:numCache>
            </c:numRef>
          </c:cat>
          <c:val>
            <c:numRef>
              <c:f>Stato_patrimoniale!$B$16:$G$16</c:f>
              <c:numCache>
                <c:formatCode>#,##0</c:formatCode>
                <c:ptCount val="6"/>
                <c:pt idx="0">
                  <c:v>-756462737.26999998</c:v>
                </c:pt>
                <c:pt idx="1">
                  <c:v>-756462737.26999998</c:v>
                </c:pt>
                <c:pt idx="2">
                  <c:v>-462672814.49000001</c:v>
                </c:pt>
                <c:pt idx="3">
                  <c:v>-462672814.49000001</c:v>
                </c:pt>
                <c:pt idx="4">
                  <c:v>-462672814.49000001</c:v>
                </c:pt>
                <c:pt idx="5">
                  <c:v>-462672814.49000001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374-44E8-A59E-6B7D2C2D3CAD}"/>
            </c:ext>
          </c:extLst>
        </c:ser>
        <c:ser>
          <c:idx val="1"/>
          <c:order val="1"/>
          <c:tx>
            <c:strRef>
              <c:f>Stato_patrimoniale!$A$17</c:f>
              <c:strCache>
                <c:ptCount val="1"/>
                <c:pt idx="0">
                  <c:v>Riserve (A2)</c:v>
                </c:pt>
              </c:strCache>
            </c:strRef>
          </c:tx>
          <c:invertIfNegative val="0"/>
          <c:cat>
            <c:numRef>
              <c:f>Stato_patrimoniale!$B$1:$G$1</c:f>
              <c:numCache>
                <c:formatCode>General</c:formatCod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</c:numCache>
            </c:numRef>
          </c:cat>
          <c:val>
            <c:numRef>
              <c:f>Stato_patrimoniale!$B$17:$G$17</c:f>
              <c:numCache>
                <c:formatCode>#,##0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4705807.79</c:v>
                </c:pt>
                <c:pt idx="3">
                  <c:v>151945577.91999999</c:v>
                </c:pt>
                <c:pt idx="4">
                  <c:v>257273331.86000001</c:v>
                </c:pt>
                <c:pt idx="5">
                  <c:v>269776098.5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374-44E8-A59E-6B7D2C2D3CAD}"/>
            </c:ext>
          </c:extLst>
        </c:ser>
        <c:ser>
          <c:idx val="2"/>
          <c:order val="2"/>
          <c:tx>
            <c:strRef>
              <c:f>Stato_patrimoniale!$A$18</c:f>
              <c:strCache>
                <c:ptCount val="1"/>
                <c:pt idx="0">
                  <c:v>Risultato economico dell'esercizio (A3)</c:v>
                </c:pt>
              </c:strCache>
            </c:strRef>
          </c:tx>
          <c:invertIfNegative val="0"/>
          <c:cat>
            <c:numRef>
              <c:f>Stato_patrimoniale!$B$1:$G$1</c:f>
              <c:numCache>
                <c:formatCode>General</c:formatCod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</c:numCache>
            </c:numRef>
          </c:cat>
          <c:val>
            <c:numRef>
              <c:f>Stato_patrimoniale!$B$18:$G$18</c:f>
              <c:numCache>
                <c:formatCode>#,##0</c:formatCode>
                <c:ptCount val="6"/>
                <c:pt idx="0">
                  <c:v>0</c:v>
                </c:pt>
                <c:pt idx="1">
                  <c:v>4705807.79</c:v>
                </c:pt>
                <c:pt idx="2">
                  <c:v>147239770.13</c:v>
                </c:pt>
                <c:pt idx="3">
                  <c:v>76835377.640000001</c:v>
                </c:pt>
                <c:pt idx="4">
                  <c:v>72546797.540000007</c:v>
                </c:pt>
                <c:pt idx="5">
                  <c:v>70599498.150000006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374-44E8-A59E-6B7D2C2D3C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17841328"/>
        <c:axId val="617833168"/>
      </c:barChart>
      <c:catAx>
        <c:axId val="6178413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400"/>
            </a:pPr>
            <a:endParaRPr lang="it-IT"/>
          </a:p>
        </c:txPr>
        <c:crossAx val="617833168"/>
        <c:crosses val="autoZero"/>
        <c:auto val="1"/>
        <c:lblAlgn val="ctr"/>
        <c:lblOffset val="100"/>
        <c:noMultiLvlLbl val="0"/>
      </c:catAx>
      <c:valAx>
        <c:axId val="617833168"/>
        <c:scaling>
          <c:orientation val="minMax"/>
        </c:scaling>
        <c:delete val="0"/>
        <c:axPos val="b"/>
        <c:numFmt formatCode="#,##0" sourceLinked="0"/>
        <c:majorTickMark val="none"/>
        <c:minorTickMark val="none"/>
        <c:tickLblPos val="nextTo"/>
        <c:crossAx val="617841328"/>
        <c:crosses val="autoZero"/>
        <c:crossBetween val="between"/>
        <c:majorUnit val="500000000"/>
      </c:valAx>
      <c:spPr>
        <a:noFill/>
        <a:ln>
          <a:noFill/>
        </a:ln>
      </c:spPr>
    </c:plotArea>
    <c:legend>
      <c:legendPos val="b"/>
      <c:overlay val="0"/>
      <c:spPr>
        <a:noFill/>
        <a:ln>
          <a:noFill/>
        </a:ln>
      </c:sp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200"/>
      </a:pPr>
      <a:endParaRPr lang="it-IT"/>
    </a:p>
  </c:txPr>
  <c:printSettings>
    <c:headerFooter/>
    <c:pageMargins b="0.75000000000000488" l="0.70000000000000062" r="0.70000000000000062" t="0.75000000000000488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6133228191836882E-2"/>
          <c:y val="3.0301278829508296E-2"/>
          <c:w val="0.91226637907374442"/>
          <c:h val="0.68340956050706358"/>
        </c:manualLayout>
      </c:layout>
      <c:lineChart>
        <c:grouping val="standard"/>
        <c:varyColors val="0"/>
        <c:ser>
          <c:idx val="0"/>
          <c:order val="0"/>
          <c:tx>
            <c:strRef>
              <c:f>Piano_indicatori!$A$73</c:f>
              <c:strCache>
                <c:ptCount val="1"/>
                <c:pt idx="0">
                  <c:v>Entrate natura tributaria, contributiva e perequativa (Titolo 1)</c:v>
                </c:pt>
              </c:strCache>
            </c:strRef>
          </c:tx>
          <c:marker>
            <c:symbol val="triangle"/>
            <c:size val="5"/>
          </c:marker>
          <c:cat>
            <c:numRef>
              <c:f>Piano_indicatori!$D$1:$H$1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Piano_indicatori!$D$74:$H$74</c:f>
              <c:numCache>
                <c:formatCode>0.00</c:formatCode>
                <c:ptCount val="5"/>
                <c:pt idx="0">
                  <c:v>77.17</c:v>
                </c:pt>
                <c:pt idx="1">
                  <c:v>70.67</c:v>
                </c:pt>
                <c:pt idx="2">
                  <c:v>74.64</c:v>
                </c:pt>
                <c:pt idx="3">
                  <c:v>79.600232280282427</c:v>
                </c:pt>
                <c:pt idx="4">
                  <c:v>80.680000000000007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D3F0-4554-BA49-E20421A575FC}"/>
            </c:ext>
          </c:extLst>
        </c:ser>
        <c:ser>
          <c:idx val="1"/>
          <c:order val="1"/>
          <c:tx>
            <c:strRef>
              <c:f>Piano_indicatori!$A$77</c:f>
              <c:strCache>
                <c:ptCount val="1"/>
                <c:pt idx="0">
                  <c:v>Totale Entrate</c:v>
                </c:pt>
              </c:strCache>
            </c:strRef>
          </c:tx>
          <c:marker>
            <c:symbol val="square"/>
            <c:size val="5"/>
          </c:marker>
          <c:cat>
            <c:numRef>
              <c:f>Piano_indicatori!$D$1:$H$1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Piano_indicatori!$D$77:$H$77</c:f>
              <c:numCache>
                <c:formatCode>0.00</c:formatCode>
                <c:ptCount val="5"/>
                <c:pt idx="0">
                  <c:v>72.248808294314841</c:v>
                </c:pt>
                <c:pt idx="1">
                  <c:v>65.471327943243367</c:v>
                </c:pt>
                <c:pt idx="2">
                  <c:v>72.569036439049867</c:v>
                </c:pt>
                <c:pt idx="3">
                  <c:v>75.996483383683156</c:v>
                </c:pt>
                <c:pt idx="4">
                  <c:v>76.219925535644805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3F0-4554-BA49-E20421A575FC}"/>
            </c:ext>
          </c:extLst>
        </c:ser>
        <c:ser>
          <c:idx val="2"/>
          <c:order val="2"/>
          <c:tx>
            <c:strRef>
              <c:f>Piano_indicatori!$A$78</c:f>
              <c:strCache>
                <c:ptCount val="1"/>
                <c:pt idx="0">
                  <c:v>Totale Entrate nette</c:v>
                </c:pt>
              </c:strCache>
            </c:strRef>
          </c:tx>
          <c:marker>
            <c:symbol val="diamond"/>
            <c:size val="7"/>
          </c:marker>
          <c:cat>
            <c:numRef>
              <c:f>Piano_indicatori!$D$1:$H$1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Piano_indicatori!$D$78:$H$78</c:f>
              <c:numCache>
                <c:formatCode>0.00</c:formatCode>
                <c:ptCount val="5"/>
                <c:pt idx="0">
                  <c:v>71.966911249641313</c:v>
                </c:pt>
                <c:pt idx="1">
                  <c:v>65.882794149161555</c:v>
                </c:pt>
                <c:pt idx="2">
                  <c:v>70.803527962227221</c:v>
                </c:pt>
                <c:pt idx="3">
                  <c:v>73.984220783696003</c:v>
                </c:pt>
                <c:pt idx="4">
                  <c:v>74.382928466313885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D3F0-4554-BA49-E20421A575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7842416"/>
        <c:axId val="617842960"/>
      </c:lineChart>
      <c:catAx>
        <c:axId val="617842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617842960"/>
        <c:crosses val="autoZero"/>
        <c:auto val="1"/>
        <c:lblAlgn val="ctr"/>
        <c:lblOffset val="100"/>
        <c:noMultiLvlLbl val="0"/>
      </c:catAx>
      <c:valAx>
        <c:axId val="617842960"/>
        <c:scaling>
          <c:orientation val="minMax"/>
          <c:max val="82"/>
          <c:min val="65"/>
        </c:scaling>
        <c:delete val="0"/>
        <c:axPos val="l"/>
        <c:numFmt formatCode="0" sourceLinked="0"/>
        <c:majorTickMark val="none"/>
        <c:minorTickMark val="none"/>
        <c:tickLblPos val="nextTo"/>
        <c:spPr>
          <a:ln>
            <a:noFill/>
          </a:ln>
        </c:spPr>
        <c:crossAx val="617842416"/>
        <c:crosses val="autoZero"/>
        <c:crossBetween val="between"/>
        <c:majorUnit val="5"/>
      </c:valAx>
      <c:spPr>
        <a:noFill/>
        <a:ln>
          <a:noFill/>
        </a:ln>
      </c:spPr>
    </c:plotArea>
    <c:legend>
      <c:legendPos val="b"/>
      <c:layout>
        <c:manualLayout>
          <c:xMode val="edge"/>
          <c:yMode val="edge"/>
          <c:x val="2.5626467744163592E-2"/>
          <c:y val="0.8204319539844801"/>
          <c:w val="0.9617796744479159"/>
          <c:h val="0.17956804601552606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sz="1200"/>
          </a:pPr>
          <a:endParaRPr lang="it-IT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/>
      </a:pPr>
      <a:endParaRPr lang="it-IT"/>
    </a:p>
  </c:txPr>
  <c:printSettings>
    <c:headerFooter/>
    <c:pageMargins b="0.750000000000005" l="0.70000000000000062" r="0.70000000000000062" t="0.75000000000000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478781011404414E-2"/>
          <c:y val="4.1350142172088745E-2"/>
          <c:w val="0.9029842635309353"/>
          <c:h val="0.6449533600472968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Piano_indicatori!$B$80</c:f>
              <c:strCache>
                <c:ptCount val="1"/>
                <c:pt idx="0">
                  <c:v>Istruzione e diritto allo studio</c:v>
                </c:pt>
              </c:strCache>
            </c:strRef>
          </c:tx>
          <c:spPr>
            <a:solidFill>
              <a:schemeClr val="accent5">
                <a:lumMod val="50000"/>
              </a:schemeClr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Piano_indicatori!$D$1:$H$1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Piano_indicatori!$D$80:$H$80</c:f>
              <c:numCache>
                <c:formatCode>0.00</c:formatCode>
                <c:ptCount val="5"/>
                <c:pt idx="0">
                  <c:v>0.8419305110873947</c:v>
                </c:pt>
                <c:pt idx="1">
                  <c:v>0.70938756207141163</c:v>
                </c:pt>
                <c:pt idx="2">
                  <c:v>0.7072294566681635</c:v>
                </c:pt>
                <c:pt idx="3">
                  <c:v>0.66956419593562777</c:v>
                </c:pt>
                <c:pt idx="4">
                  <c:v>0.54670233802489243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3AA-4FC4-8050-8C2A7299C75D}"/>
            </c:ext>
          </c:extLst>
        </c:ser>
        <c:ser>
          <c:idx val="1"/>
          <c:order val="1"/>
          <c:tx>
            <c:strRef>
              <c:f>Piano_indicatori!$B$81</c:f>
              <c:strCache>
                <c:ptCount val="1"/>
                <c:pt idx="0">
                  <c:v>Sviluppo sostenibile, tutela territ. e ambiente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Piano_indicatori!$D$1:$H$1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Piano_indicatori!$D$81:$H$81</c:f>
              <c:numCache>
                <c:formatCode>0.00</c:formatCode>
                <c:ptCount val="5"/>
                <c:pt idx="0">
                  <c:v>1.5889956124748015</c:v>
                </c:pt>
                <c:pt idx="1">
                  <c:v>1.5606526365571058</c:v>
                </c:pt>
                <c:pt idx="2">
                  <c:v>1.773686573866188</c:v>
                </c:pt>
                <c:pt idx="3">
                  <c:v>1.4448490543874075</c:v>
                </c:pt>
                <c:pt idx="4">
                  <c:v>1.1748284285215773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3AA-4FC4-8050-8C2A7299C75D}"/>
            </c:ext>
          </c:extLst>
        </c:ser>
        <c:ser>
          <c:idx val="2"/>
          <c:order val="2"/>
          <c:tx>
            <c:strRef>
              <c:f>Piano_indicatori!$B$82</c:f>
              <c:strCache>
                <c:ptCount val="1"/>
                <c:pt idx="0">
                  <c:v>Trasporti e diritto alla mobilità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Piano_indicatori!$D$1:$H$1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Piano_indicatori!$D$82:$H$82</c:f>
              <c:numCache>
                <c:formatCode>0.00</c:formatCode>
                <c:ptCount val="5"/>
                <c:pt idx="0">
                  <c:v>5.9409462824617574</c:v>
                </c:pt>
                <c:pt idx="1">
                  <c:v>6.5854812012296051</c:v>
                </c:pt>
                <c:pt idx="2">
                  <c:v>6.2640323304894485</c:v>
                </c:pt>
                <c:pt idx="3">
                  <c:v>7.5649007400446386</c:v>
                </c:pt>
                <c:pt idx="4">
                  <c:v>7.5026171920437363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3AA-4FC4-8050-8C2A7299C75D}"/>
            </c:ext>
          </c:extLst>
        </c:ser>
        <c:ser>
          <c:idx val="3"/>
          <c:order val="3"/>
          <c:tx>
            <c:strRef>
              <c:f>Piano_indicatori!$B$83</c:f>
              <c:strCache>
                <c:ptCount val="1"/>
                <c:pt idx="0">
                  <c:v>Diritti sociali, politiche sociali e famiglia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Piano_indicatori!$D$1:$H$1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Piano_indicatori!$D$83:$H$83</c:f>
              <c:numCache>
                <c:formatCode>0.00</c:formatCode>
                <c:ptCount val="5"/>
                <c:pt idx="0">
                  <c:v>1.5889956124748015</c:v>
                </c:pt>
                <c:pt idx="1">
                  <c:v>1.4424213762118705</c:v>
                </c:pt>
                <c:pt idx="2">
                  <c:v>1.3920071845532105</c:v>
                </c:pt>
                <c:pt idx="3">
                  <c:v>1.7855045224950077</c:v>
                </c:pt>
                <c:pt idx="4">
                  <c:v>2.0239618471559848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3AA-4FC4-8050-8C2A7299C75D}"/>
            </c:ext>
          </c:extLst>
        </c:ser>
        <c:ser>
          <c:idx val="4"/>
          <c:order val="4"/>
          <c:tx>
            <c:strRef>
              <c:f>Piano_indicatori!$B$84</c:f>
              <c:strCache>
                <c:ptCount val="1"/>
                <c:pt idx="0">
                  <c:v>Tutela della salute </c:v>
                </c:pt>
              </c:strCache>
            </c:strRef>
          </c:tx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Piano_indicatori!$D$1:$H$1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Piano_indicatori!$D$84:$H$84</c:f>
              <c:numCache>
                <c:formatCode>0.00</c:formatCode>
                <c:ptCount val="5"/>
                <c:pt idx="0">
                  <c:v>73.46140163642832</c:v>
                </c:pt>
                <c:pt idx="1">
                  <c:v>78.091747458027911</c:v>
                </c:pt>
                <c:pt idx="2">
                  <c:v>78.165693758419394</c:v>
                </c:pt>
                <c:pt idx="3">
                  <c:v>73.722541994596497</c:v>
                </c:pt>
                <c:pt idx="4">
                  <c:v>73.176689542863784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FD5-4A17-A608-8A9818EEE9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17844048"/>
        <c:axId val="404587152"/>
      </c:barChart>
      <c:catAx>
        <c:axId val="617844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400"/>
            </a:pPr>
            <a:endParaRPr lang="it-IT"/>
          </a:p>
        </c:txPr>
        <c:crossAx val="404587152"/>
        <c:crosses val="autoZero"/>
        <c:auto val="1"/>
        <c:lblAlgn val="ctr"/>
        <c:lblOffset val="100"/>
        <c:noMultiLvlLbl val="0"/>
      </c:catAx>
      <c:valAx>
        <c:axId val="404587152"/>
        <c:scaling>
          <c:orientation val="minMax"/>
          <c:max val="90"/>
          <c:min val="0"/>
        </c:scaling>
        <c:delete val="0"/>
        <c:axPos val="l"/>
        <c:numFmt formatCode="0" sourceLinked="0"/>
        <c:majorTickMark val="none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400"/>
            </a:pPr>
            <a:endParaRPr lang="it-IT"/>
          </a:p>
        </c:txPr>
        <c:crossAx val="617844048"/>
        <c:crosses val="autoZero"/>
        <c:crossBetween val="between"/>
        <c:majorUnit val="20"/>
      </c:valAx>
      <c:spPr>
        <a:noFill/>
        <a:ln>
          <a:noFill/>
        </a:ln>
      </c:spPr>
    </c:plotArea>
    <c:legend>
      <c:legendPos val="b"/>
      <c:layout>
        <c:manualLayout>
          <c:xMode val="edge"/>
          <c:yMode val="edge"/>
          <c:x val="2.4972222222222232E-2"/>
          <c:y val="0.7808438359249632"/>
          <c:w val="0.45563394884009523"/>
          <c:h val="0.21915616407503691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sz="1200"/>
          </a:pPr>
          <a:endParaRPr lang="it-IT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5" l="0.70000000000000062" r="0.70000000000000062" t="0.75000000000000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6133073571989068E-2"/>
          <c:y val="3.03012788295083E-2"/>
          <c:w val="0.9122665336936"/>
          <c:h val="0.71915787122354546"/>
        </c:manualLayout>
      </c:layout>
      <c:lineChart>
        <c:grouping val="standard"/>
        <c:varyColors val="0"/>
        <c:ser>
          <c:idx val="0"/>
          <c:order val="0"/>
          <c:tx>
            <c:strRef>
              <c:f>Piano_indicatori!$B$86</c:f>
              <c:strCache>
                <c:ptCount val="1"/>
                <c:pt idx="0">
                  <c:v>Istruzione e diritto allo studio</c:v>
                </c:pt>
              </c:strCache>
            </c:strRef>
          </c:tx>
          <c:marker>
            <c:symbol val="triangle"/>
            <c:size val="5"/>
            <c:spPr>
              <a:solidFill>
                <a:srgbClr val="4BACC6">
                  <a:lumMod val="40000"/>
                  <a:lumOff val="60000"/>
                </a:srgbClr>
              </a:solidFill>
            </c:spPr>
          </c:marker>
          <c:cat>
            <c:numRef>
              <c:f>Piano_indicatori!$D$1:$H$1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Piano_indicatori!$D$86:$H$86</c:f>
              <c:numCache>
                <c:formatCode>0.00</c:formatCode>
                <c:ptCount val="5"/>
                <c:pt idx="0">
                  <c:v>79.8</c:v>
                </c:pt>
                <c:pt idx="1">
                  <c:v>57.82</c:v>
                </c:pt>
                <c:pt idx="2">
                  <c:v>63.24</c:v>
                </c:pt>
                <c:pt idx="3">
                  <c:v>59.39</c:v>
                </c:pt>
                <c:pt idx="4">
                  <c:v>58.41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73A-469B-84B2-5562AE3617E1}"/>
            </c:ext>
          </c:extLst>
        </c:ser>
        <c:ser>
          <c:idx val="1"/>
          <c:order val="1"/>
          <c:tx>
            <c:strRef>
              <c:f>Piano_indicatori!$B$87</c:f>
              <c:strCache>
                <c:ptCount val="1"/>
                <c:pt idx="0">
                  <c:v>Sviluppo sostenibile, tutela territ. e ambiente</c:v>
                </c:pt>
              </c:strCache>
            </c:strRef>
          </c:tx>
          <c:marker>
            <c:symbol val="square"/>
            <c:size val="5"/>
          </c:marker>
          <c:cat>
            <c:numRef>
              <c:f>Piano_indicatori!$D$1:$H$1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Piano_indicatori!$D$87:$H$87</c:f>
              <c:numCache>
                <c:formatCode>0.00</c:formatCode>
                <c:ptCount val="5"/>
                <c:pt idx="0">
                  <c:v>48.19</c:v>
                </c:pt>
                <c:pt idx="1">
                  <c:v>65.11</c:v>
                </c:pt>
                <c:pt idx="2">
                  <c:v>69.099999999999994</c:v>
                </c:pt>
                <c:pt idx="3">
                  <c:v>59.35</c:v>
                </c:pt>
                <c:pt idx="4">
                  <c:v>75.400000000000006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73A-469B-84B2-5562AE3617E1}"/>
            </c:ext>
          </c:extLst>
        </c:ser>
        <c:ser>
          <c:idx val="2"/>
          <c:order val="2"/>
          <c:tx>
            <c:strRef>
              <c:f>Piano_indicatori!$B$88</c:f>
              <c:strCache>
                <c:ptCount val="1"/>
                <c:pt idx="0">
                  <c:v>Trasporti e diritto alla mobilità</c:v>
                </c:pt>
              </c:strCache>
            </c:strRef>
          </c:tx>
          <c:marker>
            <c:symbol val="diamond"/>
            <c:size val="5"/>
          </c:marker>
          <c:cat>
            <c:numRef>
              <c:f>Piano_indicatori!$D$1:$H$1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Piano_indicatori!$D$88:$H$88</c:f>
              <c:numCache>
                <c:formatCode>0.00</c:formatCode>
                <c:ptCount val="5"/>
                <c:pt idx="0">
                  <c:v>79.73</c:v>
                </c:pt>
                <c:pt idx="1">
                  <c:v>80.56</c:v>
                </c:pt>
                <c:pt idx="2">
                  <c:v>81.78</c:v>
                </c:pt>
                <c:pt idx="3">
                  <c:v>58.85</c:v>
                </c:pt>
                <c:pt idx="4">
                  <c:v>73.069999999999993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773A-469B-84B2-5562AE3617E1}"/>
            </c:ext>
          </c:extLst>
        </c:ser>
        <c:ser>
          <c:idx val="3"/>
          <c:order val="3"/>
          <c:tx>
            <c:strRef>
              <c:f>Piano_indicatori!$B$89</c:f>
              <c:strCache>
                <c:ptCount val="1"/>
                <c:pt idx="0">
                  <c:v>Diritti sociali, politiche sociali e famiglia</c:v>
                </c:pt>
              </c:strCache>
            </c:strRef>
          </c:tx>
          <c:marker>
            <c:symbol val="circle"/>
            <c:size val="5"/>
          </c:marker>
          <c:cat>
            <c:numRef>
              <c:f>Piano_indicatori!$D$1:$H$1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Piano_indicatori!$D$89:$H$89</c:f>
              <c:numCache>
                <c:formatCode>0.00</c:formatCode>
                <c:ptCount val="5"/>
                <c:pt idx="0">
                  <c:v>83.75</c:v>
                </c:pt>
                <c:pt idx="1">
                  <c:v>69.59</c:v>
                </c:pt>
                <c:pt idx="2">
                  <c:v>88.95</c:v>
                </c:pt>
                <c:pt idx="3">
                  <c:v>78.86</c:v>
                </c:pt>
                <c:pt idx="4">
                  <c:v>75.510000000000005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773A-469B-84B2-5562AE3617E1}"/>
            </c:ext>
          </c:extLst>
        </c:ser>
        <c:ser>
          <c:idx val="4"/>
          <c:order val="4"/>
          <c:tx>
            <c:strRef>
              <c:f>Piano_indicatori!$B$90</c:f>
              <c:strCache>
                <c:ptCount val="1"/>
                <c:pt idx="0">
                  <c:v>Tutela della salute </c:v>
                </c:pt>
              </c:strCache>
            </c:strRef>
          </c:tx>
          <c:cat>
            <c:numRef>
              <c:f>Piano_indicatori!$D$1:$H$1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Piano_indicatori!$D$90:$H$90</c:f>
              <c:numCache>
                <c:formatCode>0.00</c:formatCode>
                <c:ptCount val="5"/>
                <c:pt idx="0">
                  <c:v>88.51</c:v>
                </c:pt>
                <c:pt idx="1">
                  <c:v>83.47</c:v>
                </c:pt>
                <c:pt idx="2">
                  <c:v>87.89</c:v>
                </c:pt>
                <c:pt idx="3">
                  <c:v>89.03</c:v>
                </c:pt>
                <c:pt idx="4">
                  <c:v>90.08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5A5-47C2-8CBC-1B18FE515A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4589328"/>
        <c:axId val="404574640"/>
      </c:lineChart>
      <c:catAx>
        <c:axId val="404589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>
            <a:noFill/>
          </a:ln>
        </c:spPr>
        <c:crossAx val="404574640"/>
        <c:crosses val="autoZero"/>
        <c:auto val="1"/>
        <c:lblAlgn val="ctr"/>
        <c:lblOffset val="100"/>
        <c:noMultiLvlLbl val="0"/>
      </c:catAx>
      <c:valAx>
        <c:axId val="404574640"/>
        <c:scaling>
          <c:orientation val="minMax"/>
          <c:max val="92"/>
          <c:min val="40"/>
        </c:scaling>
        <c:delete val="0"/>
        <c:axPos val="l"/>
        <c:numFmt formatCode="0" sourceLinked="0"/>
        <c:majorTickMark val="none"/>
        <c:minorTickMark val="none"/>
        <c:tickLblPos val="nextTo"/>
        <c:spPr>
          <a:ln>
            <a:noFill/>
          </a:ln>
        </c:spPr>
        <c:crossAx val="404589328"/>
        <c:crosses val="autoZero"/>
        <c:crossBetween val="between"/>
        <c:majorUnit val="10"/>
      </c:valAx>
      <c:spPr>
        <a:noFill/>
        <a:ln>
          <a:noFill/>
        </a:ln>
      </c:spPr>
    </c:plotArea>
    <c:legend>
      <c:legendPos val="b"/>
      <c:layout>
        <c:manualLayout>
          <c:xMode val="edge"/>
          <c:yMode val="edge"/>
          <c:x val="7.9534903497887523E-3"/>
          <c:y val="0.85234684760149848"/>
          <c:w val="0.96716740304369175"/>
          <c:h val="0.14765315239850338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sz="1200"/>
          </a:pPr>
          <a:endParaRPr lang="it-IT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/>
      </a:pPr>
      <a:endParaRPr lang="it-IT"/>
    </a:p>
  </c:txPr>
  <c:printSettings>
    <c:headerFooter/>
    <c:pageMargins b="0.75000000000000522" l="0.70000000000000062" r="0.70000000000000062" t="0.75000000000000522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8183603338242546E-3"/>
          <c:y val="4.0627885503231764E-2"/>
          <c:w val="0.9685812469317624"/>
          <c:h val="0.7618592274303669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Piano_indicatori!$B$20</c:f>
              <c:strCache>
                <c:ptCount val="1"/>
                <c:pt idx="0">
                  <c:v>Spesa di personale procapite</c:v>
                </c:pt>
              </c:strCache>
            </c:strRef>
          </c:tx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00B0F0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Piano_indicatori!$D$1:$H$1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Piano_indicatori!$D$20:$H$20</c:f>
              <c:numCache>
                <c:formatCode>0.00</c:formatCode>
                <c:ptCount val="5"/>
                <c:pt idx="0">
                  <c:v>40.130000000000003</c:v>
                </c:pt>
                <c:pt idx="1">
                  <c:v>40.61</c:v>
                </c:pt>
                <c:pt idx="2">
                  <c:v>40.85</c:v>
                </c:pt>
                <c:pt idx="3">
                  <c:v>46.38</c:v>
                </c:pt>
                <c:pt idx="4">
                  <c:v>48.77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031-4E19-98D9-D92F9A6181BB}"/>
            </c:ext>
          </c:extLst>
        </c:ser>
        <c:ser>
          <c:idx val="1"/>
          <c:order val="1"/>
          <c:tx>
            <c:strRef>
              <c:f>Piano_indicatori!$B$91</c:f>
              <c:strCache>
                <c:ptCount val="1"/>
                <c:pt idx="0">
                  <c:v>Media Regioni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00B050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Piano_indicatori!$D$1:$H$1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Piano_indicatori!$D$92:$H$92</c:f>
              <c:numCache>
                <c:formatCode>0.00</c:formatCode>
                <c:ptCount val="5"/>
                <c:pt idx="0">
                  <c:v>93.080814543787938</c:v>
                </c:pt>
                <c:pt idx="1">
                  <c:v>88.060780079821342</c:v>
                </c:pt>
                <c:pt idx="2">
                  <c:v>89.823506154392092</c:v>
                </c:pt>
                <c:pt idx="3">
                  <c:v>92.549410739486376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031-4E19-98D9-D92F9A6181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4576816"/>
        <c:axId val="631930992"/>
      </c:barChart>
      <c:catAx>
        <c:axId val="404576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>
            <a:noFill/>
          </a:ln>
        </c:spPr>
        <c:crossAx val="631930992"/>
        <c:crosses val="autoZero"/>
        <c:auto val="1"/>
        <c:lblAlgn val="ctr"/>
        <c:lblOffset val="100"/>
        <c:noMultiLvlLbl val="0"/>
      </c:catAx>
      <c:valAx>
        <c:axId val="631930992"/>
        <c:scaling>
          <c:orientation val="minMax"/>
        </c:scaling>
        <c:delete val="1"/>
        <c:axPos val="l"/>
        <c:numFmt formatCode="0" sourceLinked="0"/>
        <c:majorTickMark val="none"/>
        <c:minorTickMark val="none"/>
        <c:tickLblPos val="none"/>
        <c:crossAx val="404576816"/>
        <c:crosses val="autoZero"/>
        <c:crossBetween val="between"/>
      </c:valAx>
      <c:spPr>
        <a:noFill/>
        <a:ln>
          <a:noFill/>
        </a:ln>
      </c:spPr>
    </c:plotArea>
    <c:legend>
      <c:legendPos val="b"/>
      <c:legendEntry>
        <c:idx val="0"/>
        <c:delete val="1"/>
      </c:legendEntry>
      <c:layout/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/>
      </a:pPr>
      <a:endParaRPr lang="it-IT"/>
    </a:p>
  </c:txPr>
  <c:printSettings>
    <c:headerFooter/>
    <c:pageMargins b="0.75000000000000522" l="0.70000000000000062" r="0.70000000000000062" t="0.7500000000000052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7" Type="http://schemas.openxmlformats.org/officeDocument/2006/relationships/chart" Target="../charts/chart12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Relationship Id="rId6" Type="http://schemas.openxmlformats.org/officeDocument/2006/relationships/chart" Target="../charts/chart11.xml"/><Relationship Id="rId5" Type="http://schemas.openxmlformats.org/officeDocument/2006/relationships/chart" Target="../charts/chart10.xml"/><Relationship Id="rId4" Type="http://schemas.openxmlformats.org/officeDocument/2006/relationships/chart" Target="../charts/chart9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1333499</xdr:colOff>
      <xdr:row>26</xdr:row>
      <xdr:rowOff>104775</xdr:rowOff>
    </xdr:from>
    <xdr:to>
      <xdr:col>10</xdr:col>
      <xdr:colOff>409575</xdr:colOff>
      <xdr:row>48</xdr:row>
      <xdr:rowOff>180975</xdr:rowOff>
    </xdr:to>
    <xdr:graphicFrame macro="">
      <xdr:nvGraphicFramePr>
        <xdr:cNvPr id="3" name="Gra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1781175</xdr:colOff>
      <xdr:row>53</xdr:row>
      <xdr:rowOff>19049</xdr:rowOff>
    </xdr:from>
    <xdr:to>
      <xdr:col>10</xdr:col>
      <xdr:colOff>581025</xdr:colOff>
      <xdr:row>75</xdr:row>
      <xdr:rowOff>9524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28</xdr:row>
      <xdr:rowOff>133349</xdr:rowOff>
    </xdr:from>
    <xdr:to>
      <xdr:col>10</xdr:col>
      <xdr:colOff>514349</xdr:colOff>
      <xdr:row>45</xdr:row>
      <xdr:rowOff>180974</xdr:rowOff>
    </xdr:to>
    <xdr:graphicFrame macro="">
      <xdr:nvGraphicFramePr>
        <xdr:cNvPr id="3" name="Gra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419098</xdr:colOff>
      <xdr:row>30</xdr:row>
      <xdr:rowOff>38100</xdr:rowOff>
    </xdr:from>
    <xdr:to>
      <xdr:col>7</xdr:col>
      <xdr:colOff>638175</xdr:colOff>
      <xdr:row>50</xdr:row>
      <xdr:rowOff>133350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400050</xdr:colOff>
      <xdr:row>53</xdr:row>
      <xdr:rowOff>85725</xdr:rowOff>
    </xdr:from>
    <xdr:to>
      <xdr:col>7</xdr:col>
      <xdr:colOff>514350</xdr:colOff>
      <xdr:row>75</xdr:row>
      <xdr:rowOff>85725</xdr:rowOff>
    </xdr:to>
    <xdr:graphicFrame macro="">
      <xdr:nvGraphicFramePr>
        <xdr:cNvPr id="3" name="Gra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181</xdr:row>
      <xdr:rowOff>28576</xdr:rowOff>
    </xdr:from>
    <xdr:to>
      <xdr:col>2</xdr:col>
      <xdr:colOff>752475</xdr:colOff>
      <xdr:row>199</xdr:row>
      <xdr:rowOff>180976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552449</xdr:colOff>
      <xdr:row>201</xdr:row>
      <xdr:rowOff>123823</xdr:rowOff>
    </xdr:from>
    <xdr:to>
      <xdr:col>3</xdr:col>
      <xdr:colOff>85724</xdr:colOff>
      <xdr:row>219</xdr:row>
      <xdr:rowOff>104775</xdr:rowOff>
    </xdr:to>
    <xdr:graphicFrame macro="">
      <xdr:nvGraphicFramePr>
        <xdr:cNvPr id="3" name="Gra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221</xdr:row>
      <xdr:rowOff>0</xdr:rowOff>
    </xdr:from>
    <xdr:to>
      <xdr:col>3</xdr:col>
      <xdr:colOff>123825</xdr:colOff>
      <xdr:row>239</xdr:row>
      <xdr:rowOff>152400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97</xdr:row>
      <xdr:rowOff>161924</xdr:rowOff>
    </xdr:from>
    <xdr:to>
      <xdr:col>3</xdr:col>
      <xdr:colOff>123825</xdr:colOff>
      <xdr:row>115</xdr:row>
      <xdr:rowOff>171449</xdr:rowOff>
    </xdr:to>
    <xdr:graphicFrame macro="">
      <xdr:nvGraphicFramePr>
        <xdr:cNvPr id="6" name="Gra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118</xdr:row>
      <xdr:rowOff>142875</xdr:rowOff>
    </xdr:from>
    <xdr:to>
      <xdr:col>3</xdr:col>
      <xdr:colOff>123825</xdr:colOff>
      <xdr:row>136</xdr:row>
      <xdr:rowOff>152400</xdr:rowOff>
    </xdr:to>
    <xdr:graphicFrame macro="">
      <xdr:nvGraphicFramePr>
        <xdr:cNvPr id="10" name="Grafico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139</xdr:row>
      <xdr:rowOff>0</xdr:rowOff>
    </xdr:from>
    <xdr:to>
      <xdr:col>3</xdr:col>
      <xdr:colOff>123825</xdr:colOff>
      <xdr:row>157</xdr:row>
      <xdr:rowOff>9525</xdr:rowOff>
    </xdr:to>
    <xdr:graphicFrame macro="">
      <xdr:nvGraphicFramePr>
        <xdr:cNvPr id="12" name="Grafico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160</xdr:row>
      <xdr:rowOff>0</xdr:rowOff>
    </xdr:from>
    <xdr:to>
      <xdr:col>3</xdr:col>
      <xdr:colOff>123825</xdr:colOff>
      <xdr:row>178</xdr:row>
      <xdr:rowOff>9525</xdr:rowOff>
    </xdr:to>
    <xdr:graphicFrame macro="">
      <xdr:nvGraphicFramePr>
        <xdr:cNvPr id="13" name="Grafico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57148</xdr:colOff>
      <xdr:row>9</xdr:row>
      <xdr:rowOff>19049</xdr:rowOff>
    </xdr:from>
    <xdr:to>
      <xdr:col>9</xdr:col>
      <xdr:colOff>419100</xdr:colOff>
      <xdr:row>26</xdr:row>
      <xdr:rowOff>47625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3"/>
  <sheetViews>
    <sheetView workbookViewId="0">
      <pane xSplit="1" ySplit="2" topLeftCell="G38" activePane="bottomRight" state="frozen"/>
      <selection pane="topRight" activeCell="B1" sqref="B1"/>
      <selection pane="bottomLeft" activeCell="A3" sqref="A3"/>
      <selection pane="bottomRight" activeCell="N3" sqref="N3:O55"/>
    </sheetView>
  </sheetViews>
  <sheetFormatPr defaultRowHeight="14.4" x14ac:dyDescent="0.3"/>
  <cols>
    <col min="1" max="1" width="60.6640625" bestFit="1" customWidth="1"/>
    <col min="2" max="3" width="15.33203125" bestFit="1" customWidth="1"/>
    <col min="4" max="4" width="7.109375" customWidth="1"/>
    <col min="5" max="6" width="15.33203125" bestFit="1" customWidth="1"/>
    <col min="7" max="7" width="7.109375" customWidth="1"/>
    <col min="8" max="9" width="15.33203125" bestFit="1" customWidth="1"/>
    <col min="10" max="10" width="7.109375" customWidth="1"/>
    <col min="11" max="12" width="15.33203125" bestFit="1" customWidth="1"/>
    <col min="13" max="13" width="7.109375" customWidth="1"/>
    <col min="14" max="15" width="15.33203125" bestFit="1" customWidth="1"/>
    <col min="16" max="16" width="7.109375" customWidth="1"/>
  </cols>
  <sheetData>
    <row r="1" spans="1:18" x14ac:dyDescent="0.3">
      <c r="B1" s="113">
        <v>2016</v>
      </c>
      <c r="C1" s="113"/>
      <c r="D1" s="114"/>
      <c r="E1" s="115">
        <v>2017</v>
      </c>
      <c r="F1" s="113"/>
      <c r="G1" s="114"/>
      <c r="H1" s="115">
        <v>2018</v>
      </c>
      <c r="I1" s="113"/>
      <c r="J1" s="114"/>
      <c r="K1" s="115">
        <v>2019</v>
      </c>
      <c r="L1" s="113"/>
      <c r="M1" s="114"/>
      <c r="N1" s="115">
        <v>2020</v>
      </c>
      <c r="O1" s="113"/>
      <c r="P1" s="114"/>
      <c r="Q1" s="112" t="s">
        <v>232</v>
      </c>
      <c r="R1" s="112"/>
    </row>
    <row r="2" spans="1:18" x14ac:dyDescent="0.3">
      <c r="B2" s="17" t="s">
        <v>72</v>
      </c>
      <c r="C2" s="17" t="s">
        <v>73</v>
      </c>
      <c r="D2" s="18" t="s">
        <v>233</v>
      </c>
      <c r="E2" s="23" t="s">
        <v>72</v>
      </c>
      <c r="F2" s="17" t="s">
        <v>73</v>
      </c>
      <c r="G2" s="18" t="s">
        <v>233</v>
      </c>
      <c r="H2" s="23" t="s">
        <v>72</v>
      </c>
      <c r="I2" s="17" t="s">
        <v>73</v>
      </c>
      <c r="J2" s="18" t="s">
        <v>233</v>
      </c>
      <c r="K2" s="23" t="s">
        <v>72</v>
      </c>
      <c r="L2" s="17" t="s">
        <v>73</v>
      </c>
      <c r="M2" s="18" t="s">
        <v>233</v>
      </c>
      <c r="N2" s="23" t="s">
        <v>72</v>
      </c>
      <c r="O2" s="17" t="s">
        <v>73</v>
      </c>
      <c r="P2" s="18" t="s">
        <v>233</v>
      </c>
      <c r="Q2" s="12" t="s">
        <v>72</v>
      </c>
      <c r="R2" s="12" t="s">
        <v>73</v>
      </c>
    </row>
    <row r="3" spans="1:18" x14ac:dyDescent="0.3">
      <c r="A3" t="s">
        <v>19</v>
      </c>
      <c r="B3" s="28">
        <v>3370842026.4000001</v>
      </c>
      <c r="C3" s="28">
        <v>2863724512.6500001</v>
      </c>
      <c r="D3" s="20">
        <f>IF(B3&gt;0,C3/B3*100,"-")</f>
        <v>84.955761504742114</v>
      </c>
      <c r="E3" s="28">
        <v>3332748908.8099999</v>
      </c>
      <c r="F3" s="28">
        <v>2720249527.2600002</v>
      </c>
      <c r="G3" s="20">
        <f>IF(E3&gt;0,F3/E3*100,"-")</f>
        <v>81.621796351627935</v>
      </c>
      <c r="H3" s="28">
        <v>3330972971.3699999</v>
      </c>
      <c r="I3" s="28">
        <v>2824887713.4099998</v>
      </c>
      <c r="J3" s="20">
        <f>IF(H3&gt;0,I3/H3*100,"-")</f>
        <v>84.806683743463353</v>
      </c>
      <c r="K3" s="28">
        <v>3353412039.7199998</v>
      </c>
      <c r="L3" s="28">
        <v>2992487268.3099999</v>
      </c>
      <c r="M3" s="20">
        <f>IF(K3&gt;0,L3/K3*100,"-")</f>
        <v>89.237088459903774</v>
      </c>
      <c r="N3" s="28">
        <v>3438220291.9000001</v>
      </c>
      <c r="O3" s="28">
        <v>3081839818.46</v>
      </c>
      <c r="P3" s="20">
        <f>IF(N3&gt;0,O3/N3*100,"-")</f>
        <v>89.634739976388772</v>
      </c>
      <c r="Q3" s="13">
        <f t="shared" ref="Q3:R18" si="0">IF(K3&gt;0,N3/K3*100-100,"-")</f>
        <v>2.5290137679317723</v>
      </c>
      <c r="R3" s="13">
        <f t="shared" si="0"/>
        <v>2.9858957495402052</v>
      </c>
    </row>
    <row r="4" spans="1:18" x14ac:dyDescent="0.3">
      <c r="A4" t="s">
        <v>20</v>
      </c>
      <c r="B4" s="28">
        <v>602652234.58000004</v>
      </c>
      <c r="C4" s="28">
        <v>534965485.38999999</v>
      </c>
      <c r="D4" s="20">
        <f t="shared" ref="D4:D21" si="1">IF(B4&gt;0,C4/B4*100,"-")</f>
        <v>88.768522655993749</v>
      </c>
      <c r="E4" s="28">
        <v>643919173.36000001</v>
      </c>
      <c r="F4" s="28">
        <v>452132962.02999997</v>
      </c>
      <c r="G4" s="20">
        <f t="shared" ref="G4:G21" si="2">IF(E4&gt;0,F4/E4*100,"-")</f>
        <v>70.215794269760494</v>
      </c>
      <c r="H4" s="28">
        <v>671830880.11000001</v>
      </c>
      <c r="I4" s="28">
        <v>528763816.37</v>
      </c>
      <c r="J4" s="20">
        <f t="shared" ref="J4:J13" si="3">IF(H4&gt;0,I4/H4*100,"-")</f>
        <v>78.704899108451912</v>
      </c>
      <c r="K4" s="28">
        <v>601157921.88999999</v>
      </c>
      <c r="L4" s="28">
        <v>404604346.80000001</v>
      </c>
      <c r="M4" s="20">
        <f t="shared" ref="M4:M21" si="4">IF(K4&gt;0,L4/K4*100,"-")</f>
        <v>67.304169514717742</v>
      </c>
      <c r="N4" s="28">
        <v>706873149.65999997</v>
      </c>
      <c r="O4" s="28">
        <v>505011058.38</v>
      </c>
      <c r="P4" s="20">
        <f t="shared" ref="P4:P21" si="5">IF(N4&gt;0,O4/N4*100,"-")</f>
        <v>71.442953891077352</v>
      </c>
      <c r="Q4" s="13">
        <f t="shared" si="0"/>
        <v>17.585267351653357</v>
      </c>
      <c r="R4" s="13">
        <f t="shared" si="0"/>
        <v>24.816023943912796</v>
      </c>
    </row>
    <row r="5" spans="1:18" x14ac:dyDescent="0.3">
      <c r="A5" t="s">
        <v>21</v>
      </c>
      <c r="B5" s="28">
        <v>102346350.17</v>
      </c>
      <c r="C5" s="28">
        <v>89550321.659999996</v>
      </c>
      <c r="D5" s="20">
        <f t="shared" si="1"/>
        <v>87.497327956741529</v>
      </c>
      <c r="E5" s="28">
        <v>101695845.42</v>
      </c>
      <c r="F5" s="28">
        <v>76610401.579999998</v>
      </c>
      <c r="G5" s="20">
        <f t="shared" si="2"/>
        <v>75.332872511754971</v>
      </c>
      <c r="H5" s="28">
        <v>61424410.020000003</v>
      </c>
      <c r="I5" s="28">
        <v>55237456.740000002</v>
      </c>
      <c r="J5" s="20">
        <f t="shared" si="3"/>
        <v>89.927533242915132</v>
      </c>
      <c r="K5" s="28">
        <v>221689739.05000001</v>
      </c>
      <c r="L5" s="28">
        <v>213748358.47999999</v>
      </c>
      <c r="M5" s="20">
        <f t="shared" si="4"/>
        <v>96.417795156406001</v>
      </c>
      <c r="N5" s="28">
        <v>209313380.08000001</v>
      </c>
      <c r="O5" s="28">
        <v>199581922.55000001</v>
      </c>
      <c r="P5" s="20">
        <f t="shared" si="5"/>
        <v>95.350771400146215</v>
      </c>
      <c r="Q5" s="13">
        <f t="shared" si="0"/>
        <v>-5.582738751480349</v>
      </c>
      <c r="R5" s="13">
        <f t="shared" si="0"/>
        <v>-6.6276232625784104</v>
      </c>
    </row>
    <row r="6" spans="1:18" x14ac:dyDescent="0.3">
      <c r="A6" t="s">
        <v>22</v>
      </c>
      <c r="B6" s="28">
        <v>0</v>
      </c>
      <c r="C6" s="28">
        <v>0</v>
      </c>
      <c r="D6" s="20" t="str">
        <f t="shared" si="1"/>
        <v>-</v>
      </c>
      <c r="E6" s="28">
        <v>0</v>
      </c>
      <c r="F6" s="28">
        <v>0</v>
      </c>
      <c r="G6" s="20" t="str">
        <f t="shared" si="2"/>
        <v>-</v>
      </c>
      <c r="H6" s="28">
        <v>0</v>
      </c>
      <c r="I6" s="28">
        <v>0</v>
      </c>
      <c r="J6" s="20" t="str">
        <f t="shared" si="3"/>
        <v>-</v>
      </c>
      <c r="K6" s="28">
        <v>0</v>
      </c>
      <c r="L6" s="28">
        <v>0</v>
      </c>
      <c r="M6" s="20" t="str">
        <f t="shared" si="4"/>
        <v>-</v>
      </c>
      <c r="N6" s="28">
        <v>0</v>
      </c>
      <c r="O6" s="28">
        <v>0</v>
      </c>
      <c r="P6" s="20" t="str">
        <f t="shared" si="5"/>
        <v>-</v>
      </c>
      <c r="Q6" s="13" t="str">
        <f t="shared" si="0"/>
        <v>-</v>
      </c>
      <c r="R6" s="13" t="str">
        <f t="shared" si="0"/>
        <v>-</v>
      </c>
    </row>
    <row r="7" spans="1:18" x14ac:dyDescent="0.3">
      <c r="A7" t="s">
        <v>23</v>
      </c>
      <c r="B7" s="28">
        <v>237146135.58000001</v>
      </c>
      <c r="C7" s="28">
        <v>75925372.530000001</v>
      </c>
      <c r="D7" s="20">
        <f t="shared" si="1"/>
        <v>32.016280739429114</v>
      </c>
      <c r="E7" s="28">
        <v>135459373.90000001</v>
      </c>
      <c r="F7" s="28">
        <v>55247944.039999999</v>
      </c>
      <c r="G7" s="20">
        <f t="shared" si="2"/>
        <v>40.785618927181524</v>
      </c>
      <c r="H7" s="28">
        <v>90364075.319999993</v>
      </c>
      <c r="I7" s="28">
        <v>41382606.200000003</v>
      </c>
      <c r="J7" s="20">
        <f t="shared" si="3"/>
        <v>45.79541820513812</v>
      </c>
      <c r="K7" s="28">
        <v>176309979.91</v>
      </c>
      <c r="L7" s="28">
        <v>71298876.5</v>
      </c>
      <c r="M7" s="20">
        <f t="shared" si="4"/>
        <v>40.439501233223183</v>
      </c>
      <c r="N7" s="28">
        <v>171216833.71000001</v>
      </c>
      <c r="O7" s="28">
        <v>27114411.739999998</v>
      </c>
      <c r="P7" s="20">
        <f t="shared" si="5"/>
        <v>15.836300177075618</v>
      </c>
      <c r="Q7" s="13">
        <f t="shared" si="0"/>
        <v>-2.8887452670574021</v>
      </c>
      <c r="R7" s="13">
        <f t="shared" si="0"/>
        <v>-61.97077279331323</v>
      </c>
    </row>
    <row r="8" spans="1:18" x14ac:dyDescent="0.3">
      <c r="A8" t="s">
        <v>24</v>
      </c>
      <c r="B8" s="28">
        <v>0</v>
      </c>
      <c r="C8" s="28">
        <v>0</v>
      </c>
      <c r="D8" s="20" t="str">
        <f t="shared" si="1"/>
        <v>-</v>
      </c>
      <c r="E8" s="28">
        <v>1000000</v>
      </c>
      <c r="F8" s="28">
        <v>0</v>
      </c>
      <c r="G8" s="20">
        <f t="shared" si="2"/>
        <v>0</v>
      </c>
      <c r="H8" s="28">
        <v>0</v>
      </c>
      <c r="I8" s="28">
        <v>0</v>
      </c>
      <c r="J8" s="20" t="str">
        <f t="shared" si="3"/>
        <v>-</v>
      </c>
      <c r="K8" s="28">
        <v>0</v>
      </c>
      <c r="L8" s="28">
        <v>0</v>
      </c>
      <c r="M8" s="20" t="str">
        <f t="shared" si="4"/>
        <v>-</v>
      </c>
      <c r="N8" s="28">
        <v>7751973.6799999997</v>
      </c>
      <c r="O8" s="28">
        <v>7751973.6799999997</v>
      </c>
      <c r="P8" s="20">
        <f t="shared" si="5"/>
        <v>100</v>
      </c>
      <c r="Q8" s="13" t="str">
        <f t="shared" si="0"/>
        <v>-</v>
      </c>
      <c r="R8" s="13" t="str">
        <f t="shared" si="0"/>
        <v>-</v>
      </c>
    </row>
    <row r="9" spans="1:18" x14ac:dyDescent="0.3">
      <c r="A9" t="s">
        <v>25</v>
      </c>
      <c r="B9" s="28">
        <v>1500540</v>
      </c>
      <c r="C9" s="28">
        <v>1500540</v>
      </c>
      <c r="D9" s="20">
        <f t="shared" si="1"/>
        <v>100</v>
      </c>
      <c r="E9" s="28">
        <v>1751868</v>
      </c>
      <c r="F9" s="28">
        <v>1751868</v>
      </c>
      <c r="G9" s="20">
        <f t="shared" si="2"/>
        <v>100</v>
      </c>
      <c r="H9" s="28">
        <v>420000</v>
      </c>
      <c r="I9" s="28">
        <v>420000</v>
      </c>
      <c r="J9" s="20">
        <f t="shared" si="3"/>
        <v>100</v>
      </c>
      <c r="K9" s="28">
        <v>691700</v>
      </c>
      <c r="L9" s="28">
        <v>691700</v>
      </c>
      <c r="M9" s="20">
        <f t="shared" si="4"/>
        <v>100</v>
      </c>
      <c r="N9" s="28">
        <v>0</v>
      </c>
      <c r="O9" s="28">
        <v>0</v>
      </c>
      <c r="P9" s="20" t="str">
        <f t="shared" si="5"/>
        <v>-</v>
      </c>
      <c r="Q9" s="13">
        <f t="shared" si="0"/>
        <v>-100</v>
      </c>
      <c r="R9" s="13">
        <f t="shared" si="0"/>
        <v>-100</v>
      </c>
    </row>
    <row r="10" spans="1:18" x14ac:dyDescent="0.3">
      <c r="A10" t="s">
        <v>26</v>
      </c>
      <c r="B10" s="28">
        <v>0</v>
      </c>
      <c r="C10" s="28">
        <v>0</v>
      </c>
      <c r="D10" s="20" t="str">
        <f t="shared" si="1"/>
        <v>-</v>
      </c>
      <c r="E10" s="28">
        <v>0</v>
      </c>
      <c r="F10" s="28">
        <v>0</v>
      </c>
      <c r="G10" s="20" t="str">
        <f t="shared" si="2"/>
        <v>-</v>
      </c>
      <c r="H10" s="28">
        <v>0</v>
      </c>
      <c r="I10" s="28">
        <v>0</v>
      </c>
      <c r="J10" s="20" t="str">
        <f t="shared" si="3"/>
        <v>-</v>
      </c>
      <c r="K10" s="28">
        <v>0</v>
      </c>
      <c r="L10" s="28">
        <v>0</v>
      </c>
      <c r="M10" s="20" t="str">
        <f t="shared" si="4"/>
        <v>-</v>
      </c>
      <c r="N10" s="28">
        <v>1100000</v>
      </c>
      <c r="O10" s="28">
        <v>1100000</v>
      </c>
      <c r="P10" s="20">
        <f t="shared" si="5"/>
        <v>100</v>
      </c>
      <c r="Q10" s="13" t="str">
        <f t="shared" si="0"/>
        <v>-</v>
      </c>
      <c r="R10" s="13" t="str">
        <f t="shared" si="0"/>
        <v>-</v>
      </c>
    </row>
    <row r="11" spans="1:18" x14ac:dyDescent="0.3">
      <c r="A11" t="s">
        <v>27</v>
      </c>
      <c r="B11" s="28">
        <v>212.24</v>
      </c>
      <c r="C11" s="28">
        <v>212.24</v>
      </c>
      <c r="D11" s="20">
        <f t="shared" si="1"/>
        <v>100</v>
      </c>
      <c r="E11" s="28">
        <v>0</v>
      </c>
      <c r="F11" s="28">
        <v>0</v>
      </c>
      <c r="G11" s="20" t="str">
        <f t="shared" si="2"/>
        <v>-</v>
      </c>
      <c r="H11" s="28">
        <v>433.26</v>
      </c>
      <c r="I11" s="28">
        <v>433.26</v>
      </c>
      <c r="J11" s="20">
        <f t="shared" si="3"/>
        <v>100</v>
      </c>
      <c r="K11" s="28">
        <v>233.07</v>
      </c>
      <c r="L11" s="28">
        <v>233.07</v>
      </c>
      <c r="M11" s="20">
        <f t="shared" si="4"/>
        <v>100</v>
      </c>
      <c r="N11" s="28">
        <v>749.58</v>
      </c>
      <c r="O11" s="28">
        <v>749.58</v>
      </c>
      <c r="P11" s="20">
        <f t="shared" si="5"/>
        <v>100</v>
      </c>
      <c r="Q11" s="13">
        <f t="shared" si="0"/>
        <v>221.61153301583221</v>
      </c>
      <c r="R11" s="13">
        <f t="shared" si="0"/>
        <v>221.61153301583221</v>
      </c>
    </row>
    <row r="12" spans="1:18" x14ac:dyDescent="0.3">
      <c r="A12" t="s">
        <v>28</v>
      </c>
      <c r="B12" s="28">
        <v>10286643.449999999</v>
      </c>
      <c r="C12" s="28">
        <v>10000000</v>
      </c>
      <c r="D12" s="20">
        <f t="shared" si="1"/>
        <v>97.213440405577586</v>
      </c>
      <c r="E12" s="28">
        <v>286643.45</v>
      </c>
      <c r="F12" s="28">
        <v>0</v>
      </c>
      <c r="G12" s="20">
        <f t="shared" si="2"/>
        <v>0</v>
      </c>
      <c r="H12" s="28">
        <f>517100+286643.45</f>
        <v>803743.45</v>
      </c>
      <c r="I12" s="28">
        <v>517100</v>
      </c>
      <c r="J12" s="20">
        <f t="shared" si="3"/>
        <v>64.336449646961356</v>
      </c>
      <c r="K12" s="28">
        <f>329749.53+286643.44</f>
        <v>616392.97</v>
      </c>
      <c r="L12" s="28">
        <v>170711.21</v>
      </c>
      <c r="M12" s="20">
        <f t="shared" si="4"/>
        <v>27.69519094288178</v>
      </c>
      <c r="N12" s="28">
        <v>312058</v>
      </c>
      <c r="O12" s="28">
        <v>0</v>
      </c>
      <c r="P12" s="20">
        <f t="shared" si="5"/>
        <v>0</v>
      </c>
      <c r="Q12" s="13">
        <f t="shared" si="0"/>
        <v>-49.373530330821261</v>
      </c>
      <c r="R12" s="13">
        <f t="shared" si="0"/>
        <v>-100</v>
      </c>
    </row>
    <row r="13" spans="1:18" x14ac:dyDescent="0.3">
      <c r="A13" t="s">
        <v>29</v>
      </c>
      <c r="B13" s="28">
        <v>0</v>
      </c>
      <c r="C13" s="28">
        <v>0</v>
      </c>
      <c r="D13" s="20" t="str">
        <f t="shared" si="1"/>
        <v>-</v>
      </c>
      <c r="E13" s="28">
        <v>0</v>
      </c>
      <c r="F13" s="28">
        <v>0</v>
      </c>
      <c r="G13" s="20" t="str">
        <f t="shared" si="2"/>
        <v>-</v>
      </c>
      <c r="H13" s="28">
        <v>76355610.629999995</v>
      </c>
      <c r="I13" s="28">
        <v>4934344.26</v>
      </c>
      <c r="J13" s="20">
        <f t="shared" si="3"/>
        <v>6.4623204755844155</v>
      </c>
      <c r="K13" s="28">
        <v>190345156.78999999</v>
      </c>
      <c r="L13" s="28">
        <v>80000000</v>
      </c>
      <c r="M13" s="20">
        <f t="shared" si="4"/>
        <v>42.028912817708687</v>
      </c>
      <c r="N13" s="28">
        <v>77593113.120000005</v>
      </c>
      <c r="O13" s="28">
        <v>0</v>
      </c>
      <c r="P13" s="20">
        <f t="shared" si="5"/>
        <v>0</v>
      </c>
      <c r="Q13" s="13">
        <f t="shared" si="0"/>
        <v>-59.235572667811397</v>
      </c>
      <c r="R13" s="13">
        <f t="shared" si="0"/>
        <v>-100</v>
      </c>
    </row>
    <row r="14" spans="1:18" x14ac:dyDescent="0.3">
      <c r="A14" t="s">
        <v>30</v>
      </c>
      <c r="B14" s="28">
        <f t="shared" ref="B14:C14" si="6">SUM(B3:B5)</f>
        <v>4075840611.1500001</v>
      </c>
      <c r="C14" s="28">
        <f t="shared" si="6"/>
        <v>3488240319.6999998</v>
      </c>
      <c r="D14" s="20">
        <f>IF(B14&gt;0,C14/B14*100,"-")</f>
        <v>85.583334886979088</v>
      </c>
      <c r="E14" s="28">
        <f t="shared" ref="E14:F14" si="7">SUM(E3:E5)</f>
        <v>4078363927.5900002</v>
      </c>
      <c r="F14" s="28">
        <f t="shared" si="7"/>
        <v>3248992890.8699999</v>
      </c>
      <c r="G14" s="20">
        <f>IF(E14&gt;0,F14/E14*100,"-")</f>
        <v>79.664123863264578</v>
      </c>
      <c r="H14" s="28">
        <f t="shared" ref="H14:I14" si="8">SUM(H3:H5)</f>
        <v>4064228261.5</v>
      </c>
      <c r="I14" s="28">
        <f t="shared" si="8"/>
        <v>3408888986.5199995</v>
      </c>
      <c r="J14" s="20">
        <f>IF(H14&gt;0,I14/H14*100,"-")</f>
        <v>83.875431378007008</v>
      </c>
      <c r="K14" s="28">
        <f t="shared" ref="K14:L14" si="9">SUM(K3:K5)</f>
        <v>4176259700.6599998</v>
      </c>
      <c r="L14" s="28">
        <f t="shared" si="9"/>
        <v>3610839973.5900002</v>
      </c>
      <c r="M14" s="20">
        <f>IF(K14&gt;0,L14/K14*100,"-")</f>
        <v>86.461097546672136</v>
      </c>
      <c r="N14" s="28">
        <f t="shared" ref="N14:O14" si="10">SUM(N3:N5)</f>
        <v>4354406821.6400003</v>
      </c>
      <c r="O14" s="28">
        <f t="shared" si="10"/>
        <v>3786432799.3900003</v>
      </c>
      <c r="P14" s="20">
        <f>IF(N14&gt;0,O14/N14*100,"-")</f>
        <v>86.956339967424455</v>
      </c>
      <c r="Q14" s="13">
        <f t="shared" si="0"/>
        <v>4.2657098396406496</v>
      </c>
      <c r="R14" s="13">
        <f t="shared" si="0"/>
        <v>4.8629356904294099</v>
      </c>
    </row>
    <row r="15" spans="1:18" x14ac:dyDescent="0.3">
      <c r="A15" t="s">
        <v>31</v>
      </c>
      <c r="B15" s="27">
        <f t="shared" ref="B15:C15" si="11">SUM(B6:B10)</f>
        <v>238646675.58000001</v>
      </c>
      <c r="C15" s="27">
        <f t="shared" si="11"/>
        <v>77425912.530000001</v>
      </c>
      <c r="D15" s="20">
        <f>IF(B15&gt;0,C15/B15*100,"-")</f>
        <v>32.443742340774826</v>
      </c>
      <c r="E15" s="27">
        <f t="shared" ref="E15:F15" si="12">SUM(E6:E10)</f>
        <v>138211241.90000001</v>
      </c>
      <c r="F15" s="27">
        <f t="shared" si="12"/>
        <v>56999812.039999999</v>
      </c>
      <c r="G15" s="20">
        <f>IF(E15&gt;0,F15/E15*100,"-")</f>
        <v>41.241082314592816</v>
      </c>
      <c r="H15" s="27">
        <f t="shared" ref="H15:I15" si="13">SUM(H6:H10)</f>
        <v>90784075.319999993</v>
      </c>
      <c r="I15" s="27">
        <f t="shared" si="13"/>
        <v>41802606.200000003</v>
      </c>
      <c r="J15" s="20">
        <f>IF(H15&gt;0,I15/H15*100,"-")</f>
        <v>46.046188224809477</v>
      </c>
      <c r="K15" s="27">
        <f t="shared" ref="K15:L15" si="14">SUM(K6:K10)</f>
        <v>177001679.91</v>
      </c>
      <c r="L15" s="27">
        <f t="shared" si="14"/>
        <v>71990576.5</v>
      </c>
      <c r="M15" s="20">
        <f>IF(K15&gt;0,L15/K15*100,"-")</f>
        <v>40.672256069323765</v>
      </c>
      <c r="N15" s="27">
        <f t="shared" ref="N15:O15" si="15">SUM(N6:N10)</f>
        <v>180068807.39000002</v>
      </c>
      <c r="O15" s="27">
        <f t="shared" si="15"/>
        <v>35966385.420000002</v>
      </c>
      <c r="P15" s="20">
        <f>IF(N15&gt;0,O15/N15*100,"-")</f>
        <v>19.973690025115015</v>
      </c>
      <c r="Q15" s="13">
        <f t="shared" si="0"/>
        <v>1.7328239379194486</v>
      </c>
      <c r="R15" s="13">
        <f t="shared" si="0"/>
        <v>-50.040148074102447</v>
      </c>
    </row>
    <row r="16" spans="1:18" x14ac:dyDescent="0.3">
      <c r="A16" t="s">
        <v>32</v>
      </c>
      <c r="B16" s="28">
        <f t="shared" ref="B16:C16" si="16">SUM(B11:B13)</f>
        <v>10286855.689999999</v>
      </c>
      <c r="C16" s="28">
        <f t="shared" si="16"/>
        <v>10000212.24</v>
      </c>
      <c r="D16" s="20">
        <f t="shared" si="1"/>
        <v>97.213497898306784</v>
      </c>
      <c r="E16" s="28">
        <f t="shared" ref="E16:F16" si="17">SUM(E11:E13)</f>
        <v>286643.45</v>
      </c>
      <c r="F16" s="28">
        <f t="shared" si="17"/>
        <v>0</v>
      </c>
      <c r="G16" s="20">
        <f t="shared" si="2"/>
        <v>0</v>
      </c>
      <c r="H16" s="28">
        <f t="shared" ref="H16:I16" si="18">SUM(H11:H13)</f>
        <v>77159787.339999989</v>
      </c>
      <c r="I16" s="28">
        <f t="shared" si="18"/>
        <v>5451877.5199999996</v>
      </c>
      <c r="J16" s="20">
        <f t="shared" ref="J16:J21" si="19">IF(H16&gt;0,I16/H16*100,"-")</f>
        <v>7.0656979599705574</v>
      </c>
      <c r="K16" s="28">
        <f t="shared" ref="K16:L16" si="20">SUM(K11:K13)</f>
        <v>190961782.82999998</v>
      </c>
      <c r="L16" s="28">
        <f t="shared" si="20"/>
        <v>80170944.280000001</v>
      </c>
      <c r="M16" s="20">
        <f t="shared" ref="M16:M33" si="21">IF(K16&gt;0,L16/K16*100,"-")</f>
        <v>41.982716694350628</v>
      </c>
      <c r="N16" s="28">
        <f t="shared" ref="N16:O16" si="22">SUM(N11:N13)</f>
        <v>77905920.700000003</v>
      </c>
      <c r="O16" s="28">
        <f t="shared" si="22"/>
        <v>749.58</v>
      </c>
      <c r="P16" s="20">
        <f t="shared" si="5"/>
        <v>9.6216050495889988E-4</v>
      </c>
      <c r="Q16" s="13">
        <f t="shared" si="0"/>
        <v>-59.203396854880516</v>
      </c>
      <c r="R16" s="13">
        <f t="shared" si="0"/>
        <v>-99.999065022862425</v>
      </c>
    </row>
    <row r="17" spans="1:18" x14ac:dyDescent="0.3">
      <c r="A17" t="s">
        <v>33</v>
      </c>
      <c r="B17" s="28">
        <v>115000000</v>
      </c>
      <c r="C17" s="28">
        <v>115000000</v>
      </c>
      <c r="D17" s="20">
        <f t="shared" si="1"/>
        <v>100</v>
      </c>
      <c r="E17" s="28">
        <v>10703937.99</v>
      </c>
      <c r="F17" s="28">
        <v>10703937.99</v>
      </c>
      <c r="G17" s="20">
        <f t="shared" si="2"/>
        <v>100</v>
      </c>
      <c r="H17" s="28">
        <v>23873988.27</v>
      </c>
      <c r="I17" s="28">
        <v>23873988.27</v>
      </c>
      <c r="J17" s="20">
        <f t="shared" si="19"/>
        <v>100</v>
      </c>
      <c r="K17" s="28">
        <v>3925508.01</v>
      </c>
      <c r="L17" s="28">
        <v>3925508.01</v>
      </c>
      <c r="M17" s="20">
        <f t="shared" si="21"/>
        <v>100</v>
      </c>
      <c r="N17" s="28">
        <v>205049950.87</v>
      </c>
      <c r="O17" s="28">
        <v>205049950.87</v>
      </c>
      <c r="P17" s="20">
        <f t="shared" si="5"/>
        <v>100</v>
      </c>
      <c r="Q17" s="13">
        <f t="shared" si="0"/>
        <v>5123.5264925621696</v>
      </c>
      <c r="R17" s="13">
        <f t="shared" si="0"/>
        <v>5123.5264925621696</v>
      </c>
    </row>
    <row r="18" spans="1:18" x14ac:dyDescent="0.3">
      <c r="A18" t="s">
        <v>34</v>
      </c>
      <c r="B18" s="28">
        <v>0</v>
      </c>
      <c r="C18" s="28">
        <v>0</v>
      </c>
      <c r="D18" s="20" t="str">
        <f t="shared" si="1"/>
        <v>-</v>
      </c>
      <c r="E18" s="28">
        <v>0</v>
      </c>
      <c r="F18" s="28">
        <v>0</v>
      </c>
      <c r="G18" s="20" t="str">
        <f t="shared" si="2"/>
        <v>-</v>
      </c>
      <c r="H18" s="28">
        <v>0</v>
      </c>
      <c r="I18" s="28">
        <v>0</v>
      </c>
      <c r="J18" s="20" t="str">
        <f t="shared" si="19"/>
        <v>-</v>
      </c>
      <c r="K18" s="28">
        <v>0</v>
      </c>
      <c r="L18" s="28">
        <v>0</v>
      </c>
      <c r="M18" s="20" t="str">
        <f t="shared" si="21"/>
        <v>-</v>
      </c>
      <c r="N18" s="28">
        <v>0</v>
      </c>
      <c r="O18" s="28">
        <v>0</v>
      </c>
      <c r="P18" s="20" t="str">
        <f t="shared" si="5"/>
        <v>-</v>
      </c>
      <c r="Q18" s="13" t="str">
        <f t="shared" si="0"/>
        <v>-</v>
      </c>
      <c r="R18" s="13" t="str">
        <f t="shared" si="0"/>
        <v>-</v>
      </c>
    </row>
    <row r="19" spans="1:18" x14ac:dyDescent="0.3">
      <c r="A19" t="s">
        <v>35</v>
      </c>
      <c r="B19" s="28">
        <v>845145140.11000001</v>
      </c>
      <c r="C19" s="28">
        <v>732310609.42999995</v>
      </c>
      <c r="D19" s="20">
        <f t="shared" si="1"/>
        <v>86.6490943004992</v>
      </c>
      <c r="E19" s="28">
        <v>776813218.61000001</v>
      </c>
      <c r="F19" s="28">
        <v>600814784.47000003</v>
      </c>
      <c r="G19" s="20">
        <f t="shared" si="2"/>
        <v>77.343532534767519</v>
      </c>
      <c r="H19" s="28">
        <v>526575002.25</v>
      </c>
      <c r="I19" s="28">
        <v>467130968.25999999</v>
      </c>
      <c r="J19" s="20">
        <f t="shared" si="19"/>
        <v>88.711193327445883</v>
      </c>
      <c r="K19" s="28">
        <v>809683118.76999998</v>
      </c>
      <c r="L19" s="28">
        <v>741831781.09000003</v>
      </c>
      <c r="M19" s="20">
        <f t="shared" si="21"/>
        <v>91.620013298156223</v>
      </c>
      <c r="N19" s="28">
        <v>799731455.60000002</v>
      </c>
      <c r="O19" s="28">
        <v>740867327.13999999</v>
      </c>
      <c r="P19" s="20">
        <f t="shared" si="5"/>
        <v>92.639513170600864</v>
      </c>
      <c r="Q19" s="13">
        <f t="shared" ref="Q19:R60" si="23">IF(K19&gt;0,N19/K19*100-100,"-")</f>
        <v>-1.2290812219375056</v>
      </c>
      <c r="R19" s="13">
        <f t="shared" si="23"/>
        <v>-0.13000979124714718</v>
      </c>
    </row>
    <row r="20" spans="1:18" x14ac:dyDescent="0.3">
      <c r="A20" t="s">
        <v>36</v>
      </c>
      <c r="B20" s="28">
        <f t="shared" ref="B20:C20" si="24">B14+B15+B16+B17+B18+B19</f>
        <v>5284919282.5299997</v>
      </c>
      <c r="C20" s="28">
        <f t="shared" si="24"/>
        <v>4422977053.8999996</v>
      </c>
      <c r="D20" s="20">
        <f t="shared" si="1"/>
        <v>83.690531821758114</v>
      </c>
      <c r="E20" s="28">
        <f t="shared" ref="E20:F20" si="25">E14+E15+E16+E17+E18+E19</f>
        <v>5004378969.54</v>
      </c>
      <c r="F20" s="28">
        <f t="shared" si="25"/>
        <v>3917511425.3699999</v>
      </c>
      <c r="G20" s="20">
        <f t="shared" si="2"/>
        <v>78.281669897795453</v>
      </c>
      <c r="H20" s="28">
        <f t="shared" ref="H20:I20" si="26">H14+H15+H16+H17+H18+H19</f>
        <v>4782621114.6800003</v>
      </c>
      <c r="I20" s="28">
        <f t="shared" si="26"/>
        <v>3947148426.7699995</v>
      </c>
      <c r="J20" s="20">
        <f t="shared" si="19"/>
        <v>82.531070978096892</v>
      </c>
      <c r="K20" s="28">
        <f t="shared" ref="K20:L20" si="27">K14+K15+K16+K17+K18+K19</f>
        <v>5357831790.1800003</v>
      </c>
      <c r="L20" s="28">
        <f t="shared" si="27"/>
        <v>4508758783.4700003</v>
      </c>
      <c r="M20" s="20">
        <f t="shared" si="21"/>
        <v>84.152675187261252</v>
      </c>
      <c r="N20" s="28">
        <f t="shared" ref="N20:O20" si="28">N14+N15+N16+N17+N18+N19</f>
        <v>5617162956.2000008</v>
      </c>
      <c r="O20" s="28">
        <f t="shared" si="28"/>
        <v>4768317212.4000006</v>
      </c>
      <c r="P20" s="20">
        <f t="shared" si="5"/>
        <v>84.8883546655331</v>
      </c>
      <c r="Q20" s="13">
        <f t="shared" si="23"/>
        <v>4.8402259752781163</v>
      </c>
      <c r="R20" s="13">
        <f t="shared" si="23"/>
        <v>5.7567601505228652</v>
      </c>
    </row>
    <row r="21" spans="1:18" x14ac:dyDescent="0.3">
      <c r="A21" t="s">
        <v>37</v>
      </c>
      <c r="B21" s="28">
        <f t="shared" ref="B21:C21" si="29">B20-B19</f>
        <v>4439774142.4200001</v>
      </c>
      <c r="C21" s="28">
        <f t="shared" si="29"/>
        <v>3690666444.4699998</v>
      </c>
      <c r="D21" s="20">
        <f t="shared" si="1"/>
        <v>83.127346709089977</v>
      </c>
      <c r="E21" s="28">
        <f t="shared" ref="E21:F21" si="30">E20-E19</f>
        <v>4227565750.9299998</v>
      </c>
      <c r="F21" s="28">
        <f t="shared" si="30"/>
        <v>3316696640.8999996</v>
      </c>
      <c r="G21" s="20">
        <f t="shared" si="2"/>
        <v>78.454052197068179</v>
      </c>
      <c r="H21" s="28">
        <f t="shared" ref="H21:I21" si="31">H20-H19</f>
        <v>4256046112.4300003</v>
      </c>
      <c r="I21" s="28">
        <f t="shared" si="31"/>
        <v>3480017458.5099993</v>
      </c>
      <c r="J21" s="20">
        <f t="shared" si="19"/>
        <v>81.766441588741969</v>
      </c>
      <c r="K21" s="28">
        <f t="shared" ref="K21:L21" si="32">K20-K19</f>
        <v>4548148671.4099998</v>
      </c>
      <c r="L21" s="28">
        <f t="shared" si="32"/>
        <v>3766927002.3800001</v>
      </c>
      <c r="M21" s="20">
        <f t="shared" si="21"/>
        <v>82.823304041470394</v>
      </c>
      <c r="N21" s="28">
        <f t="shared" ref="N21:O21" si="33">N20-N19</f>
        <v>4817431500.6000004</v>
      </c>
      <c r="O21" s="28">
        <f t="shared" si="33"/>
        <v>4027449885.2600007</v>
      </c>
      <c r="P21" s="20">
        <f t="shared" si="5"/>
        <v>83.601601491549815</v>
      </c>
      <c r="Q21" s="13">
        <f t="shared" si="23"/>
        <v>5.9207129899409949</v>
      </c>
      <c r="R21" s="13">
        <f t="shared" si="23"/>
        <v>6.9160587055549172</v>
      </c>
    </row>
    <row r="22" spans="1:18" x14ac:dyDescent="0.3">
      <c r="B22" s="12" t="s">
        <v>74</v>
      </c>
      <c r="C22" s="12" t="s">
        <v>75</v>
      </c>
      <c r="D22" s="18"/>
      <c r="E22" s="12" t="s">
        <v>74</v>
      </c>
      <c r="F22" s="12" t="s">
        <v>75</v>
      </c>
      <c r="G22" s="18"/>
      <c r="H22" s="12" t="s">
        <v>74</v>
      </c>
      <c r="I22" s="12" t="s">
        <v>75</v>
      </c>
      <c r="J22" s="18"/>
      <c r="K22" s="12" t="s">
        <v>74</v>
      </c>
      <c r="L22" s="12" t="s">
        <v>75</v>
      </c>
      <c r="M22" s="18"/>
      <c r="N22" s="12" t="s">
        <v>74</v>
      </c>
      <c r="O22" s="12" t="s">
        <v>75</v>
      </c>
      <c r="P22" s="18"/>
    </row>
    <row r="23" spans="1:18" x14ac:dyDescent="0.3">
      <c r="A23" s="5" t="s">
        <v>38</v>
      </c>
      <c r="B23" s="27">
        <v>59020027.229999997</v>
      </c>
      <c r="C23" s="27">
        <v>56190211.280000001</v>
      </c>
      <c r="D23" s="20">
        <f>IF(B23&gt;0,C23/B23*100,"-")</f>
        <v>95.205329304623575</v>
      </c>
      <c r="E23" s="98">
        <v>59797611.780000001</v>
      </c>
      <c r="F23" s="27">
        <v>57010490.619999997</v>
      </c>
      <c r="G23" s="20">
        <f>IF(E23&gt;0,F23/E23*100,"-")</f>
        <v>95.339076131913032</v>
      </c>
      <c r="H23" s="98">
        <v>59801876.369999997</v>
      </c>
      <c r="I23" s="27">
        <v>56766710.57</v>
      </c>
      <c r="J23" s="20">
        <f>IF(H23&gt;0,I23/H23*100,"-")</f>
        <v>94.924631158358423</v>
      </c>
      <c r="K23" s="98">
        <v>67364075.670000002</v>
      </c>
      <c r="L23" s="27">
        <v>63881565.210000001</v>
      </c>
      <c r="M23" s="20">
        <f>IF(K23&gt;0,L23/K23*100,"-")</f>
        <v>94.83031508209217</v>
      </c>
      <c r="N23" s="98">
        <v>69830596.319999993</v>
      </c>
      <c r="O23" s="27">
        <v>66502875.909999996</v>
      </c>
      <c r="P23" s="20">
        <f>IF(N23&gt;0,O23/N23*100,"-")</f>
        <v>95.234581135823831</v>
      </c>
      <c r="Q23" s="13">
        <f t="shared" si="23"/>
        <v>3.6614777616527761</v>
      </c>
      <c r="R23" s="13">
        <f t="shared" si="23"/>
        <v>4.1033914735540264</v>
      </c>
    </row>
    <row r="24" spans="1:18" x14ac:dyDescent="0.3">
      <c r="A24" s="5" t="s">
        <v>39</v>
      </c>
      <c r="B24" s="27">
        <v>5775480.1699999999</v>
      </c>
      <c r="C24" s="27">
        <v>3931956.46</v>
      </c>
      <c r="D24" s="20">
        <f t="shared" ref="D24:D57" si="34">IF(B24&gt;0,C24/B24*100,"-")</f>
        <v>68.080165531933602</v>
      </c>
      <c r="E24" s="27">
        <v>4571108.8099999996</v>
      </c>
      <c r="F24" s="27">
        <v>4009213.22</v>
      </c>
      <c r="G24" s="20">
        <f t="shared" ref="G24:G57" si="35">IF(E24&gt;0,F24/E24*100,"-")</f>
        <v>87.707674147446085</v>
      </c>
      <c r="H24" s="27">
        <v>4553593</v>
      </c>
      <c r="I24" s="27">
        <v>4009029.91</v>
      </c>
      <c r="J24" s="20">
        <f t="shared" ref="J24:J26" si="36">IF(H24&gt;0,I24/H24*100,"-")</f>
        <v>88.041024088011383</v>
      </c>
      <c r="K24" s="27">
        <v>4948428.95</v>
      </c>
      <c r="L24" s="27">
        <v>4229410.72</v>
      </c>
      <c r="M24" s="20">
        <f t="shared" ref="M24:M57" si="37">IF(K24&gt;0,L24/K24*100,"-")</f>
        <v>85.469767530965555</v>
      </c>
      <c r="N24" s="27">
        <v>5156292.78</v>
      </c>
      <c r="O24" s="27">
        <v>4501530.62</v>
      </c>
      <c r="P24" s="20">
        <f t="shared" ref="P24:P57" si="38">IF(N24&gt;0,O24/N24*100,"-")</f>
        <v>87.301687705949078</v>
      </c>
      <c r="Q24" s="13">
        <f t="shared" si="23"/>
        <v>4.2006024962730777</v>
      </c>
      <c r="R24" s="13">
        <f t="shared" si="23"/>
        <v>6.4339908799398984</v>
      </c>
    </row>
    <row r="25" spans="1:18" x14ac:dyDescent="0.3">
      <c r="A25" s="5" t="s">
        <v>40</v>
      </c>
      <c r="B25" s="27">
        <v>44248401.659999996</v>
      </c>
      <c r="C25" s="27">
        <v>31253445.600000001</v>
      </c>
      <c r="D25" s="20">
        <f t="shared" si="34"/>
        <v>70.631806861970176</v>
      </c>
      <c r="E25" s="27">
        <v>158434650.19</v>
      </c>
      <c r="F25" s="27">
        <v>108464697.98999999</v>
      </c>
      <c r="G25" s="20">
        <f t="shared" si="35"/>
        <v>68.460212371426067</v>
      </c>
      <c r="H25" s="27">
        <v>363528942.92000002</v>
      </c>
      <c r="I25" s="27">
        <v>319384516.51999998</v>
      </c>
      <c r="J25" s="20">
        <f t="shared" si="36"/>
        <v>87.856695523218718</v>
      </c>
      <c r="K25" s="27">
        <v>397779118.16000003</v>
      </c>
      <c r="L25" s="27">
        <v>334109990.87</v>
      </c>
      <c r="M25" s="20">
        <f t="shared" si="37"/>
        <v>83.99384875090648</v>
      </c>
      <c r="N25" s="27">
        <v>367208566.18000001</v>
      </c>
      <c r="O25" s="27">
        <v>316816655.67000002</v>
      </c>
      <c r="P25" s="20">
        <f t="shared" si="38"/>
        <v>86.27703295862149</v>
      </c>
      <c r="Q25" s="13">
        <f t="shared" si="23"/>
        <v>-7.685308399648946</v>
      </c>
      <c r="R25" s="13">
        <f t="shared" si="23"/>
        <v>-5.175940759798678</v>
      </c>
    </row>
    <row r="26" spans="1:18" x14ac:dyDescent="0.3">
      <c r="A26" s="5" t="s">
        <v>41</v>
      </c>
      <c r="B26" s="27">
        <v>3691689169</v>
      </c>
      <c r="C26" s="27">
        <v>3487878853.4699998</v>
      </c>
      <c r="D26" s="20">
        <f t="shared" si="34"/>
        <v>94.479212463458623</v>
      </c>
      <c r="E26" s="27">
        <v>3561253794.8600001</v>
      </c>
      <c r="F26" s="27">
        <v>3248512467.8499999</v>
      </c>
      <c r="G26" s="20">
        <f t="shared" si="35"/>
        <v>91.21822411361461</v>
      </c>
      <c r="H26" s="27">
        <v>3388396353.27</v>
      </c>
      <c r="I26" s="27">
        <v>3159237077.48</v>
      </c>
      <c r="J26" s="20">
        <f t="shared" si="36"/>
        <v>93.236940077306841</v>
      </c>
      <c r="K26" s="27">
        <v>3441351764.2199998</v>
      </c>
      <c r="L26" s="27">
        <v>3170423847.23</v>
      </c>
      <c r="M26" s="20">
        <f t="shared" si="37"/>
        <v>92.127282081220002</v>
      </c>
      <c r="N26" s="27">
        <v>3621478897.71</v>
      </c>
      <c r="O26" s="27">
        <v>3431546101.46</v>
      </c>
      <c r="P26" s="20">
        <f t="shared" si="38"/>
        <v>94.755380284830551</v>
      </c>
      <c r="Q26" s="13">
        <f t="shared" si="23"/>
        <v>5.2341970781015732</v>
      </c>
      <c r="R26" s="13">
        <f t="shared" si="23"/>
        <v>8.2361938596362307</v>
      </c>
    </row>
    <row r="27" spans="1:18" x14ac:dyDescent="0.3">
      <c r="A27" s="5" t="s">
        <v>350</v>
      </c>
      <c r="B27" s="27">
        <v>0</v>
      </c>
      <c r="C27" s="27">
        <v>0</v>
      </c>
      <c r="D27" s="20"/>
      <c r="E27" s="27">
        <v>0</v>
      </c>
      <c r="F27" s="27">
        <v>0</v>
      </c>
      <c r="G27" s="20"/>
      <c r="H27" s="27">
        <v>0</v>
      </c>
      <c r="I27" s="27">
        <v>0</v>
      </c>
      <c r="J27" s="20"/>
      <c r="K27" s="27">
        <v>0</v>
      </c>
      <c r="L27" s="27">
        <v>0</v>
      </c>
      <c r="M27" s="20"/>
      <c r="N27" s="27">
        <v>0</v>
      </c>
      <c r="O27" s="27">
        <v>0</v>
      </c>
      <c r="P27" s="20"/>
      <c r="Q27" s="13" t="str">
        <f t="shared" si="23"/>
        <v>-</v>
      </c>
      <c r="R27" s="13" t="str">
        <f t="shared" si="23"/>
        <v>-</v>
      </c>
    </row>
    <row r="28" spans="1:18" x14ac:dyDescent="0.3">
      <c r="A28" s="5" t="s">
        <v>351</v>
      </c>
      <c r="B28" s="27">
        <v>0</v>
      </c>
      <c r="C28" s="27">
        <v>0</v>
      </c>
      <c r="D28" s="20"/>
      <c r="E28" s="27">
        <v>0</v>
      </c>
      <c r="F28" s="27">
        <v>0</v>
      </c>
      <c r="G28" s="20"/>
      <c r="H28" s="27">
        <v>0</v>
      </c>
      <c r="I28" s="27">
        <v>0</v>
      </c>
      <c r="J28" s="20"/>
      <c r="K28" s="27">
        <v>0</v>
      </c>
      <c r="L28" s="27">
        <v>0</v>
      </c>
      <c r="M28" s="20"/>
      <c r="N28" s="27">
        <v>0</v>
      </c>
      <c r="O28" s="27">
        <v>0</v>
      </c>
      <c r="P28" s="20"/>
      <c r="Q28" s="13" t="str">
        <f t="shared" si="23"/>
        <v>-</v>
      </c>
      <c r="R28" s="13" t="str">
        <f t="shared" si="23"/>
        <v>-</v>
      </c>
    </row>
    <row r="29" spans="1:18" x14ac:dyDescent="0.3">
      <c r="A29" s="5" t="s">
        <v>42</v>
      </c>
      <c r="B29" s="27">
        <v>31397022.920000002</v>
      </c>
      <c r="C29" s="27">
        <v>31397014.850000001</v>
      </c>
      <c r="D29" s="20">
        <f t="shared" si="34"/>
        <v>99.999974296926112</v>
      </c>
      <c r="E29" s="27">
        <v>26489540.789999999</v>
      </c>
      <c r="F29" s="27">
        <v>26489540.789999999</v>
      </c>
      <c r="G29" s="20">
        <f t="shared" si="35"/>
        <v>100</v>
      </c>
      <c r="H29" s="27">
        <v>24787195.559999999</v>
      </c>
      <c r="I29" s="27">
        <v>24787195.559999999</v>
      </c>
      <c r="J29" s="20">
        <f t="shared" ref="J29:J57" si="39">IF(H29&gt;0,I29/H29*100,"-")</f>
        <v>100</v>
      </c>
      <c r="K29" s="27">
        <v>23832183.649999999</v>
      </c>
      <c r="L29" s="27">
        <v>23832183.649999999</v>
      </c>
      <c r="M29" s="20">
        <f t="shared" ref="M29:M62" si="40">IF(K29&gt;0,L29/K29*100,"-")</f>
        <v>100</v>
      </c>
      <c r="N29" s="27">
        <v>22250330.489999998</v>
      </c>
      <c r="O29" s="27">
        <v>22250329.640000001</v>
      </c>
      <c r="P29" s="20">
        <f t="shared" si="38"/>
        <v>99.999996179832024</v>
      </c>
      <c r="Q29" s="13">
        <f t="shared" si="23"/>
        <v>-6.6374663070372861</v>
      </c>
      <c r="R29" s="13">
        <f t="shared" si="23"/>
        <v>-6.6374698736428996</v>
      </c>
    </row>
    <row r="30" spans="1:18" x14ac:dyDescent="0.3">
      <c r="A30" s="5" t="s">
        <v>43</v>
      </c>
      <c r="B30" s="27">
        <v>0</v>
      </c>
      <c r="C30" s="27">
        <v>0</v>
      </c>
      <c r="D30" s="20" t="str">
        <f t="shared" si="34"/>
        <v>-</v>
      </c>
      <c r="E30" s="27">
        <v>0</v>
      </c>
      <c r="F30" s="27">
        <v>0</v>
      </c>
      <c r="G30" s="20" t="str">
        <f t="shared" si="35"/>
        <v>-</v>
      </c>
      <c r="H30" s="27">
        <v>0</v>
      </c>
      <c r="I30" s="27">
        <v>0</v>
      </c>
      <c r="J30" s="20" t="str">
        <f t="shared" si="39"/>
        <v>-</v>
      </c>
      <c r="K30" s="27">
        <v>0</v>
      </c>
      <c r="L30" s="27">
        <v>0</v>
      </c>
      <c r="M30" s="20" t="str">
        <f t="shared" si="40"/>
        <v>-</v>
      </c>
      <c r="N30" s="27">
        <v>272326.56</v>
      </c>
      <c r="O30" s="27">
        <v>272326.56</v>
      </c>
      <c r="P30" s="20">
        <f t="shared" si="38"/>
        <v>100</v>
      </c>
      <c r="Q30" s="13" t="str">
        <f t="shared" si="23"/>
        <v>-</v>
      </c>
      <c r="R30" s="13" t="str">
        <f t="shared" si="23"/>
        <v>-</v>
      </c>
    </row>
    <row r="31" spans="1:18" x14ac:dyDescent="0.3">
      <c r="A31" s="5" t="s">
        <v>44</v>
      </c>
      <c r="B31" s="27">
        <v>695379.67</v>
      </c>
      <c r="C31" s="27">
        <v>511214.13</v>
      </c>
      <c r="D31" s="20">
        <f t="shared" si="34"/>
        <v>73.515829129718441</v>
      </c>
      <c r="E31" s="27">
        <v>666626.43999999994</v>
      </c>
      <c r="F31" s="27">
        <v>600417.86</v>
      </c>
      <c r="G31" s="20">
        <f t="shared" si="35"/>
        <v>90.068113709981262</v>
      </c>
      <c r="H31" s="27">
        <v>913087.41</v>
      </c>
      <c r="I31" s="27">
        <v>829912.46</v>
      </c>
      <c r="J31" s="20">
        <f t="shared" si="39"/>
        <v>90.890800914668162</v>
      </c>
      <c r="K31" s="27">
        <v>936957.24</v>
      </c>
      <c r="L31" s="27">
        <v>911641.09</v>
      </c>
      <c r="M31" s="20">
        <f t="shared" si="40"/>
        <v>97.298046386834045</v>
      </c>
      <c r="N31" s="27">
        <v>1944578.76</v>
      </c>
      <c r="O31" s="27">
        <v>1212226.83</v>
      </c>
      <c r="P31" s="20">
        <f t="shared" si="38"/>
        <v>62.338787964546114</v>
      </c>
      <c r="Q31" s="13">
        <f t="shared" si="23"/>
        <v>107.54188953169304</v>
      </c>
      <c r="R31" s="13">
        <f t="shared" si="23"/>
        <v>32.971938550948835</v>
      </c>
    </row>
    <row r="32" spans="1:18" x14ac:dyDescent="0.3">
      <c r="A32" s="5" t="s">
        <v>45</v>
      </c>
      <c r="B32" s="27">
        <v>1050462.23</v>
      </c>
      <c r="C32" s="27">
        <v>647613.02</v>
      </c>
      <c r="D32" s="20">
        <f t="shared" si="34"/>
        <v>61.650290843869747</v>
      </c>
      <c r="E32" s="27">
        <v>879448.81</v>
      </c>
      <c r="F32" s="27">
        <v>501094.36</v>
      </c>
      <c r="G32" s="20">
        <f t="shared" si="35"/>
        <v>56.978229352541845</v>
      </c>
      <c r="H32" s="27">
        <v>1559939.39</v>
      </c>
      <c r="I32" s="27">
        <v>1305811.3</v>
      </c>
      <c r="J32" s="20">
        <f t="shared" si="39"/>
        <v>83.709104877465791</v>
      </c>
      <c r="K32" s="27">
        <v>913280.92</v>
      </c>
      <c r="L32" s="27">
        <v>786692.41</v>
      </c>
      <c r="M32" s="20">
        <f t="shared" si="40"/>
        <v>86.139148729834403</v>
      </c>
      <c r="N32" s="27">
        <v>939848.99</v>
      </c>
      <c r="O32" s="27">
        <v>733168.52</v>
      </c>
      <c r="P32" s="20">
        <f t="shared" si="38"/>
        <v>78.009183156115327</v>
      </c>
      <c r="Q32" s="13">
        <f t="shared" si="23"/>
        <v>2.9090797166768709</v>
      </c>
      <c r="R32" s="13">
        <f t="shared" si="23"/>
        <v>-6.8036616750884917</v>
      </c>
    </row>
    <row r="33" spans="1:18" x14ac:dyDescent="0.3">
      <c r="A33" s="5" t="s">
        <v>46</v>
      </c>
      <c r="B33" s="28">
        <v>0</v>
      </c>
      <c r="C33" s="28">
        <v>0</v>
      </c>
      <c r="D33" s="20" t="str">
        <f t="shared" si="34"/>
        <v>-</v>
      </c>
      <c r="E33" s="28">
        <v>0</v>
      </c>
      <c r="F33" s="28">
        <v>0</v>
      </c>
      <c r="G33" s="20" t="str">
        <f t="shared" si="35"/>
        <v>-</v>
      </c>
      <c r="H33" s="28">
        <v>0</v>
      </c>
      <c r="I33" s="28">
        <v>0</v>
      </c>
      <c r="J33" s="20" t="str">
        <f t="shared" si="39"/>
        <v>-</v>
      </c>
      <c r="K33" s="28">
        <v>0</v>
      </c>
      <c r="L33" s="28">
        <v>0</v>
      </c>
      <c r="M33" s="20" t="str">
        <f t="shared" si="40"/>
        <v>-</v>
      </c>
      <c r="N33" s="28">
        <v>0</v>
      </c>
      <c r="O33" s="28">
        <v>0</v>
      </c>
      <c r="P33" s="20" t="str">
        <f t="shared" si="38"/>
        <v>-</v>
      </c>
      <c r="Q33" s="13" t="str">
        <f t="shared" si="23"/>
        <v>-</v>
      </c>
      <c r="R33" s="13" t="str">
        <f t="shared" si="23"/>
        <v>-</v>
      </c>
    </row>
    <row r="34" spans="1:18" x14ac:dyDescent="0.3">
      <c r="A34" s="5" t="s">
        <v>47</v>
      </c>
      <c r="B34" s="27">
        <v>51023281.869999997</v>
      </c>
      <c r="C34" s="27">
        <v>5417943.5599999996</v>
      </c>
      <c r="D34" s="20">
        <f t="shared" si="34"/>
        <v>10.618571290267338</v>
      </c>
      <c r="E34" s="27">
        <v>18846470.140000001</v>
      </c>
      <c r="F34" s="27">
        <v>5433365.1500000004</v>
      </c>
      <c r="G34" s="20">
        <f t="shared" si="35"/>
        <v>28.829616950222171</v>
      </c>
      <c r="H34" s="27">
        <v>5732313.4000000004</v>
      </c>
      <c r="I34" s="27">
        <v>2452852.4</v>
      </c>
      <c r="J34" s="20">
        <f t="shared" si="39"/>
        <v>42.789921430325137</v>
      </c>
      <c r="K34" s="27">
        <v>8112446.71</v>
      </c>
      <c r="L34" s="27">
        <v>3808259.58</v>
      </c>
      <c r="M34" s="20">
        <f t="shared" si="40"/>
        <v>46.94341566898256</v>
      </c>
      <c r="N34" s="27">
        <v>10649725.93</v>
      </c>
      <c r="O34" s="27">
        <v>4133075.7</v>
      </c>
      <c r="P34" s="20">
        <f t="shared" si="38"/>
        <v>38.809221262279003</v>
      </c>
      <c r="Q34" s="13">
        <f t="shared" si="23"/>
        <v>31.276374572326773</v>
      </c>
      <c r="R34" s="13">
        <f t="shared" si="23"/>
        <v>8.529253670255315</v>
      </c>
    </row>
    <row r="35" spans="1:18" x14ac:dyDescent="0.3">
      <c r="A35" s="5" t="s">
        <v>48</v>
      </c>
      <c r="B35" s="27">
        <v>231056558.31999999</v>
      </c>
      <c r="C35" s="27">
        <v>138267257.66</v>
      </c>
      <c r="D35" s="20">
        <f t="shared" si="34"/>
        <v>59.841304079543946</v>
      </c>
      <c r="E35" s="27">
        <v>193713971.69999999</v>
      </c>
      <c r="F35" s="27">
        <v>111647620.18000001</v>
      </c>
      <c r="G35" s="20">
        <f t="shared" si="35"/>
        <v>57.635295585651356</v>
      </c>
      <c r="H35" s="27">
        <v>132893759.15000001</v>
      </c>
      <c r="I35" s="27">
        <v>89427794.510000005</v>
      </c>
      <c r="J35" s="20">
        <f t="shared" si="39"/>
        <v>67.292696874546948</v>
      </c>
      <c r="K35" s="27">
        <v>213530215.18000001</v>
      </c>
      <c r="L35" s="27">
        <v>85309791.310000002</v>
      </c>
      <c r="M35" s="20">
        <f t="shared" si="40"/>
        <v>39.952093542399247</v>
      </c>
      <c r="N35" s="27">
        <v>227260766.62</v>
      </c>
      <c r="O35" s="27">
        <v>58397968.32</v>
      </c>
      <c r="P35" s="20">
        <f t="shared" si="38"/>
        <v>25.696458385026283</v>
      </c>
      <c r="Q35" s="13">
        <f t="shared" si="23"/>
        <v>6.4302616041601084</v>
      </c>
      <c r="R35" s="13">
        <f t="shared" si="23"/>
        <v>-31.545995573013911</v>
      </c>
    </row>
    <row r="36" spans="1:18" x14ac:dyDescent="0.3">
      <c r="A36" s="5" t="s">
        <v>49</v>
      </c>
      <c r="B36" s="27">
        <v>91760000</v>
      </c>
      <c r="C36" s="27">
        <v>15991956.060000001</v>
      </c>
      <c r="D36" s="20">
        <f t="shared" si="34"/>
        <v>17.428025348735833</v>
      </c>
      <c r="E36" s="27">
        <v>80680027.239999995</v>
      </c>
      <c r="F36" s="27">
        <v>18652601.940000001</v>
      </c>
      <c r="G36" s="20">
        <f t="shared" si="35"/>
        <v>23.119231088648306</v>
      </c>
      <c r="H36" s="27">
        <v>63023836.18</v>
      </c>
      <c r="I36" s="27">
        <v>13699379</v>
      </c>
      <c r="J36" s="20">
        <f t="shared" si="39"/>
        <v>21.736821860341411</v>
      </c>
      <c r="K36" s="27">
        <v>63976545.829999998</v>
      </c>
      <c r="L36" s="27">
        <v>12000000</v>
      </c>
      <c r="M36" s="20">
        <f t="shared" si="40"/>
        <v>18.756873857939574</v>
      </c>
      <c r="N36" s="27">
        <v>67000000</v>
      </c>
      <c r="O36" s="27">
        <v>12000000</v>
      </c>
      <c r="P36" s="20">
        <f t="shared" si="38"/>
        <v>17.910447761194028</v>
      </c>
      <c r="Q36" s="13">
        <f t="shared" si="23"/>
        <v>4.7258790401626243</v>
      </c>
      <c r="R36" s="13">
        <f t="shared" si="23"/>
        <v>0</v>
      </c>
    </row>
    <row r="37" spans="1:18" x14ac:dyDescent="0.3">
      <c r="A37" s="5" t="s">
        <v>50</v>
      </c>
      <c r="B37" s="27">
        <v>0</v>
      </c>
      <c r="C37" s="27">
        <v>0</v>
      </c>
      <c r="D37" s="20" t="str">
        <f t="shared" si="34"/>
        <v>-</v>
      </c>
      <c r="E37" s="27">
        <v>0</v>
      </c>
      <c r="F37" s="27">
        <v>0</v>
      </c>
      <c r="G37" s="20" t="str">
        <f t="shared" si="35"/>
        <v>-</v>
      </c>
      <c r="H37" s="27">
        <v>0</v>
      </c>
      <c r="I37" s="27">
        <v>0</v>
      </c>
      <c r="J37" s="20" t="str">
        <f t="shared" si="39"/>
        <v>-</v>
      </c>
      <c r="K37" s="27">
        <v>0</v>
      </c>
      <c r="L37" s="27">
        <v>0</v>
      </c>
      <c r="M37" s="20" t="str">
        <f t="shared" si="40"/>
        <v>-</v>
      </c>
      <c r="N37" s="27">
        <v>0</v>
      </c>
      <c r="O37" s="27">
        <v>0</v>
      </c>
      <c r="P37" s="20" t="str">
        <f t="shared" si="38"/>
        <v>-</v>
      </c>
      <c r="Q37" s="13" t="str">
        <f t="shared" si="23"/>
        <v>-</v>
      </c>
      <c r="R37" s="13" t="str">
        <f t="shared" si="23"/>
        <v>-</v>
      </c>
    </row>
    <row r="38" spans="1:18" x14ac:dyDescent="0.3">
      <c r="A38" s="5" t="s">
        <v>51</v>
      </c>
      <c r="B38" s="27">
        <v>0</v>
      </c>
      <c r="C38" s="27">
        <v>0</v>
      </c>
      <c r="D38" s="20" t="str">
        <f t="shared" si="34"/>
        <v>-</v>
      </c>
      <c r="E38" s="27">
        <v>0</v>
      </c>
      <c r="F38" s="27">
        <v>0</v>
      </c>
      <c r="G38" s="20" t="str">
        <f t="shared" si="35"/>
        <v>-</v>
      </c>
      <c r="H38" s="27">
        <v>1100000</v>
      </c>
      <c r="I38" s="27">
        <v>1100000</v>
      </c>
      <c r="J38" s="20">
        <f t="shared" si="39"/>
        <v>100</v>
      </c>
      <c r="K38" s="27">
        <v>1000000</v>
      </c>
      <c r="L38" s="27">
        <v>75077.210000000006</v>
      </c>
      <c r="M38" s="20">
        <f t="shared" si="40"/>
        <v>7.5077210000000001</v>
      </c>
      <c r="N38" s="27">
        <v>1000000</v>
      </c>
      <c r="O38" s="27">
        <v>250000</v>
      </c>
      <c r="P38" s="20">
        <f t="shared" si="38"/>
        <v>25</v>
      </c>
      <c r="Q38" s="13">
        <f t="shared" si="23"/>
        <v>0</v>
      </c>
      <c r="R38" s="13">
        <f t="shared" si="23"/>
        <v>232.99053068168087</v>
      </c>
    </row>
    <row r="39" spans="1:18" x14ac:dyDescent="0.3">
      <c r="A39" s="5" t="s">
        <v>261</v>
      </c>
      <c r="B39" s="27">
        <v>10000000</v>
      </c>
      <c r="C39" s="27">
        <v>10000000</v>
      </c>
      <c r="D39" s="20">
        <f t="shared" si="34"/>
        <v>100</v>
      </c>
      <c r="E39" s="27">
        <v>0</v>
      </c>
      <c r="F39" s="27">
        <v>0</v>
      </c>
      <c r="G39" s="20" t="str">
        <f t="shared" si="35"/>
        <v>-</v>
      </c>
      <c r="H39" s="27">
        <v>517100</v>
      </c>
      <c r="I39" s="27">
        <v>517100</v>
      </c>
      <c r="J39" s="20">
        <f t="shared" si="39"/>
        <v>100</v>
      </c>
      <c r="K39" s="27">
        <v>329749.53000000003</v>
      </c>
      <c r="L39" s="27">
        <v>329749.53000000003</v>
      </c>
      <c r="M39" s="20">
        <f t="shared" si="40"/>
        <v>100</v>
      </c>
      <c r="N39" s="27">
        <v>150000</v>
      </c>
      <c r="O39" s="27">
        <v>150000</v>
      </c>
      <c r="P39" s="20">
        <f t="shared" si="38"/>
        <v>100</v>
      </c>
      <c r="Q39" s="13">
        <f t="shared" si="23"/>
        <v>-54.510928340064659</v>
      </c>
      <c r="R39" s="13">
        <f t="shared" si="23"/>
        <v>-54.510928340064659</v>
      </c>
    </row>
    <row r="40" spans="1:18" x14ac:dyDescent="0.3">
      <c r="A40" s="5" t="s">
        <v>52</v>
      </c>
      <c r="B40" s="27">
        <v>4299651.63</v>
      </c>
      <c r="C40" s="27">
        <v>4299651.63</v>
      </c>
      <c r="D40" s="20">
        <f t="shared" si="34"/>
        <v>100</v>
      </c>
      <c r="E40" s="27">
        <v>0</v>
      </c>
      <c r="F40" s="27">
        <v>0</v>
      </c>
      <c r="G40" s="20" t="str">
        <f t="shared" si="35"/>
        <v>-</v>
      </c>
      <c r="H40" s="27">
        <v>0</v>
      </c>
      <c r="I40" s="27">
        <v>0</v>
      </c>
      <c r="J40" s="20" t="str">
        <f t="shared" si="39"/>
        <v>-</v>
      </c>
      <c r="K40" s="27">
        <v>0</v>
      </c>
      <c r="L40" s="27">
        <v>0</v>
      </c>
      <c r="M40" s="20" t="str">
        <f t="shared" si="40"/>
        <v>-</v>
      </c>
      <c r="N40" s="27">
        <v>0</v>
      </c>
      <c r="O40" s="27">
        <v>0</v>
      </c>
      <c r="P40" s="20" t="str">
        <f t="shared" si="38"/>
        <v>-</v>
      </c>
      <c r="Q40" s="13" t="str">
        <f t="shared" si="23"/>
        <v>-</v>
      </c>
      <c r="R40" s="13" t="str">
        <f t="shared" si="23"/>
        <v>-</v>
      </c>
    </row>
    <row r="41" spans="1:18" x14ac:dyDescent="0.3">
      <c r="A41" s="5" t="s">
        <v>53</v>
      </c>
      <c r="B41" s="27">
        <v>0</v>
      </c>
      <c r="C41" s="27">
        <v>0</v>
      </c>
      <c r="D41" s="20" t="str">
        <f t="shared" si="34"/>
        <v>-</v>
      </c>
      <c r="E41" s="27">
        <v>0</v>
      </c>
      <c r="F41" s="27">
        <v>0</v>
      </c>
      <c r="G41" s="20" t="str">
        <f t="shared" si="35"/>
        <v>-</v>
      </c>
      <c r="H41" s="27">
        <v>76355610.629999995</v>
      </c>
      <c r="I41" s="27">
        <v>76355610.629999995</v>
      </c>
      <c r="J41" s="20">
        <f t="shared" si="39"/>
        <v>100</v>
      </c>
      <c r="K41" s="27">
        <v>141832335.59</v>
      </c>
      <c r="L41" s="27">
        <v>141832335.59</v>
      </c>
      <c r="M41" s="20">
        <f t="shared" si="40"/>
        <v>100</v>
      </c>
      <c r="N41" s="27">
        <v>99746959.120000005</v>
      </c>
      <c r="O41" s="27">
        <v>99746959.120000005</v>
      </c>
      <c r="P41" s="20">
        <f t="shared" si="38"/>
        <v>100</v>
      </c>
      <c r="Q41" s="13">
        <f t="shared" si="23"/>
        <v>-29.672624578120008</v>
      </c>
      <c r="R41" s="13">
        <f t="shared" si="23"/>
        <v>-29.672624578120008</v>
      </c>
    </row>
    <row r="42" spans="1:18" x14ac:dyDescent="0.3">
      <c r="A42" s="5" t="s">
        <v>54</v>
      </c>
      <c r="B42" s="27">
        <v>0</v>
      </c>
      <c r="C42" s="27">
        <v>0</v>
      </c>
      <c r="D42" s="20" t="str">
        <f t="shared" si="34"/>
        <v>-</v>
      </c>
      <c r="E42" s="27">
        <v>0</v>
      </c>
      <c r="F42" s="27">
        <v>0</v>
      </c>
      <c r="G42" s="20" t="str">
        <f t="shared" si="35"/>
        <v>-</v>
      </c>
      <c r="H42" s="27">
        <v>0</v>
      </c>
      <c r="I42" s="27">
        <v>0</v>
      </c>
      <c r="J42" s="20" t="str">
        <f t="shared" si="39"/>
        <v>-</v>
      </c>
      <c r="K42" s="27">
        <v>82500000</v>
      </c>
      <c r="L42" s="27">
        <v>82500000</v>
      </c>
      <c r="M42" s="20">
        <f t="shared" si="40"/>
        <v>100</v>
      </c>
      <c r="N42" s="27">
        <v>1250000</v>
      </c>
      <c r="O42" s="27">
        <v>1250000</v>
      </c>
      <c r="P42" s="20">
        <f t="shared" si="38"/>
        <v>100</v>
      </c>
      <c r="Q42" s="13">
        <f t="shared" si="23"/>
        <v>-98.484848484848484</v>
      </c>
      <c r="R42" s="13">
        <f t="shared" si="23"/>
        <v>-98.484848484848484</v>
      </c>
    </row>
    <row r="43" spans="1:18" x14ac:dyDescent="0.3">
      <c r="A43" s="5" t="s">
        <v>55</v>
      </c>
      <c r="B43" s="27">
        <v>6156727.8899999997</v>
      </c>
      <c r="C43" s="27">
        <v>6156727.8899999997</v>
      </c>
      <c r="D43" s="20">
        <f t="shared" si="34"/>
        <v>100</v>
      </c>
      <c r="E43" s="27">
        <v>6316211.2599999998</v>
      </c>
      <c r="F43" s="27">
        <v>6316211.2599999998</v>
      </c>
      <c r="G43" s="20">
        <f t="shared" si="35"/>
        <v>100</v>
      </c>
      <c r="H43" s="27">
        <v>6480320.0300000003</v>
      </c>
      <c r="I43" s="27">
        <v>6480320.0300000003</v>
      </c>
      <c r="J43" s="20">
        <f t="shared" si="39"/>
        <v>100</v>
      </c>
      <c r="K43" s="27">
        <v>6649196.3899999997</v>
      </c>
      <c r="L43" s="27">
        <v>6649196.3899999997</v>
      </c>
      <c r="M43" s="20">
        <f t="shared" si="40"/>
        <v>100</v>
      </c>
      <c r="N43" s="27">
        <v>6822987.0099999998</v>
      </c>
      <c r="O43" s="27">
        <v>6822987.0099999998</v>
      </c>
      <c r="P43" s="20">
        <f t="shared" si="38"/>
        <v>100</v>
      </c>
      <c r="Q43" s="13">
        <f t="shared" si="23"/>
        <v>2.6137086319389056</v>
      </c>
      <c r="R43" s="13">
        <f t="shared" si="23"/>
        <v>2.6137086319389056</v>
      </c>
    </row>
    <row r="44" spans="1:18" x14ac:dyDescent="0.3">
      <c r="A44" s="5" t="s">
        <v>56</v>
      </c>
      <c r="B44" s="27">
        <v>224749431.77000001</v>
      </c>
      <c r="C44" s="27">
        <v>224749431.77000001</v>
      </c>
      <c r="D44" s="20">
        <f t="shared" si="34"/>
        <v>100</v>
      </c>
      <c r="E44" s="27">
        <v>57154528.57</v>
      </c>
      <c r="F44" s="27">
        <v>57154528.57</v>
      </c>
      <c r="G44" s="20">
        <f t="shared" si="35"/>
        <v>100</v>
      </c>
      <c r="H44" s="27">
        <v>32268042.579999998</v>
      </c>
      <c r="I44" s="27">
        <v>32268042.579999998</v>
      </c>
      <c r="J44" s="20">
        <f t="shared" si="39"/>
        <v>100</v>
      </c>
      <c r="K44" s="27">
        <v>25726223.93</v>
      </c>
      <c r="L44" s="27">
        <v>25726223.93</v>
      </c>
      <c r="M44" s="20">
        <f t="shared" si="40"/>
        <v>100</v>
      </c>
      <c r="N44" s="27">
        <v>211298725.15000001</v>
      </c>
      <c r="O44" s="27">
        <v>211298725.15000001</v>
      </c>
      <c r="P44" s="20">
        <f t="shared" si="38"/>
        <v>100</v>
      </c>
      <c r="Q44" s="13">
        <f t="shared" si="23"/>
        <v>721.3359478053801</v>
      </c>
      <c r="R44" s="13">
        <f t="shared" si="23"/>
        <v>721.3359478053801</v>
      </c>
    </row>
    <row r="45" spans="1:18" x14ac:dyDescent="0.3">
      <c r="A45" s="5" t="s">
        <v>57</v>
      </c>
      <c r="B45" s="27">
        <v>0</v>
      </c>
      <c r="C45" s="27">
        <v>0</v>
      </c>
      <c r="D45" s="20" t="str">
        <f t="shared" si="34"/>
        <v>-</v>
      </c>
      <c r="E45" s="27">
        <v>0</v>
      </c>
      <c r="F45" s="27">
        <v>0</v>
      </c>
      <c r="G45" s="20" t="str">
        <f t="shared" si="35"/>
        <v>-</v>
      </c>
      <c r="H45" s="27">
        <v>11487178.800000001</v>
      </c>
      <c r="I45" s="27">
        <v>11487178.800000001</v>
      </c>
      <c r="J45" s="20">
        <f t="shared" si="39"/>
        <v>100</v>
      </c>
      <c r="K45" s="27">
        <v>0</v>
      </c>
      <c r="L45" s="27">
        <v>0</v>
      </c>
      <c r="M45" s="20" t="str">
        <f t="shared" si="40"/>
        <v>-</v>
      </c>
      <c r="N45" s="27">
        <v>0</v>
      </c>
      <c r="O45" s="27">
        <v>0</v>
      </c>
      <c r="P45" s="20" t="str">
        <f t="shared" si="38"/>
        <v>-</v>
      </c>
      <c r="Q45" s="13" t="str">
        <f t="shared" si="23"/>
        <v>-</v>
      </c>
      <c r="R45" s="13" t="str">
        <f t="shared" si="23"/>
        <v>-</v>
      </c>
    </row>
    <row r="46" spans="1:18" x14ac:dyDescent="0.3">
      <c r="A46" s="5" t="s">
        <v>58</v>
      </c>
      <c r="B46" s="27">
        <v>0</v>
      </c>
      <c r="C46" s="27">
        <v>0</v>
      </c>
      <c r="D46" s="20" t="str">
        <f t="shared" si="34"/>
        <v>-</v>
      </c>
      <c r="E46" s="27">
        <v>0</v>
      </c>
      <c r="F46" s="27">
        <v>0</v>
      </c>
      <c r="G46" s="20" t="str">
        <f t="shared" si="35"/>
        <v>-</v>
      </c>
      <c r="H46" s="27">
        <v>0</v>
      </c>
      <c r="I46" s="27">
        <v>0</v>
      </c>
      <c r="J46" s="20" t="str">
        <f t="shared" si="39"/>
        <v>-</v>
      </c>
      <c r="K46" s="27">
        <v>0</v>
      </c>
      <c r="L46" s="27">
        <v>0</v>
      </c>
      <c r="M46" s="20" t="str">
        <f t="shared" si="40"/>
        <v>-</v>
      </c>
      <c r="N46" s="27">
        <v>0</v>
      </c>
      <c r="O46" s="27">
        <v>0</v>
      </c>
      <c r="P46" s="20" t="str">
        <f t="shared" si="38"/>
        <v>-</v>
      </c>
      <c r="Q46" s="13" t="str">
        <f t="shared" si="23"/>
        <v>-</v>
      </c>
      <c r="R46" s="13" t="str">
        <f t="shared" si="23"/>
        <v>-</v>
      </c>
    </row>
    <row r="47" spans="1:18" x14ac:dyDescent="0.3">
      <c r="A47" s="5" t="s">
        <v>59</v>
      </c>
      <c r="B47" s="27">
        <v>0</v>
      </c>
      <c r="C47" s="27">
        <v>0</v>
      </c>
      <c r="D47" s="20" t="str">
        <f t="shared" si="34"/>
        <v>-</v>
      </c>
      <c r="E47" s="27">
        <v>0</v>
      </c>
      <c r="F47" s="27">
        <v>0</v>
      </c>
      <c r="G47" s="20" t="str">
        <f t="shared" si="35"/>
        <v>-</v>
      </c>
      <c r="H47" s="27">
        <v>0</v>
      </c>
      <c r="I47" s="27">
        <v>0</v>
      </c>
      <c r="J47" s="20" t="str">
        <f t="shared" si="39"/>
        <v>-</v>
      </c>
      <c r="K47" s="27">
        <v>0</v>
      </c>
      <c r="L47" s="27">
        <v>0</v>
      </c>
      <c r="M47" s="20" t="str">
        <f t="shared" si="40"/>
        <v>-</v>
      </c>
      <c r="N47" s="27">
        <v>0</v>
      </c>
      <c r="O47" s="27">
        <v>0</v>
      </c>
      <c r="P47" s="20" t="str">
        <f t="shared" si="38"/>
        <v>-</v>
      </c>
      <c r="Q47" s="13" t="str">
        <f t="shared" si="23"/>
        <v>-</v>
      </c>
      <c r="R47" s="13" t="str">
        <f t="shared" si="23"/>
        <v>-</v>
      </c>
    </row>
    <row r="48" spans="1:18" x14ac:dyDescent="0.3">
      <c r="A48" s="5" t="s">
        <v>60</v>
      </c>
      <c r="B48" s="27">
        <v>844984377.26999998</v>
      </c>
      <c r="C48" s="27">
        <v>0</v>
      </c>
      <c r="D48" s="20">
        <f t="shared" si="34"/>
        <v>0</v>
      </c>
      <c r="E48" s="27">
        <v>765446950.86000001</v>
      </c>
      <c r="F48" s="27">
        <v>0</v>
      </c>
      <c r="G48" s="20">
        <f t="shared" si="35"/>
        <v>0</v>
      </c>
      <c r="H48" s="27">
        <v>524934961.75999999</v>
      </c>
      <c r="I48" s="27">
        <v>0</v>
      </c>
      <c r="J48" s="20">
        <f t="shared" si="39"/>
        <v>0</v>
      </c>
      <c r="K48" s="27">
        <v>794317578.65999997</v>
      </c>
      <c r="L48" s="27">
        <v>0</v>
      </c>
      <c r="M48" s="20">
        <f t="shared" si="40"/>
        <v>0</v>
      </c>
      <c r="N48" s="27">
        <v>788201088.50999999</v>
      </c>
      <c r="O48" s="27">
        <v>0</v>
      </c>
      <c r="P48" s="20">
        <f t="shared" si="38"/>
        <v>0</v>
      </c>
      <c r="Q48" s="13">
        <f t="shared" si="23"/>
        <v>-0.77003081819219688</v>
      </c>
      <c r="R48" s="13" t="str">
        <f t="shared" si="23"/>
        <v>-</v>
      </c>
    </row>
    <row r="49" spans="1:18" x14ac:dyDescent="0.3">
      <c r="A49" s="5" t="s">
        <v>61</v>
      </c>
      <c r="B49" s="27">
        <v>160762.84</v>
      </c>
      <c r="C49" s="27">
        <v>0</v>
      </c>
      <c r="D49" s="20">
        <f t="shared" si="34"/>
        <v>0</v>
      </c>
      <c r="E49" s="27">
        <v>11366267.75</v>
      </c>
      <c r="F49" s="27">
        <v>0</v>
      </c>
      <c r="G49" s="20">
        <f t="shared" si="35"/>
        <v>0</v>
      </c>
      <c r="H49" s="27">
        <v>1640040.49</v>
      </c>
      <c r="I49" s="27">
        <v>0</v>
      </c>
      <c r="J49" s="20">
        <f t="shared" si="39"/>
        <v>0</v>
      </c>
      <c r="K49" s="27">
        <v>15365540.109999999</v>
      </c>
      <c r="L49" s="27">
        <v>0</v>
      </c>
      <c r="M49" s="20">
        <f t="shared" si="40"/>
        <v>0</v>
      </c>
      <c r="N49" s="27">
        <v>11530367.09</v>
      </c>
      <c r="O49" s="27">
        <v>0</v>
      </c>
      <c r="P49" s="20">
        <f t="shared" si="38"/>
        <v>0</v>
      </c>
      <c r="Q49" s="13">
        <f t="shared" si="23"/>
        <v>-24.959571824644428</v>
      </c>
      <c r="R49" s="13" t="str">
        <f t="shared" si="23"/>
        <v>-</v>
      </c>
    </row>
    <row r="50" spans="1:18" x14ac:dyDescent="0.3">
      <c r="A50" s="5" t="s">
        <v>62</v>
      </c>
      <c r="B50" s="27">
        <f t="shared" ref="B50:C50" si="41">SUM(B23:B32)</f>
        <v>3833875942.8800001</v>
      </c>
      <c r="C50" s="27">
        <f t="shared" si="41"/>
        <v>3611810308.8099999</v>
      </c>
      <c r="D50" s="20">
        <f t="shared" si="34"/>
        <v>94.207803346313156</v>
      </c>
      <c r="E50" s="27">
        <f t="shared" ref="E50:F50" si="42">SUM(E23:E32)</f>
        <v>3812092781.6800003</v>
      </c>
      <c r="F50" s="27">
        <f t="shared" si="42"/>
        <v>3445587922.6900001</v>
      </c>
      <c r="G50" s="20">
        <f t="shared" si="35"/>
        <v>90.385730883798672</v>
      </c>
      <c r="H50" s="27">
        <f t="shared" ref="H50:I50" si="43">SUM(H23:H32)</f>
        <v>3843540987.9199996</v>
      </c>
      <c r="I50" s="27">
        <f t="shared" si="43"/>
        <v>3566320253.8000002</v>
      </c>
      <c r="J50" s="20">
        <f t="shared" si="39"/>
        <v>92.787361056086411</v>
      </c>
      <c r="K50" s="27">
        <f t="shared" ref="K50:L50" si="44">SUM(K23:K32)</f>
        <v>3937125808.8099999</v>
      </c>
      <c r="L50" s="27">
        <f t="shared" si="44"/>
        <v>3598175331.1800003</v>
      </c>
      <c r="M50" s="20">
        <f t="shared" si="40"/>
        <v>91.39091575708504</v>
      </c>
      <c r="N50" s="27">
        <f t="shared" ref="N50:O50" si="45">SUM(N23:N32)</f>
        <v>4089081437.7899995</v>
      </c>
      <c r="O50" s="27">
        <f t="shared" si="45"/>
        <v>3843835215.2099996</v>
      </c>
      <c r="P50" s="20">
        <f t="shared" si="38"/>
        <v>94.002412856992478</v>
      </c>
      <c r="Q50" s="13">
        <f t="shared" si="23"/>
        <v>3.8595573613617375</v>
      </c>
      <c r="R50" s="13">
        <f t="shared" si="23"/>
        <v>6.8273461246102443</v>
      </c>
    </row>
    <row r="51" spans="1:18" x14ac:dyDescent="0.3">
      <c r="A51" s="5" t="s">
        <v>63</v>
      </c>
      <c r="B51" s="27">
        <f t="shared" ref="B51:C51" si="46">SUM(B33:B37)</f>
        <v>373839840.19</v>
      </c>
      <c r="C51" s="27">
        <f t="shared" si="46"/>
        <v>159677157.28</v>
      </c>
      <c r="D51" s="20">
        <f t="shared" si="34"/>
        <v>42.712718151935285</v>
      </c>
      <c r="E51" s="27">
        <f t="shared" ref="E51:F51" si="47">SUM(E33:E37)</f>
        <v>293240469.07999998</v>
      </c>
      <c r="F51" s="27">
        <f t="shared" si="47"/>
        <v>135733587.27000001</v>
      </c>
      <c r="G51" s="20">
        <f t="shared" si="35"/>
        <v>46.287467652689521</v>
      </c>
      <c r="H51" s="27">
        <f t="shared" ref="H51:I51" si="48">SUM(H33:H37)</f>
        <v>201649908.73000002</v>
      </c>
      <c r="I51" s="27">
        <f t="shared" si="48"/>
        <v>105580025.91000001</v>
      </c>
      <c r="J51" s="20">
        <f t="shared" si="39"/>
        <v>52.35808266661148</v>
      </c>
      <c r="K51" s="27">
        <f t="shared" ref="K51:L51" si="49">SUM(K33:K37)</f>
        <v>285619207.72000003</v>
      </c>
      <c r="L51" s="27">
        <f t="shared" si="49"/>
        <v>101118050.89</v>
      </c>
      <c r="M51" s="20">
        <f t="shared" si="40"/>
        <v>35.403099006257541</v>
      </c>
      <c r="N51" s="27">
        <f t="shared" ref="N51:O51" si="50">SUM(N33:N37)</f>
        <v>304910492.55000001</v>
      </c>
      <c r="O51" s="27">
        <f t="shared" si="50"/>
        <v>74531044.020000011</v>
      </c>
      <c r="P51" s="20">
        <f t="shared" si="38"/>
        <v>24.443581261073927</v>
      </c>
      <c r="Q51" s="13">
        <f t="shared" si="23"/>
        <v>6.7541973048646469</v>
      </c>
      <c r="R51" s="13">
        <f t="shared" si="23"/>
        <v>-26.293037332100411</v>
      </c>
    </row>
    <row r="52" spans="1:18" x14ac:dyDescent="0.3">
      <c r="A52" s="5" t="s">
        <v>64</v>
      </c>
      <c r="B52" s="27">
        <f t="shared" ref="B52:C52" si="51">SUM(B38:B41)</f>
        <v>14299651.629999999</v>
      </c>
      <c r="C52" s="27">
        <f t="shared" si="51"/>
        <v>14299651.629999999</v>
      </c>
      <c r="D52" s="20">
        <f t="shared" si="34"/>
        <v>100</v>
      </c>
      <c r="E52" s="27">
        <f t="shared" ref="E52:F52" si="52">SUM(E38:E41)</f>
        <v>0</v>
      </c>
      <c r="F52" s="27">
        <f t="shared" si="52"/>
        <v>0</v>
      </c>
      <c r="G52" s="20" t="str">
        <f t="shared" si="35"/>
        <v>-</v>
      </c>
      <c r="H52" s="27">
        <f t="shared" ref="H52:I52" si="53">SUM(H38:H41)</f>
        <v>77972710.629999995</v>
      </c>
      <c r="I52" s="27">
        <f t="shared" si="53"/>
        <v>77972710.629999995</v>
      </c>
      <c r="J52" s="20">
        <f t="shared" si="39"/>
        <v>100</v>
      </c>
      <c r="K52" s="27">
        <f t="shared" ref="K52:L52" si="54">SUM(K38:K41)</f>
        <v>143162085.12</v>
      </c>
      <c r="L52" s="27">
        <f t="shared" si="54"/>
        <v>142237162.33000001</v>
      </c>
      <c r="M52" s="20">
        <f t="shared" si="40"/>
        <v>99.353933138634645</v>
      </c>
      <c r="N52" s="27">
        <f t="shared" ref="N52:O52" si="55">SUM(N38:N41)</f>
        <v>100896959.12</v>
      </c>
      <c r="O52" s="27">
        <f t="shared" si="55"/>
        <v>100146959.12</v>
      </c>
      <c r="P52" s="20">
        <f t="shared" si="38"/>
        <v>99.256667389640555</v>
      </c>
      <c r="Q52" s="13">
        <f t="shared" si="23"/>
        <v>-29.5225694460743</v>
      </c>
      <c r="R52" s="13">
        <f t="shared" si="23"/>
        <v>-29.591565608112901</v>
      </c>
    </row>
    <row r="53" spans="1:18" x14ac:dyDescent="0.3">
      <c r="A53" s="5" t="s">
        <v>65</v>
      </c>
      <c r="B53" s="27">
        <f t="shared" ref="B53:C53" si="56">SUM(B42:B46)</f>
        <v>230906159.66</v>
      </c>
      <c r="C53" s="27">
        <f t="shared" si="56"/>
        <v>230906159.66</v>
      </c>
      <c r="D53" s="20">
        <f t="shared" si="34"/>
        <v>100</v>
      </c>
      <c r="E53" s="27">
        <f t="shared" ref="E53:F53" si="57">SUM(E42:E46)</f>
        <v>63470739.829999998</v>
      </c>
      <c r="F53" s="27">
        <f t="shared" si="57"/>
        <v>63470739.829999998</v>
      </c>
      <c r="G53" s="20">
        <f t="shared" si="35"/>
        <v>100</v>
      </c>
      <c r="H53" s="27">
        <f t="shared" ref="H53:I53" si="58">SUM(H42:H46)</f>
        <v>50235541.409999996</v>
      </c>
      <c r="I53" s="27">
        <f t="shared" si="58"/>
        <v>50235541.409999996</v>
      </c>
      <c r="J53" s="20">
        <f t="shared" si="39"/>
        <v>100</v>
      </c>
      <c r="K53" s="27">
        <f t="shared" ref="K53:L53" si="59">SUM(K42:K46)</f>
        <v>114875420.31999999</v>
      </c>
      <c r="L53" s="27">
        <f t="shared" si="59"/>
        <v>114875420.31999999</v>
      </c>
      <c r="M53" s="20">
        <f t="shared" si="40"/>
        <v>100</v>
      </c>
      <c r="N53" s="27">
        <f t="shared" ref="N53:O53" si="60">SUM(N42:N46)</f>
        <v>219371712.16</v>
      </c>
      <c r="O53" s="27">
        <f t="shared" si="60"/>
        <v>219371712.16</v>
      </c>
      <c r="P53" s="20">
        <f t="shared" si="38"/>
        <v>100</v>
      </c>
      <c r="Q53" s="13">
        <f t="shared" si="23"/>
        <v>90.96488313071012</v>
      </c>
      <c r="R53" s="13">
        <f t="shared" si="23"/>
        <v>90.96488313071012</v>
      </c>
    </row>
    <row r="54" spans="1:18" x14ac:dyDescent="0.3">
      <c r="A54" s="5" t="s">
        <v>66</v>
      </c>
      <c r="B54" s="27">
        <f t="shared" ref="B54:C54" si="61">B47</f>
        <v>0</v>
      </c>
      <c r="C54" s="27">
        <f t="shared" si="61"/>
        <v>0</v>
      </c>
      <c r="D54" s="20" t="str">
        <f t="shared" si="34"/>
        <v>-</v>
      </c>
      <c r="E54" s="27">
        <f t="shared" ref="E54:F54" si="62">E47</f>
        <v>0</v>
      </c>
      <c r="F54" s="27">
        <f t="shared" si="62"/>
        <v>0</v>
      </c>
      <c r="G54" s="20" t="str">
        <f t="shared" si="35"/>
        <v>-</v>
      </c>
      <c r="H54" s="27">
        <f t="shared" ref="H54:I54" si="63">H47</f>
        <v>0</v>
      </c>
      <c r="I54" s="27">
        <f t="shared" si="63"/>
        <v>0</v>
      </c>
      <c r="J54" s="20" t="str">
        <f t="shared" si="39"/>
        <v>-</v>
      </c>
      <c r="K54" s="27">
        <f t="shared" ref="K54:L54" si="64">K47</f>
        <v>0</v>
      </c>
      <c r="L54" s="27">
        <f t="shared" si="64"/>
        <v>0</v>
      </c>
      <c r="M54" s="20" t="str">
        <f t="shared" si="40"/>
        <v>-</v>
      </c>
      <c r="N54" s="27">
        <f t="shared" ref="N54:O54" si="65">N47</f>
        <v>0</v>
      </c>
      <c r="O54" s="27">
        <f t="shared" si="65"/>
        <v>0</v>
      </c>
      <c r="P54" s="20" t="str">
        <f t="shared" si="38"/>
        <v>-</v>
      </c>
      <c r="Q54" s="13" t="str">
        <f t="shared" si="23"/>
        <v>-</v>
      </c>
      <c r="R54" s="13" t="str">
        <f t="shared" si="23"/>
        <v>-</v>
      </c>
    </row>
    <row r="55" spans="1:18" x14ac:dyDescent="0.3">
      <c r="A55" s="5" t="s">
        <v>67</v>
      </c>
      <c r="B55" s="27">
        <f>SUM(B48:B49)</f>
        <v>845145140.11000001</v>
      </c>
      <c r="C55" s="29">
        <v>396242690.61000001</v>
      </c>
      <c r="D55" s="20">
        <f t="shared" si="34"/>
        <v>46.884573051964423</v>
      </c>
      <c r="E55" s="27">
        <f>SUM(E48:E49)</f>
        <v>776813218.61000001</v>
      </c>
      <c r="F55" s="29">
        <v>85861496.140000001</v>
      </c>
      <c r="G55" s="20">
        <f t="shared" si="35"/>
        <v>11.053042621189851</v>
      </c>
      <c r="H55" s="27">
        <f>SUM(H48:H49)</f>
        <v>526575002.25</v>
      </c>
      <c r="I55" s="29">
        <v>52705315.270000003</v>
      </c>
      <c r="J55" s="20">
        <f t="shared" si="39"/>
        <v>10.00908038642087</v>
      </c>
      <c r="K55" s="27">
        <f>SUM(K48:K49)</f>
        <v>809683118.76999998</v>
      </c>
      <c r="L55" s="29">
        <v>462977093.11000001</v>
      </c>
      <c r="M55" s="20">
        <f t="shared" si="40"/>
        <v>57.180035297427764</v>
      </c>
      <c r="N55" s="27">
        <f>SUM(N48:N49)</f>
        <v>799731455.60000002</v>
      </c>
      <c r="O55" s="29">
        <v>449847417.61000001</v>
      </c>
      <c r="P55" s="20">
        <f t="shared" si="38"/>
        <v>56.249809165315526</v>
      </c>
      <c r="Q55" s="13">
        <f t="shared" si="23"/>
        <v>-1.2290812219375056</v>
      </c>
      <c r="R55" s="13">
        <f t="shared" si="23"/>
        <v>-2.8359233524498535</v>
      </c>
    </row>
    <row r="56" spans="1:18" x14ac:dyDescent="0.3">
      <c r="A56" s="5" t="s">
        <v>68</v>
      </c>
      <c r="B56" s="19">
        <f t="shared" ref="B56:C56" si="66">SUM(B50:B55)</f>
        <v>5298066734.4700003</v>
      </c>
      <c r="C56" s="19">
        <f t="shared" si="66"/>
        <v>4412935967.9899998</v>
      </c>
      <c r="D56" s="20">
        <f t="shared" si="34"/>
        <v>83.29332545546832</v>
      </c>
      <c r="E56" s="19">
        <f t="shared" ref="E56:F56" si="67">SUM(E50:E55)</f>
        <v>4945617209.1999998</v>
      </c>
      <c r="F56" s="19">
        <f t="shared" si="67"/>
        <v>3730653745.9299998</v>
      </c>
      <c r="G56" s="20">
        <f t="shared" si="35"/>
        <v>75.433532117894515</v>
      </c>
      <c r="H56" s="24">
        <f t="shared" ref="H56:I56" si="68">SUM(H50:H55)</f>
        <v>4699974150.9399996</v>
      </c>
      <c r="I56" s="19">
        <f t="shared" si="68"/>
        <v>3852813847.02</v>
      </c>
      <c r="J56" s="20">
        <f t="shared" si="39"/>
        <v>81.975213549832688</v>
      </c>
      <c r="K56" s="24">
        <f t="shared" ref="K56:L56" si="69">SUM(K50:K55)</f>
        <v>5290465640.7399998</v>
      </c>
      <c r="L56" s="19">
        <f t="shared" si="69"/>
        <v>4419383057.8299999</v>
      </c>
      <c r="M56" s="20">
        <f t="shared" si="40"/>
        <v>83.534859839139642</v>
      </c>
      <c r="N56" s="24">
        <f t="shared" ref="N56:O56" si="70">SUM(N50:N55)</f>
        <v>5513992057.2199993</v>
      </c>
      <c r="O56" s="19">
        <f t="shared" si="70"/>
        <v>4687732348.1199989</v>
      </c>
      <c r="P56" s="20">
        <f t="shared" si="38"/>
        <v>85.015217640400849</v>
      </c>
      <c r="Q56" s="13">
        <f t="shared" si="23"/>
        <v>4.2250802038803954</v>
      </c>
      <c r="R56" s="13">
        <f t="shared" si="23"/>
        <v>6.0720984530760092</v>
      </c>
    </row>
    <row r="57" spans="1:18" x14ac:dyDescent="0.3">
      <c r="A57" s="14" t="s">
        <v>69</v>
      </c>
      <c r="B57" s="15">
        <f t="shared" ref="B57:C57" si="71">B56-B55</f>
        <v>4452921594.3600006</v>
      </c>
      <c r="C57" s="15">
        <f t="shared" si="71"/>
        <v>4016693277.3799996</v>
      </c>
      <c r="D57" s="21">
        <f t="shared" si="34"/>
        <v>90.203548215793404</v>
      </c>
      <c r="E57" s="15">
        <f t="shared" ref="E57:F57" si="72">E56-E55</f>
        <v>4168803990.5899997</v>
      </c>
      <c r="F57" s="15">
        <f t="shared" si="72"/>
        <v>3644792249.79</v>
      </c>
      <c r="G57" s="21">
        <f t="shared" si="35"/>
        <v>87.430166014453519</v>
      </c>
      <c r="H57" s="25">
        <f t="shared" ref="H57:I57" si="73">H56-H55</f>
        <v>4173399148.6899996</v>
      </c>
      <c r="I57" s="15">
        <f t="shared" si="73"/>
        <v>3800108531.75</v>
      </c>
      <c r="J57" s="21">
        <f t="shared" si="39"/>
        <v>91.055477713959547</v>
      </c>
      <c r="K57" s="25">
        <f t="shared" ref="K57:L57" si="74">K56-K55</f>
        <v>4480782521.9699993</v>
      </c>
      <c r="L57" s="15">
        <f t="shared" si="74"/>
        <v>3956405964.7199998</v>
      </c>
      <c r="M57" s="21">
        <f t="shared" si="40"/>
        <v>88.297210260062911</v>
      </c>
      <c r="N57" s="25">
        <f t="shared" ref="N57:O57" si="75">N56-N55</f>
        <v>4714260601.6199989</v>
      </c>
      <c r="O57" s="15">
        <f t="shared" si="75"/>
        <v>4237884930.5099988</v>
      </c>
      <c r="P57" s="21">
        <f t="shared" si="38"/>
        <v>89.895007693331607</v>
      </c>
      <c r="Q57" s="16">
        <f t="shared" si="23"/>
        <v>5.210654132514108</v>
      </c>
      <c r="R57" s="16">
        <f t="shared" si="23"/>
        <v>7.1145117134085609</v>
      </c>
    </row>
    <row r="58" spans="1:18" x14ac:dyDescent="0.3">
      <c r="A58" s="5" t="s">
        <v>70</v>
      </c>
      <c r="B58" s="19">
        <f>B14-B50</f>
        <v>241964668.26999998</v>
      </c>
      <c r="C58" s="19">
        <f>C14-C50</f>
        <v>-123569989.11000013</v>
      </c>
      <c r="D58" s="22"/>
      <c r="E58" s="19">
        <f>E14-E50</f>
        <v>266271145.90999985</v>
      </c>
      <c r="F58" s="19">
        <f>F14-F50</f>
        <v>-196595031.82000017</v>
      </c>
      <c r="G58" s="22"/>
      <c r="H58" s="19">
        <f>H14-H50</f>
        <v>220687273.5800004</v>
      </c>
      <c r="I58" s="19">
        <f>I14-I50</f>
        <v>-157431267.28000069</v>
      </c>
      <c r="J58" s="22"/>
      <c r="K58" s="19">
        <f>K14-K50</f>
        <v>239133891.8499999</v>
      </c>
      <c r="L58" s="19">
        <f>L14-L50</f>
        <v>12664642.409999847</v>
      </c>
      <c r="M58" s="22"/>
      <c r="N58" s="19">
        <f>N14-N50</f>
        <v>265325383.85000086</v>
      </c>
      <c r="O58" s="19">
        <f>O14-O50</f>
        <v>-57402415.819999218</v>
      </c>
      <c r="P58" s="22"/>
      <c r="Q58" s="13">
        <f t="shared" si="23"/>
        <v>10.952647404923226</v>
      </c>
      <c r="R58" s="13">
        <f t="shared" si="23"/>
        <v>-553.24940066744375</v>
      </c>
    </row>
    <row r="59" spans="1:18" x14ac:dyDescent="0.3">
      <c r="A59" s="5" t="s">
        <v>71</v>
      </c>
      <c r="B59" s="19">
        <f>B15-B51</f>
        <v>-135193164.60999998</v>
      </c>
      <c r="C59" s="19">
        <f>C15-C51</f>
        <v>-82251244.75</v>
      </c>
      <c r="D59" s="22"/>
      <c r="E59" s="19">
        <f>E15-E51</f>
        <v>-155029227.17999998</v>
      </c>
      <c r="F59" s="19">
        <f>F15-F51</f>
        <v>-78733775.230000019</v>
      </c>
      <c r="G59" s="22"/>
      <c r="H59" s="19">
        <f>H15-H51</f>
        <v>-110865833.41000003</v>
      </c>
      <c r="I59" s="19">
        <f>I15-I51</f>
        <v>-63777419.710000008</v>
      </c>
      <c r="J59" s="22"/>
      <c r="K59" s="19">
        <f>K15-K51</f>
        <v>-108617527.81000003</v>
      </c>
      <c r="L59" s="19">
        <f>L15-L51</f>
        <v>-29127474.390000001</v>
      </c>
      <c r="M59" s="22"/>
      <c r="N59" s="19">
        <f>N15-N51</f>
        <v>-124841685.16</v>
      </c>
      <c r="O59" s="19">
        <f>O15-O51</f>
        <v>-38564658.600000009</v>
      </c>
      <c r="P59" s="22"/>
      <c r="Q59" s="13" t="str">
        <f t="shared" si="23"/>
        <v>-</v>
      </c>
      <c r="R59" s="13" t="str">
        <f t="shared" si="23"/>
        <v>-</v>
      </c>
    </row>
    <row r="60" spans="1:18" x14ac:dyDescent="0.3">
      <c r="A60" s="5" t="s">
        <v>366</v>
      </c>
      <c r="B60" s="19">
        <f>SUM(B14:B16)-SUM(B50:B52)</f>
        <v>102758707.71999979</v>
      </c>
      <c r="C60" s="19">
        <f>SUM(C14:C16)-SUM(C50:C52)</f>
        <v>-210120673.25000048</v>
      </c>
      <c r="D60" s="22"/>
      <c r="E60" s="19">
        <f>SUM(E14:E16)-SUM(E50:E52)</f>
        <v>111528562.17999983</v>
      </c>
      <c r="F60" s="19">
        <f>SUM(F14:F16)-SUM(F50:F52)</f>
        <v>-275328807.05000019</v>
      </c>
      <c r="G60" s="22"/>
      <c r="H60" s="19">
        <f>SUM(H14:H16)-SUM(H50:H52)</f>
        <v>109008516.88000059</v>
      </c>
      <c r="I60" s="19">
        <f>SUM(I14:I16)-SUM(I50:I52)</f>
        <v>-293729520.10000086</v>
      </c>
      <c r="J60" s="22"/>
      <c r="K60" s="19">
        <f>SUM(K14:K16)-SUM(K50:K52)</f>
        <v>178316061.75</v>
      </c>
      <c r="L60" s="19">
        <f>SUM(L14:L16)-SUM(L50:L52)</f>
        <v>-78529050.029999733</v>
      </c>
      <c r="M60" s="22"/>
      <c r="N60" s="19">
        <f>SUM(N14:N16)-SUM(N50:N52)</f>
        <v>117492660.27000141</v>
      </c>
      <c r="O60" s="19">
        <f>SUM(O14:O16)-SUM(O50:O52)</f>
        <v>-196113283.95999908</v>
      </c>
      <c r="P60" s="22"/>
      <c r="Q60" s="13">
        <f t="shared" si="23"/>
        <v>-34.109883811405211</v>
      </c>
      <c r="R60" s="13" t="str">
        <f t="shared" si="23"/>
        <v>-</v>
      </c>
    </row>
    <row r="61" spans="1:18" x14ac:dyDescent="0.3">
      <c r="A61" s="5" t="s">
        <v>367</v>
      </c>
      <c r="B61" s="28">
        <f>B21-B57</f>
        <v>-13147451.940000534</v>
      </c>
      <c r="C61" s="28">
        <f>C21-C57</f>
        <v>-326026832.90999985</v>
      </c>
      <c r="D61" s="110"/>
      <c r="E61" s="28">
        <f>E21-E57</f>
        <v>58761760.340000153</v>
      </c>
      <c r="F61" s="28">
        <f>F21-F57</f>
        <v>-328095608.89000034</v>
      </c>
      <c r="G61" s="110"/>
      <c r="H61" s="28">
        <f>H21-H57</f>
        <v>82646963.740000725</v>
      </c>
      <c r="I61" s="28">
        <f>I21-I57</f>
        <v>-320091073.24000072</v>
      </c>
      <c r="J61" s="110"/>
      <c r="K61" s="28">
        <f>K21-K57</f>
        <v>67366149.440000534</v>
      </c>
      <c r="L61" s="28">
        <f>L21-L57</f>
        <v>-189478962.33999968</v>
      </c>
      <c r="M61" s="110"/>
      <c r="N61" s="28">
        <f>N21-N57</f>
        <v>103170898.98000145</v>
      </c>
      <c r="O61" s="28">
        <f>O21-O57</f>
        <v>-210435045.24999809</v>
      </c>
      <c r="P61" s="110"/>
    </row>
    <row r="62" spans="1:18" x14ac:dyDescent="0.3">
      <c r="A62" s="5" t="s">
        <v>368</v>
      </c>
      <c r="C62" s="6">
        <f>SUM(C14:C16)/SUM(B14:B16)*100</f>
        <v>82.67868625549022</v>
      </c>
      <c r="D62" s="110"/>
      <c r="F62" s="6">
        <f>SUM(F14:F16)/SUM(E14:E16)*100</f>
        <v>78.399360699113316</v>
      </c>
      <c r="G62" s="110"/>
      <c r="I62" s="6">
        <f>SUM(I14:I16)/SUM(H14:H16)*100</f>
        <v>81.663584770337593</v>
      </c>
      <c r="J62" s="110"/>
      <c r="L62" s="6">
        <f>SUM(L14:L16)/SUM(K14:K16)*100</f>
        <v>82.808466025126123</v>
      </c>
      <c r="M62" s="110"/>
      <c r="O62" s="6">
        <f>SUM(O14:O16)/SUM(N14:N16)*100</f>
        <v>82.872587473032368</v>
      </c>
      <c r="P62" s="110"/>
    </row>
    <row r="63" spans="1:18" x14ac:dyDescent="0.3">
      <c r="A63" s="5" t="s">
        <v>369</v>
      </c>
      <c r="C63" s="6">
        <f>SUM(C50:C52)/SUM(B50:B52)*100</f>
        <v>89.667770671923265</v>
      </c>
      <c r="D63" s="110"/>
      <c r="F63" s="6">
        <f>SUM(F50:F52)/SUM(E50:E52)*100</f>
        <v>87.235829376263368</v>
      </c>
      <c r="G63" s="110"/>
      <c r="I63" s="6">
        <f>SUM(I50:I52)/SUM(H50:H52)*100</f>
        <v>90.946500005944358</v>
      </c>
      <c r="J63" s="110"/>
      <c r="L63" s="6">
        <f>SUM(L50:L52)/SUM(K50:K52)*100</f>
        <v>87.989287333855032</v>
      </c>
      <c r="M63" s="110"/>
      <c r="O63" s="6">
        <f>SUM(O50:O52)/SUM(N50:N52)*100</f>
        <v>89.401836556470926</v>
      </c>
      <c r="P63" s="110"/>
    </row>
  </sheetData>
  <mergeCells count="6">
    <mergeCell ref="Q1:R1"/>
    <mergeCell ref="B1:D1"/>
    <mergeCell ref="E1:G1"/>
    <mergeCell ref="N1:P1"/>
    <mergeCell ref="H1:J1"/>
    <mergeCell ref="K1:M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showGridLines="0" tabSelected="1" workbookViewId="0">
      <selection activeCell="I2" sqref="I2"/>
    </sheetView>
  </sheetViews>
  <sheetFormatPr defaultRowHeight="14.4" x14ac:dyDescent="0.3"/>
  <cols>
    <col min="1" max="2" width="10.33203125" bestFit="1" customWidth="1"/>
    <col min="3" max="3" width="50.6640625" bestFit="1" customWidth="1"/>
    <col min="4" max="4" width="7.44140625" customWidth="1"/>
    <col min="5" max="9" width="7.5546875" customWidth="1"/>
  </cols>
  <sheetData>
    <row r="1" spans="1:9" ht="23.25" customHeight="1" x14ac:dyDescent="0.3">
      <c r="A1" s="74" t="s">
        <v>308</v>
      </c>
      <c r="B1" s="74" t="s">
        <v>309</v>
      </c>
      <c r="C1" s="74" t="s">
        <v>319</v>
      </c>
      <c r="D1" s="42" t="s">
        <v>210</v>
      </c>
      <c r="E1" s="42">
        <v>2016</v>
      </c>
      <c r="F1" s="42">
        <v>2017</v>
      </c>
      <c r="G1" s="42">
        <v>2018</v>
      </c>
      <c r="H1" s="42">
        <v>2019</v>
      </c>
      <c r="I1" s="42">
        <v>2020</v>
      </c>
    </row>
    <row r="2" spans="1:9" ht="29.25" customHeight="1" x14ac:dyDescent="0.3">
      <c r="A2" s="75" t="s">
        <v>310</v>
      </c>
      <c r="B2" s="75" t="s">
        <v>77</v>
      </c>
      <c r="C2" s="77" t="s">
        <v>318</v>
      </c>
      <c r="D2" s="89" t="s">
        <v>325</v>
      </c>
      <c r="E2" s="82">
        <f>Piano_indicatori!D3</f>
        <v>10.24</v>
      </c>
      <c r="F2" s="82">
        <f>Piano_indicatori!E3</f>
        <v>7.48</v>
      </c>
      <c r="G2" s="82">
        <f>Piano_indicatori!F3</f>
        <v>6.2</v>
      </c>
      <c r="H2" s="82">
        <f>Piano_indicatori!G3</f>
        <v>6.74</v>
      </c>
      <c r="I2" s="82">
        <f>Piano_indicatori!H3</f>
        <v>7.13</v>
      </c>
    </row>
    <row r="3" spans="1:9" ht="29.25" customHeight="1" x14ac:dyDescent="0.3">
      <c r="A3" s="76" t="s">
        <v>311</v>
      </c>
      <c r="B3" s="76" t="s">
        <v>94</v>
      </c>
      <c r="C3" s="78" t="s">
        <v>95</v>
      </c>
      <c r="D3" s="90" t="s">
        <v>326</v>
      </c>
      <c r="E3" s="83">
        <f>Piano_indicatori!D12</f>
        <v>59.44</v>
      </c>
      <c r="F3" s="83">
        <f>Piano_indicatori!E12</f>
        <v>54.14</v>
      </c>
      <c r="G3" s="83">
        <f>Piano_indicatori!F12</f>
        <v>57.16</v>
      </c>
      <c r="H3" s="83">
        <f>Piano_indicatori!G12</f>
        <v>63.25</v>
      </c>
      <c r="I3" s="83">
        <f>Piano_indicatori!H12</f>
        <v>61.96</v>
      </c>
    </row>
    <row r="4" spans="1:9" ht="29.25" customHeight="1" x14ac:dyDescent="0.3">
      <c r="A4" s="75" t="s">
        <v>312</v>
      </c>
      <c r="B4" s="75" t="s">
        <v>99</v>
      </c>
      <c r="C4" s="79" t="s">
        <v>321</v>
      </c>
      <c r="D4" s="89" t="s">
        <v>327</v>
      </c>
      <c r="E4" s="84">
        <f>Piano_indicatori!D15</f>
        <v>0</v>
      </c>
      <c r="F4" s="84">
        <f>Piano_indicatori!E15</f>
        <v>0</v>
      </c>
      <c r="G4" s="84">
        <f>Piano_indicatori!F15</f>
        <v>0</v>
      </c>
      <c r="H4" s="84">
        <f>Piano_indicatori!G15</f>
        <v>0</v>
      </c>
      <c r="I4" s="84">
        <f>Piano_indicatori!H15</f>
        <v>0</v>
      </c>
    </row>
    <row r="5" spans="1:9" ht="29.25" customHeight="1" x14ac:dyDescent="0.3">
      <c r="A5" s="76" t="s">
        <v>313</v>
      </c>
      <c r="B5" s="76" t="s">
        <v>164</v>
      </c>
      <c r="C5" s="80" t="s">
        <v>322</v>
      </c>
      <c r="D5" s="91" t="s">
        <v>328</v>
      </c>
      <c r="E5" s="85">
        <f>Piano_indicatori!D51</f>
        <v>1.57</v>
      </c>
      <c r="F5" s="85">
        <f>Piano_indicatori!E51</f>
        <v>1.56</v>
      </c>
      <c r="G5" s="85">
        <f>Piano_indicatori!F51</f>
        <v>1.56</v>
      </c>
      <c r="H5" s="85">
        <f>Piano_indicatori!G51</f>
        <v>3.07</v>
      </c>
      <c r="I5" s="85">
        <f>Piano_indicatori!H51</f>
        <v>0.94</v>
      </c>
    </row>
    <row r="6" spans="1:9" ht="29.25" customHeight="1" x14ac:dyDescent="0.3">
      <c r="A6" s="75" t="s">
        <v>314</v>
      </c>
      <c r="B6" s="75" t="s">
        <v>184</v>
      </c>
      <c r="C6" s="93" t="s">
        <v>185</v>
      </c>
      <c r="D6" s="92" t="s">
        <v>329</v>
      </c>
      <c r="E6" s="86">
        <f>Piano_indicatori!D62</f>
        <v>2.96</v>
      </c>
      <c r="F6" s="86">
        <f>Piano_indicatori!E62</f>
        <v>3.97</v>
      </c>
      <c r="G6" s="86">
        <f>Piano_indicatori!F62</f>
        <v>3</v>
      </c>
      <c r="H6" s="86">
        <f>Piano_indicatori!G62</f>
        <v>1.9</v>
      </c>
      <c r="I6" s="86">
        <f>Piano_indicatori!H62</f>
        <v>0.08</v>
      </c>
    </row>
    <row r="7" spans="1:9" ht="29.25" customHeight="1" x14ac:dyDescent="0.3">
      <c r="A7" s="76" t="s">
        <v>315</v>
      </c>
      <c r="B7" s="76" t="s">
        <v>187</v>
      </c>
      <c r="C7" s="80" t="s">
        <v>188</v>
      </c>
      <c r="D7" s="90" t="s">
        <v>330</v>
      </c>
      <c r="E7" s="87">
        <f>Piano_indicatori!D65</f>
        <v>0</v>
      </c>
      <c r="F7" s="87">
        <f>Piano_indicatori!E65</f>
        <v>0</v>
      </c>
      <c r="G7" s="87">
        <f>Piano_indicatori!F65</f>
        <v>0</v>
      </c>
      <c r="H7" s="87">
        <f>Piano_indicatori!G65</f>
        <v>0</v>
      </c>
      <c r="I7" s="87">
        <f>Piano_indicatori!H65</f>
        <v>0</v>
      </c>
    </row>
    <row r="8" spans="1:9" ht="29.25" customHeight="1" x14ac:dyDescent="0.3">
      <c r="A8" s="75" t="s">
        <v>316</v>
      </c>
      <c r="B8" s="75" t="s">
        <v>320</v>
      </c>
      <c r="C8" s="79" t="s">
        <v>323</v>
      </c>
      <c r="D8" s="89" t="s">
        <v>331</v>
      </c>
      <c r="E8" s="84">
        <f>Piano_indicatori!D66+Piano_indicatori!D67</f>
        <v>0</v>
      </c>
      <c r="F8" s="84">
        <f>Piano_indicatori!E66+Piano_indicatori!E67</f>
        <v>0</v>
      </c>
      <c r="G8" s="84">
        <f>Piano_indicatori!F66+Piano_indicatori!F67</f>
        <v>0</v>
      </c>
      <c r="H8" s="84">
        <f>Piano_indicatori!G66+Piano_indicatori!G67</f>
        <v>0</v>
      </c>
      <c r="I8" s="84">
        <f>Piano_indicatori!H66+Piano_indicatori!H67</f>
        <v>0</v>
      </c>
    </row>
    <row r="9" spans="1:9" ht="29.25" customHeight="1" x14ac:dyDescent="0.3">
      <c r="A9" s="76" t="s">
        <v>317</v>
      </c>
      <c r="B9" s="76"/>
      <c r="C9" s="81" t="s">
        <v>324</v>
      </c>
      <c r="D9" s="91" t="s">
        <v>332</v>
      </c>
      <c r="E9" s="88">
        <f>Piano_indicatori!D77</f>
        <v>72.248808294314841</v>
      </c>
      <c r="F9" s="88">
        <f>Piano_indicatori!E77</f>
        <v>65.471327943243367</v>
      </c>
      <c r="G9" s="88">
        <f>Piano_indicatori!F77</f>
        <v>72.569036439049867</v>
      </c>
      <c r="H9" s="88">
        <f>Piano_indicatori!G77</f>
        <v>75.996483383683156</v>
      </c>
      <c r="I9" s="88">
        <f>Piano_indicatori!H77</f>
        <v>76.219925535644805</v>
      </c>
    </row>
  </sheetData>
  <conditionalFormatting sqref="E2:F2 I2">
    <cfRule type="cellIs" dxfId="31" priority="24" operator="greaterThan">
      <formula>48</formula>
    </cfRule>
  </conditionalFormatting>
  <conditionalFormatting sqref="E3:F3 I3">
    <cfRule type="cellIs" dxfId="30" priority="23" operator="lessThan">
      <formula>22</formula>
    </cfRule>
  </conditionalFormatting>
  <conditionalFormatting sqref="E4:F4 I4">
    <cfRule type="cellIs" dxfId="29" priority="22" operator="greaterThan">
      <formula>0</formula>
    </cfRule>
  </conditionalFormatting>
  <conditionalFormatting sqref="E5:F5 I5">
    <cfRule type="cellIs" dxfId="28" priority="21" operator="greaterThan">
      <formula>16</formula>
    </cfRule>
  </conditionalFormatting>
  <conditionalFormatting sqref="E6:F6 I6">
    <cfRule type="cellIs" dxfId="27" priority="20" operator="greaterThan">
      <formula>1.2</formula>
    </cfRule>
  </conditionalFormatting>
  <conditionalFormatting sqref="E7:F7 I7">
    <cfRule type="cellIs" dxfId="26" priority="19" operator="greaterThan">
      <formula>1</formula>
    </cfRule>
  </conditionalFormatting>
  <conditionalFormatting sqref="E8:F8 I8">
    <cfRule type="cellIs" dxfId="25" priority="18" operator="greaterThan">
      <formula>0.6</formula>
    </cfRule>
  </conditionalFormatting>
  <conditionalFormatting sqref="E9:F9 I9">
    <cfRule type="cellIs" dxfId="24" priority="17" operator="lessThan">
      <formula>47</formula>
    </cfRule>
  </conditionalFormatting>
  <conditionalFormatting sqref="G2">
    <cfRule type="cellIs" dxfId="23" priority="16" operator="greaterThan">
      <formula>48</formula>
    </cfRule>
  </conditionalFormatting>
  <conditionalFormatting sqref="G3">
    <cfRule type="cellIs" dxfId="22" priority="15" operator="lessThan">
      <formula>22</formula>
    </cfRule>
  </conditionalFormatting>
  <conditionalFormatting sqref="G4">
    <cfRule type="cellIs" dxfId="21" priority="14" operator="greaterThan">
      <formula>0</formula>
    </cfRule>
  </conditionalFormatting>
  <conditionalFormatting sqref="G5">
    <cfRule type="cellIs" dxfId="20" priority="13" operator="greaterThan">
      <formula>16</formula>
    </cfRule>
  </conditionalFormatting>
  <conditionalFormatting sqref="G6">
    <cfRule type="cellIs" dxfId="19" priority="12" operator="greaterThan">
      <formula>1.2</formula>
    </cfRule>
  </conditionalFormatting>
  <conditionalFormatting sqref="G7">
    <cfRule type="cellIs" dxfId="18" priority="11" operator="greaterThan">
      <formula>1</formula>
    </cfRule>
  </conditionalFormatting>
  <conditionalFormatting sqref="G8">
    <cfRule type="cellIs" dxfId="17" priority="10" operator="greaterThan">
      <formula>0.6</formula>
    </cfRule>
  </conditionalFormatting>
  <conditionalFormatting sqref="G9">
    <cfRule type="cellIs" dxfId="16" priority="9" operator="lessThan">
      <formula>47</formula>
    </cfRule>
  </conditionalFormatting>
  <conditionalFormatting sqref="H2">
    <cfRule type="cellIs" dxfId="15" priority="8" operator="greaterThan">
      <formula>48</formula>
    </cfRule>
  </conditionalFormatting>
  <conditionalFormatting sqref="H3">
    <cfRule type="cellIs" dxfId="13" priority="7" operator="lessThan">
      <formula>22</formula>
    </cfRule>
  </conditionalFormatting>
  <conditionalFormatting sqref="H4">
    <cfRule type="cellIs" dxfId="11" priority="6" operator="greaterThan">
      <formula>0</formula>
    </cfRule>
  </conditionalFormatting>
  <conditionalFormatting sqref="H5">
    <cfRule type="cellIs" dxfId="9" priority="5" operator="greaterThan">
      <formula>16</formula>
    </cfRule>
  </conditionalFormatting>
  <conditionalFormatting sqref="H6">
    <cfRule type="cellIs" dxfId="7" priority="4" operator="greaterThan">
      <formula>1.2</formula>
    </cfRule>
  </conditionalFormatting>
  <conditionalFormatting sqref="H7">
    <cfRule type="cellIs" dxfId="5" priority="3" operator="greaterThan">
      <formula>1</formula>
    </cfRule>
  </conditionalFormatting>
  <conditionalFormatting sqref="H8">
    <cfRule type="cellIs" dxfId="3" priority="2" operator="greaterThan">
      <formula>0.6</formula>
    </cfRule>
  </conditionalFormatting>
  <conditionalFormatting sqref="H9">
    <cfRule type="cellIs" dxfId="1" priority="1" operator="lessThan">
      <formula>47</formula>
    </cfRule>
  </conditionalFormatting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"/>
  <sheetViews>
    <sheetView workbookViewId="0">
      <selection activeCell="N12" sqref="N12"/>
    </sheetView>
  </sheetViews>
  <sheetFormatPr defaultRowHeight="14.4" x14ac:dyDescent="0.3"/>
  <cols>
    <col min="2" max="2" width="12.33203125" bestFit="1" customWidth="1"/>
    <col min="5" max="5" width="10.33203125" customWidth="1"/>
  </cols>
  <sheetData>
    <row r="1" spans="1:22" ht="28.8" x14ac:dyDescent="0.3">
      <c r="A1" s="101" t="s">
        <v>361</v>
      </c>
      <c r="B1" s="101" t="s">
        <v>362</v>
      </c>
      <c r="C1" s="101" t="s">
        <v>232</v>
      </c>
      <c r="D1" s="101" t="s">
        <v>346</v>
      </c>
      <c r="E1" s="106" t="s">
        <v>347</v>
      </c>
      <c r="F1" s="106" t="s">
        <v>348</v>
      </c>
    </row>
    <row r="2" spans="1:22" x14ac:dyDescent="0.3">
      <c r="A2" s="31">
        <v>2020</v>
      </c>
      <c r="B2" s="95">
        <v>1518495</v>
      </c>
      <c r="C2" s="102">
        <f>B2/B3*100-100</f>
        <v>-0.41519491404264386</v>
      </c>
      <c r="D2" s="105"/>
    </row>
    <row r="3" spans="1:22" x14ac:dyDescent="0.3">
      <c r="A3" s="31">
        <v>2020</v>
      </c>
      <c r="B3" s="95">
        <v>1524826</v>
      </c>
      <c r="C3" s="102">
        <f>B3/B4*100-100</f>
        <v>-0.53190517814975635</v>
      </c>
      <c r="D3" s="95">
        <v>-16981</v>
      </c>
      <c r="E3" s="1">
        <v>10650</v>
      </c>
      <c r="F3" s="1">
        <f t="shared" ref="F3:F8" si="0">B2-B3-D3-E3</f>
        <v>0</v>
      </c>
    </row>
    <row r="4" spans="1:22" x14ac:dyDescent="0.3">
      <c r="A4" s="31">
        <v>2019</v>
      </c>
      <c r="B4" s="95">
        <v>1532980</v>
      </c>
      <c r="C4" s="102">
        <f>B4/B5*100-100</f>
        <v>-0.5553533769131036</v>
      </c>
      <c r="D4" s="95">
        <v>-12607</v>
      </c>
      <c r="E4" s="1">
        <v>4453</v>
      </c>
      <c r="F4" s="1">
        <f t="shared" si="0"/>
        <v>0</v>
      </c>
      <c r="L4" s="107"/>
      <c r="M4" s="108"/>
      <c r="N4" s="108"/>
      <c r="O4" s="108"/>
      <c r="P4" s="108"/>
      <c r="Q4" s="108"/>
      <c r="R4" s="108"/>
      <c r="S4" s="108"/>
      <c r="T4" s="108"/>
      <c r="U4" s="108"/>
      <c r="V4" s="1"/>
    </row>
    <row r="5" spans="1:22" x14ac:dyDescent="0.3">
      <c r="A5" s="31">
        <v>2018</v>
      </c>
      <c r="B5" s="95">
        <v>1541541</v>
      </c>
      <c r="C5" s="102">
        <f t="shared" ref="C5:C7" si="1">B5/B6*100-100</f>
        <v>-0.63414549249409902</v>
      </c>
      <c r="D5" s="95">
        <v>-13195</v>
      </c>
      <c r="E5" s="95">
        <v>4634</v>
      </c>
      <c r="F5" s="1">
        <f t="shared" si="0"/>
        <v>0</v>
      </c>
      <c r="L5" s="107"/>
      <c r="M5" s="108"/>
      <c r="N5" s="108"/>
      <c r="O5" s="108"/>
      <c r="P5" s="108"/>
      <c r="Q5" s="108"/>
      <c r="R5" s="108"/>
      <c r="S5" s="108"/>
      <c r="T5" s="108"/>
      <c r="U5" s="108"/>
    </row>
    <row r="6" spans="1:22" x14ac:dyDescent="0.3">
      <c r="A6" s="31">
        <v>2017</v>
      </c>
      <c r="B6" s="95">
        <v>1551379</v>
      </c>
      <c r="C6" s="102">
        <f t="shared" si="1"/>
        <v>-0.40847585800473496</v>
      </c>
      <c r="D6" s="95">
        <v>-12563</v>
      </c>
      <c r="E6" s="95">
        <v>2725</v>
      </c>
      <c r="F6" s="1">
        <f t="shared" si="0"/>
        <v>0</v>
      </c>
      <c r="L6" s="107"/>
      <c r="M6" s="108"/>
      <c r="N6" s="108"/>
      <c r="O6" s="108"/>
      <c r="P6" s="108"/>
      <c r="Q6" s="108"/>
      <c r="R6" s="108"/>
      <c r="S6" s="108"/>
      <c r="T6" s="108"/>
      <c r="U6" s="108"/>
    </row>
    <row r="7" spans="1:22" x14ac:dyDescent="0.3">
      <c r="A7" s="31">
        <v>2016</v>
      </c>
      <c r="B7" s="95">
        <v>1557742</v>
      </c>
      <c r="C7" s="102">
        <f t="shared" si="1"/>
        <v>-0.74453924903802715</v>
      </c>
      <c r="D7" s="95">
        <v>-10952</v>
      </c>
      <c r="E7" s="95">
        <v>4589</v>
      </c>
      <c r="F7" s="1">
        <f t="shared" si="0"/>
        <v>0</v>
      </c>
      <c r="L7" s="107"/>
      <c r="M7" s="108"/>
      <c r="N7" s="108"/>
      <c r="O7" s="108"/>
      <c r="P7" s="108"/>
      <c r="Q7" s="108"/>
      <c r="R7" s="108"/>
      <c r="S7" s="108"/>
      <c r="T7" s="108"/>
      <c r="U7" s="109"/>
    </row>
    <row r="8" spans="1:22" x14ac:dyDescent="0.3">
      <c r="A8" s="103">
        <v>2015</v>
      </c>
      <c r="B8" s="104">
        <v>1569427</v>
      </c>
      <c r="C8" s="104"/>
      <c r="D8" s="104">
        <v>-12313</v>
      </c>
      <c r="E8" s="104">
        <v>628</v>
      </c>
      <c r="F8" s="1">
        <f t="shared" si="0"/>
        <v>0</v>
      </c>
    </row>
    <row r="9" spans="1:22" x14ac:dyDescent="0.3">
      <c r="A9" t="s">
        <v>363</v>
      </c>
    </row>
  </sheetData>
  <sortState ref="A2:B6">
    <sortCondition descending="1" ref="A2:A6"/>
  </sortState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showGridLines="0" workbookViewId="0">
      <selection activeCell="H1" sqref="H1:H21"/>
    </sheetView>
  </sheetViews>
  <sheetFormatPr defaultRowHeight="14.4" x14ac:dyDescent="0.3"/>
  <cols>
    <col min="1" max="1" width="55.6640625" bestFit="1" customWidth="1"/>
    <col min="2" max="2" width="15.33203125" bestFit="1" customWidth="1"/>
    <col min="3" max="6" width="14.33203125" bestFit="1" customWidth="1"/>
    <col min="7" max="7" width="8.44140625" customWidth="1"/>
    <col min="8" max="8" width="6.5546875" bestFit="1" customWidth="1"/>
    <col min="9" max="9" width="13.88671875" customWidth="1"/>
    <col min="10" max="10" width="7" bestFit="1" customWidth="1"/>
  </cols>
  <sheetData>
    <row r="1" spans="1:10" ht="28.8" x14ac:dyDescent="0.3">
      <c r="A1" s="41"/>
      <c r="B1" s="42">
        <v>2016</v>
      </c>
      <c r="C1" s="42">
        <v>2017</v>
      </c>
      <c r="D1" s="42">
        <v>2018</v>
      </c>
      <c r="E1" s="42">
        <v>2019</v>
      </c>
      <c r="F1" s="42">
        <v>2020</v>
      </c>
      <c r="G1" s="54" t="s">
        <v>295</v>
      </c>
      <c r="H1" s="42" t="s">
        <v>232</v>
      </c>
      <c r="I1" s="54" t="s">
        <v>370</v>
      </c>
      <c r="J1" s="42" t="s">
        <v>267</v>
      </c>
    </row>
    <row r="2" spans="1:10" x14ac:dyDescent="0.3">
      <c r="A2" s="55" t="s">
        <v>19</v>
      </c>
      <c r="B2" s="56">
        <f>Entrate_Uscite!B3</f>
        <v>3370842026.4000001</v>
      </c>
      <c r="C2" s="56">
        <f>Entrate_Uscite!E3</f>
        <v>3332748908.8099999</v>
      </c>
      <c r="D2" s="56">
        <f>Entrate_Uscite!H3</f>
        <v>3330972971.3699999</v>
      </c>
      <c r="E2" s="56">
        <f>Entrate_Uscite!K3</f>
        <v>3353412039.7199998</v>
      </c>
      <c r="F2" s="56">
        <f>Entrate_Uscite!N3</f>
        <v>3438220291.9000001</v>
      </c>
      <c r="G2" s="56">
        <f>F2/F$21*100</f>
        <v>71.370403325335857</v>
      </c>
      <c r="H2" s="57">
        <f t="shared" ref="H2:H21" si="0">IF(E2&gt;0,F2/E2*100-100,"-")</f>
        <v>2.5290137679317723</v>
      </c>
      <c r="I2" s="56">
        <f>Entrate_Uscite!O3</f>
        <v>3081839818.46</v>
      </c>
      <c r="J2" s="58">
        <f>IF(F2&gt;0,I2/F2*100,"-")</f>
        <v>89.634739976388772</v>
      </c>
    </row>
    <row r="3" spans="1:10" x14ac:dyDescent="0.3">
      <c r="A3" s="55" t="s">
        <v>20</v>
      </c>
      <c r="B3" s="56">
        <f>Entrate_Uscite!B4</f>
        <v>602652234.58000004</v>
      </c>
      <c r="C3" s="56">
        <f>Entrate_Uscite!E4</f>
        <v>643919173.36000001</v>
      </c>
      <c r="D3" s="56">
        <f>Entrate_Uscite!H4</f>
        <v>671830880.11000001</v>
      </c>
      <c r="E3" s="56">
        <f>Entrate_Uscite!K4</f>
        <v>601157921.88999999</v>
      </c>
      <c r="F3" s="56">
        <f>Entrate_Uscite!N4</f>
        <v>706873149.65999997</v>
      </c>
      <c r="G3" s="56">
        <f t="shared" ref="G3:G21" si="1">F3/F$21*100</f>
        <v>14.673237171550035</v>
      </c>
      <c r="H3" s="57">
        <f t="shared" si="0"/>
        <v>17.585267351653357</v>
      </c>
      <c r="I3" s="56">
        <f>Entrate_Uscite!O4</f>
        <v>505011058.38</v>
      </c>
      <c r="J3" s="58">
        <f t="shared" ref="J3:J21" si="2">IF(F3&gt;0,I3/F3*100,"-")</f>
        <v>71.442953891077352</v>
      </c>
    </row>
    <row r="4" spans="1:10" x14ac:dyDescent="0.3">
      <c r="A4" s="55" t="s">
        <v>21</v>
      </c>
      <c r="B4" s="56">
        <f>Entrate_Uscite!B5</f>
        <v>102346350.17</v>
      </c>
      <c r="C4" s="56">
        <f>Entrate_Uscite!E5</f>
        <v>101695845.42</v>
      </c>
      <c r="D4" s="56">
        <f>Entrate_Uscite!H5</f>
        <v>61424410.020000003</v>
      </c>
      <c r="E4" s="56">
        <f>Entrate_Uscite!K5</f>
        <v>221689739.05000001</v>
      </c>
      <c r="F4" s="56">
        <f>Entrate_Uscite!N5</f>
        <v>209313380.08000001</v>
      </c>
      <c r="G4" s="56">
        <f t="shared" si="1"/>
        <v>4.3449165816666104</v>
      </c>
      <c r="H4" s="57">
        <f t="shared" si="0"/>
        <v>-5.582738751480349</v>
      </c>
      <c r="I4" s="56">
        <f>Entrate_Uscite!O5</f>
        <v>199581922.55000001</v>
      </c>
      <c r="J4" s="58">
        <f t="shared" si="2"/>
        <v>95.350771400146215</v>
      </c>
    </row>
    <row r="5" spans="1:10" x14ac:dyDescent="0.3">
      <c r="A5" s="4" t="s">
        <v>30</v>
      </c>
      <c r="B5" s="43">
        <f>SUM(B2:B4)</f>
        <v>4075840611.1500001</v>
      </c>
      <c r="C5" s="43">
        <f>SUM(C2:C4)</f>
        <v>4078363927.5900002</v>
      </c>
      <c r="D5" s="43">
        <f>SUM(D2:D4)</f>
        <v>4064228261.5</v>
      </c>
      <c r="E5" s="43">
        <f>SUM(E2:E4)</f>
        <v>4176259700.6599998</v>
      </c>
      <c r="F5" s="43">
        <f>SUM(F2:F4)</f>
        <v>4354406821.6400003</v>
      </c>
      <c r="G5" s="43">
        <f t="shared" si="1"/>
        <v>90.388557078552509</v>
      </c>
      <c r="H5" s="44">
        <f t="shared" si="0"/>
        <v>4.2657098396406496</v>
      </c>
      <c r="I5" s="43">
        <f>SUM(I2:I4)</f>
        <v>3786432799.3900003</v>
      </c>
      <c r="J5" s="45">
        <f>IF(F5&gt;0,I5/F5*100,"-")</f>
        <v>86.956339967424455</v>
      </c>
    </row>
    <row r="6" spans="1:10" x14ac:dyDescent="0.3">
      <c r="A6" s="55" t="s">
        <v>22</v>
      </c>
      <c r="B6" s="56">
        <f>Entrate_Uscite!B6</f>
        <v>0</v>
      </c>
      <c r="C6" s="56">
        <f>Entrate_Uscite!E6</f>
        <v>0</v>
      </c>
      <c r="D6" s="56">
        <f>Entrate_Uscite!H6</f>
        <v>0</v>
      </c>
      <c r="E6" s="56">
        <f>Entrate_Uscite!K6</f>
        <v>0</v>
      </c>
      <c r="F6" s="56">
        <f>Entrate_Uscite!N6</f>
        <v>0</v>
      </c>
      <c r="G6" s="56">
        <f t="shared" si="1"/>
        <v>0</v>
      </c>
      <c r="H6" s="57" t="str">
        <f t="shared" si="0"/>
        <v>-</v>
      </c>
      <c r="I6" s="56">
        <f>Entrate_Uscite!O6</f>
        <v>0</v>
      </c>
      <c r="J6" s="58" t="str">
        <f t="shared" si="2"/>
        <v>-</v>
      </c>
    </row>
    <row r="7" spans="1:10" x14ac:dyDescent="0.3">
      <c r="A7" s="55" t="s">
        <v>23</v>
      </c>
      <c r="B7" s="56">
        <f>Entrate_Uscite!B7</f>
        <v>237146135.58000001</v>
      </c>
      <c r="C7" s="56">
        <f>Entrate_Uscite!E7</f>
        <v>135459373.90000001</v>
      </c>
      <c r="D7" s="56">
        <f>Entrate_Uscite!H7</f>
        <v>90364075.319999993</v>
      </c>
      <c r="E7" s="56">
        <f>Entrate_Uscite!K7</f>
        <v>176309979.91</v>
      </c>
      <c r="F7" s="56">
        <f>Entrate_Uscite!N7</f>
        <v>171216833.71000001</v>
      </c>
      <c r="G7" s="56">
        <f t="shared" si="1"/>
        <v>3.5541103944845989</v>
      </c>
      <c r="H7" s="57">
        <f t="shared" si="0"/>
        <v>-2.8887452670574021</v>
      </c>
      <c r="I7" s="56">
        <f>Entrate_Uscite!O7</f>
        <v>27114411.739999998</v>
      </c>
      <c r="J7" s="58">
        <f t="shared" si="2"/>
        <v>15.836300177075618</v>
      </c>
    </row>
    <row r="8" spans="1:10" x14ac:dyDescent="0.3">
      <c r="A8" s="55" t="s">
        <v>24</v>
      </c>
      <c r="B8" s="56">
        <f>Entrate_Uscite!B8</f>
        <v>0</v>
      </c>
      <c r="C8" s="56">
        <f>Entrate_Uscite!E8</f>
        <v>1000000</v>
      </c>
      <c r="D8" s="56">
        <f>Entrate_Uscite!H8</f>
        <v>0</v>
      </c>
      <c r="E8" s="56">
        <f>Entrate_Uscite!K8</f>
        <v>0</v>
      </c>
      <c r="F8" s="56">
        <f>Entrate_Uscite!N8</f>
        <v>7751973.6799999997</v>
      </c>
      <c r="G8" s="56">
        <f t="shared" si="1"/>
        <v>0.16091507848185299</v>
      </c>
      <c r="H8" s="57" t="str">
        <f t="shared" si="0"/>
        <v>-</v>
      </c>
      <c r="I8" s="56">
        <f>Entrate_Uscite!O8</f>
        <v>7751973.6799999997</v>
      </c>
      <c r="J8" s="58">
        <f t="shared" si="2"/>
        <v>100</v>
      </c>
    </row>
    <row r="9" spans="1:10" x14ac:dyDescent="0.3">
      <c r="A9" s="55" t="s">
        <v>25</v>
      </c>
      <c r="B9" s="56">
        <f>Entrate_Uscite!B9</f>
        <v>1500540</v>
      </c>
      <c r="C9" s="56">
        <f>Entrate_Uscite!E9</f>
        <v>1751868</v>
      </c>
      <c r="D9" s="56">
        <f>Entrate_Uscite!H9</f>
        <v>420000</v>
      </c>
      <c r="E9" s="56">
        <f>Entrate_Uscite!K9</f>
        <v>691700</v>
      </c>
      <c r="F9" s="56">
        <f>Entrate_Uscite!N9</f>
        <v>0</v>
      </c>
      <c r="G9" s="56">
        <f t="shared" si="1"/>
        <v>0</v>
      </c>
      <c r="H9" s="57">
        <f t="shared" si="0"/>
        <v>-100</v>
      </c>
      <c r="I9" s="56">
        <f>Entrate_Uscite!O9</f>
        <v>0</v>
      </c>
      <c r="J9" s="58" t="str">
        <f t="shared" si="2"/>
        <v>-</v>
      </c>
    </row>
    <row r="10" spans="1:10" x14ac:dyDescent="0.3">
      <c r="A10" s="55" t="s">
        <v>26</v>
      </c>
      <c r="B10" s="56">
        <f>Entrate_Uscite!B10</f>
        <v>0</v>
      </c>
      <c r="C10" s="56">
        <f>Entrate_Uscite!E10</f>
        <v>0</v>
      </c>
      <c r="D10" s="56">
        <f>Entrate_Uscite!H10</f>
        <v>0</v>
      </c>
      <c r="E10" s="56">
        <f>Entrate_Uscite!K10</f>
        <v>0</v>
      </c>
      <c r="F10" s="56">
        <f>Entrate_Uscite!N10</f>
        <v>1100000</v>
      </c>
      <c r="G10" s="56">
        <f t="shared" si="1"/>
        <v>2.2833744493574996E-2</v>
      </c>
      <c r="H10" s="57" t="str">
        <f t="shared" si="0"/>
        <v>-</v>
      </c>
      <c r="I10" s="56">
        <f>Entrate_Uscite!O10</f>
        <v>1100000</v>
      </c>
      <c r="J10" s="58">
        <f t="shared" si="2"/>
        <v>100</v>
      </c>
    </row>
    <row r="11" spans="1:10" x14ac:dyDescent="0.3">
      <c r="A11" s="4" t="s">
        <v>31</v>
      </c>
      <c r="B11" s="46">
        <f>SUM(B6:B10)</f>
        <v>238646675.58000001</v>
      </c>
      <c r="C11" s="46">
        <f>SUM(C6:C10)</f>
        <v>138211241.90000001</v>
      </c>
      <c r="D11" s="46">
        <f>SUM(D6:D10)</f>
        <v>90784075.319999993</v>
      </c>
      <c r="E11" s="46">
        <f>SUM(E6:E10)</f>
        <v>177001679.91</v>
      </c>
      <c r="F11" s="46">
        <f>SUM(F6:F10)</f>
        <v>180068807.39000002</v>
      </c>
      <c r="G11" s="46">
        <f t="shared" si="1"/>
        <v>3.7378592174600276</v>
      </c>
      <c r="H11" s="44">
        <f t="shared" si="0"/>
        <v>1.7328239379194486</v>
      </c>
      <c r="I11" s="46">
        <f>SUM(I6:I10)</f>
        <v>35966385.420000002</v>
      </c>
      <c r="J11" s="45">
        <f>IF(F11&gt;0,I11/F11*100,"-")</f>
        <v>19.973690025115015</v>
      </c>
    </row>
    <row r="12" spans="1:10" x14ac:dyDescent="0.3">
      <c r="A12" s="55" t="s">
        <v>27</v>
      </c>
      <c r="B12" s="56">
        <f>Entrate_Uscite!B11</f>
        <v>212.24</v>
      </c>
      <c r="C12" s="56">
        <f>Entrate_Uscite!E11</f>
        <v>0</v>
      </c>
      <c r="D12" s="56">
        <f>Entrate_Uscite!H11</f>
        <v>433.26</v>
      </c>
      <c r="E12" s="56">
        <f>Entrate_Uscite!K11</f>
        <v>233.07</v>
      </c>
      <c r="F12" s="56">
        <f>Entrate_Uscite!N11</f>
        <v>749.58</v>
      </c>
      <c r="G12" s="56">
        <f t="shared" si="1"/>
        <v>1.5559743815903589E-5</v>
      </c>
      <c r="H12" s="57">
        <f t="shared" si="0"/>
        <v>221.61153301583221</v>
      </c>
      <c r="I12" s="56">
        <f>Entrate_Uscite!O11</f>
        <v>749.58</v>
      </c>
      <c r="J12" s="58">
        <f t="shared" si="2"/>
        <v>100</v>
      </c>
    </row>
    <row r="13" spans="1:10" x14ac:dyDescent="0.3">
      <c r="A13" s="55" t="s">
        <v>28</v>
      </c>
      <c r="B13" s="56">
        <f>Entrate_Uscite!B12</f>
        <v>10286643.449999999</v>
      </c>
      <c r="C13" s="56">
        <f>Entrate_Uscite!E12</f>
        <v>286643.45</v>
      </c>
      <c r="D13" s="56">
        <f>Entrate_Uscite!H12</f>
        <v>803743.45</v>
      </c>
      <c r="E13" s="56">
        <f>Entrate_Uscite!K12</f>
        <v>616392.97</v>
      </c>
      <c r="F13" s="56">
        <f>Entrate_Uscite!N12</f>
        <v>312058</v>
      </c>
      <c r="G13" s="56">
        <f t="shared" si="1"/>
        <v>6.4776842174327515E-3</v>
      </c>
      <c r="H13" s="57">
        <f t="shared" si="0"/>
        <v>-49.373530330821261</v>
      </c>
      <c r="I13" s="56">
        <f>Entrate_Uscite!O12</f>
        <v>0</v>
      </c>
      <c r="J13" s="58">
        <f t="shared" si="2"/>
        <v>0</v>
      </c>
    </row>
    <row r="14" spans="1:10" x14ac:dyDescent="0.3">
      <c r="A14" s="55" t="s">
        <v>29</v>
      </c>
      <c r="B14" s="56">
        <f>Entrate_Uscite!B13</f>
        <v>0</v>
      </c>
      <c r="C14" s="56">
        <f>Entrate_Uscite!E13</f>
        <v>0</v>
      </c>
      <c r="D14" s="56">
        <f>Entrate_Uscite!H13</f>
        <v>76355610.629999995</v>
      </c>
      <c r="E14" s="56">
        <f>Entrate_Uscite!K13</f>
        <v>190345156.78999999</v>
      </c>
      <c r="F14" s="56">
        <f>Entrate_Uscite!N13</f>
        <v>77593113.120000005</v>
      </c>
      <c r="G14" s="56">
        <f t="shared" si="1"/>
        <v>1.6106739267664927</v>
      </c>
      <c r="H14" s="57">
        <f t="shared" si="0"/>
        <v>-59.235572667811397</v>
      </c>
      <c r="I14" s="56">
        <f>Entrate_Uscite!O13</f>
        <v>0</v>
      </c>
      <c r="J14" s="58">
        <f t="shared" si="2"/>
        <v>0</v>
      </c>
    </row>
    <row r="15" spans="1:10" x14ac:dyDescent="0.3">
      <c r="A15" s="4" t="s">
        <v>32</v>
      </c>
      <c r="B15" s="43">
        <f>SUM(B12:B14)</f>
        <v>10286855.689999999</v>
      </c>
      <c r="C15" s="43">
        <f>SUM(C12:C14)</f>
        <v>286643.45</v>
      </c>
      <c r="D15" s="43">
        <f>SUM(D12:D14)</f>
        <v>77159787.339999989</v>
      </c>
      <c r="E15" s="43">
        <f>SUM(E12:E14)</f>
        <v>190961782.82999998</v>
      </c>
      <c r="F15" s="43">
        <f>SUM(F12:F14)</f>
        <v>77905920.700000003</v>
      </c>
      <c r="G15" s="43">
        <f t="shared" si="1"/>
        <v>1.6171671707277415</v>
      </c>
      <c r="H15" s="44">
        <f t="shared" si="0"/>
        <v>-59.203396854880516</v>
      </c>
      <c r="I15" s="43">
        <f>SUM(I12:I14)</f>
        <v>749.58</v>
      </c>
      <c r="J15" s="45">
        <f t="shared" si="2"/>
        <v>9.6216050495889988E-4</v>
      </c>
    </row>
    <row r="16" spans="1:10" x14ac:dyDescent="0.3">
      <c r="A16" s="47" t="s">
        <v>343</v>
      </c>
      <c r="B16" s="48">
        <f>B5+B11+B15</f>
        <v>4324774142.4200001</v>
      </c>
      <c r="C16" s="48">
        <f t="shared" ref="C16:F16" si="3">C5+C11+C15</f>
        <v>4216861812.9400001</v>
      </c>
      <c r="D16" s="48">
        <f t="shared" ref="D16:E16" si="4">D5+D11+D15</f>
        <v>4232172124.1600003</v>
      </c>
      <c r="E16" s="48">
        <f t="shared" si="4"/>
        <v>4544223163.3999996</v>
      </c>
      <c r="F16" s="48">
        <f t="shared" si="3"/>
        <v>4612381549.7300005</v>
      </c>
      <c r="G16" s="48">
        <f t="shared" si="1"/>
        <v>95.74358346674029</v>
      </c>
      <c r="H16" s="49">
        <f t="shared" si="0"/>
        <v>1.4998908257622787</v>
      </c>
      <c r="I16" s="48">
        <f t="shared" ref="I16" si="5">I5+I11+I15</f>
        <v>3822399934.3900003</v>
      </c>
      <c r="J16" s="50">
        <f t="shared" si="2"/>
        <v>82.872587473032368</v>
      </c>
    </row>
    <row r="17" spans="1:10" x14ac:dyDescent="0.3">
      <c r="A17" s="4" t="s">
        <v>33</v>
      </c>
      <c r="B17" s="43">
        <f>Entrate_Uscite!B17</f>
        <v>115000000</v>
      </c>
      <c r="C17" s="43">
        <f>Entrate_Uscite!E17</f>
        <v>10703937.99</v>
      </c>
      <c r="D17" s="43">
        <f>Entrate_Uscite!H17</f>
        <v>23873988.27</v>
      </c>
      <c r="E17" s="43">
        <f>Entrate_Uscite!K17</f>
        <v>3925508.01</v>
      </c>
      <c r="F17" s="43">
        <f>Entrate_Uscite!N17</f>
        <v>205049950.87</v>
      </c>
      <c r="G17" s="43">
        <f t="shared" si="1"/>
        <v>4.2564165332597153</v>
      </c>
      <c r="H17" s="44">
        <f t="shared" si="0"/>
        <v>5123.5264925621696</v>
      </c>
      <c r="I17" s="43">
        <f>Entrate_Uscite!O17</f>
        <v>205049950.87</v>
      </c>
      <c r="J17" s="45">
        <f t="shared" si="2"/>
        <v>100</v>
      </c>
    </row>
    <row r="18" spans="1:10" x14ac:dyDescent="0.3">
      <c r="A18" s="4" t="s">
        <v>34</v>
      </c>
      <c r="B18" s="43">
        <f>Entrate_Uscite!B18</f>
        <v>0</v>
      </c>
      <c r="C18" s="43">
        <f>Entrate_Uscite!E18</f>
        <v>0</v>
      </c>
      <c r="D18" s="43">
        <f>Entrate_Uscite!H18</f>
        <v>0</v>
      </c>
      <c r="E18" s="43">
        <f>Entrate_Uscite!K18</f>
        <v>0</v>
      </c>
      <c r="F18" s="43">
        <f>Entrate_Uscite!N18</f>
        <v>0</v>
      </c>
      <c r="G18" s="43">
        <f t="shared" si="1"/>
        <v>0</v>
      </c>
      <c r="H18" s="44" t="str">
        <f t="shared" si="0"/>
        <v>-</v>
      </c>
      <c r="I18" s="43">
        <f>Entrate_Uscite!O18</f>
        <v>0</v>
      </c>
      <c r="J18" s="45" t="str">
        <f t="shared" si="2"/>
        <v>-</v>
      </c>
    </row>
    <row r="19" spans="1:10" x14ac:dyDescent="0.3">
      <c r="A19" s="4" t="s">
        <v>35</v>
      </c>
      <c r="B19" s="43">
        <f>Entrate_Uscite!B19</f>
        <v>845145140.11000001</v>
      </c>
      <c r="C19" s="43">
        <f>Entrate_Uscite!E19</f>
        <v>776813218.61000001</v>
      </c>
      <c r="D19" s="43">
        <f>Entrate_Uscite!H19</f>
        <v>526575002.25</v>
      </c>
      <c r="E19" s="43">
        <f>Entrate_Uscite!K19</f>
        <v>809683118.76999998</v>
      </c>
      <c r="F19" s="43">
        <f>Entrate_Uscite!N19</f>
        <v>799731455.60000002</v>
      </c>
      <c r="G19" s="43"/>
      <c r="H19" s="44">
        <f t="shared" si="0"/>
        <v>-1.2290812219375056</v>
      </c>
      <c r="I19" s="43">
        <f>Entrate_Uscite!O19</f>
        <v>740867327.13999999</v>
      </c>
      <c r="J19" s="45">
        <f t="shared" si="2"/>
        <v>92.639513170600864</v>
      </c>
    </row>
    <row r="20" spans="1:10" x14ac:dyDescent="0.3">
      <c r="A20" s="47" t="s">
        <v>36</v>
      </c>
      <c r="B20" s="48">
        <f>B5+B11+B15+B17+B18+B19</f>
        <v>5284919282.5299997</v>
      </c>
      <c r="C20" s="48">
        <f>C5+C11+C15+C17+C18+C19</f>
        <v>5004378969.54</v>
      </c>
      <c r="D20" s="48">
        <f>D5+D11+D15+D17+D18+D19</f>
        <v>4782621114.6800003</v>
      </c>
      <c r="E20" s="48">
        <f>E5+E11+E15+E17+E18+E19</f>
        <v>5357831790.1800003</v>
      </c>
      <c r="F20" s="48">
        <f>F5+F11+F15+F17+F18+F19</f>
        <v>5617162956.2000008</v>
      </c>
      <c r="G20" s="48"/>
      <c r="H20" s="49">
        <f t="shared" si="0"/>
        <v>4.8402259752781163</v>
      </c>
      <c r="I20" s="48">
        <f>I5+I11+I15+I17+I18+I19</f>
        <v>4768317212.4000006</v>
      </c>
      <c r="J20" s="50">
        <f t="shared" si="2"/>
        <v>84.8883546655331</v>
      </c>
    </row>
    <row r="21" spans="1:10" x14ac:dyDescent="0.3">
      <c r="A21" s="38" t="s">
        <v>37</v>
      </c>
      <c r="B21" s="51">
        <f>B20-B19</f>
        <v>4439774142.4200001</v>
      </c>
      <c r="C21" s="51">
        <f>C20-C19</f>
        <v>4227565750.9299998</v>
      </c>
      <c r="D21" s="51">
        <f>D20-D19</f>
        <v>4256046112.4300003</v>
      </c>
      <c r="E21" s="51">
        <f>E20-E19</f>
        <v>4548148671.4099998</v>
      </c>
      <c r="F21" s="51">
        <f>F20-F19</f>
        <v>4817431500.6000004</v>
      </c>
      <c r="G21" s="51">
        <f t="shared" si="1"/>
        <v>100</v>
      </c>
      <c r="H21" s="52">
        <f t="shared" si="0"/>
        <v>5.9207129899409949</v>
      </c>
      <c r="I21" s="51">
        <f>I20-I19</f>
        <v>4027449885.2600007</v>
      </c>
      <c r="J21" s="53">
        <f t="shared" si="2"/>
        <v>83.601601491549815</v>
      </c>
    </row>
    <row r="22" spans="1:10" x14ac:dyDescent="0.3">
      <c r="I22" s="6"/>
    </row>
    <row r="23" spans="1:10" x14ac:dyDescent="0.3">
      <c r="I23" s="6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showGridLines="0" workbookViewId="0">
      <selection activeCell="H1" sqref="H1:H1048576"/>
    </sheetView>
  </sheetViews>
  <sheetFormatPr defaultRowHeight="14.4" x14ac:dyDescent="0.3"/>
  <cols>
    <col min="1" max="1" width="50.6640625" bestFit="1" customWidth="1"/>
    <col min="2" max="2" width="15.33203125" bestFit="1" customWidth="1"/>
    <col min="3" max="6" width="14.33203125" bestFit="1" customWidth="1"/>
    <col min="7" max="7" width="8.5546875" customWidth="1"/>
    <col min="8" max="8" width="8.109375" customWidth="1"/>
    <col min="9" max="9" width="14.33203125" bestFit="1" customWidth="1"/>
    <col min="10" max="10" width="7" bestFit="1" customWidth="1"/>
  </cols>
  <sheetData>
    <row r="1" spans="1:10" ht="28.8" x14ac:dyDescent="0.3">
      <c r="A1" s="41"/>
      <c r="B1" s="42">
        <v>2016</v>
      </c>
      <c r="C1" s="42">
        <v>2017</v>
      </c>
      <c r="D1" s="42">
        <v>2018</v>
      </c>
      <c r="E1" s="42">
        <v>2019</v>
      </c>
      <c r="F1" s="42">
        <v>2020</v>
      </c>
      <c r="G1" s="54" t="s">
        <v>295</v>
      </c>
      <c r="H1" s="42" t="s">
        <v>232</v>
      </c>
      <c r="I1" s="54" t="s">
        <v>371</v>
      </c>
      <c r="J1" s="42" t="s">
        <v>334</v>
      </c>
    </row>
    <row r="2" spans="1:10" x14ac:dyDescent="0.3">
      <c r="A2" s="59" t="s">
        <v>268</v>
      </c>
      <c r="B2" s="56">
        <f>Entrate_Uscite!B23</f>
        <v>59020027.229999997</v>
      </c>
      <c r="C2" s="56">
        <f>Entrate_Uscite!E23</f>
        <v>59797611.780000001</v>
      </c>
      <c r="D2" s="56">
        <f>Entrate_Uscite!H23</f>
        <v>59801876.369999997</v>
      </c>
      <c r="E2" s="56">
        <f>Entrate_Uscite!K23</f>
        <v>67364075.670000002</v>
      </c>
      <c r="F2" s="56">
        <f>Entrate_Uscite!N23</f>
        <v>69830596.319999993</v>
      </c>
      <c r="G2" s="56">
        <f>F2/F$31*100</f>
        <v>1.4812629640373201</v>
      </c>
      <c r="H2" s="57">
        <f>IF(E2&gt;0,F2/E2*100-100,"-")</f>
        <v>3.6614777616527761</v>
      </c>
      <c r="I2" s="56">
        <f>Entrate_Uscite!O23</f>
        <v>66502875.909999996</v>
      </c>
      <c r="J2" s="58">
        <f>IF(F2&gt;0,I2/F2*100,"-")</f>
        <v>95.234581135823831</v>
      </c>
    </row>
    <row r="3" spans="1:10" x14ac:dyDescent="0.3">
      <c r="A3" s="59" t="s">
        <v>269</v>
      </c>
      <c r="B3" s="56">
        <f>Entrate_Uscite!B24</f>
        <v>5775480.1699999999</v>
      </c>
      <c r="C3" s="56">
        <f>Entrate_Uscite!E24</f>
        <v>4571108.8099999996</v>
      </c>
      <c r="D3" s="56">
        <f>Entrate_Uscite!H24</f>
        <v>4553593</v>
      </c>
      <c r="E3" s="56">
        <f>Entrate_Uscite!K24</f>
        <v>4948428.95</v>
      </c>
      <c r="F3" s="56">
        <f>Entrate_Uscite!N24</f>
        <v>5156292.78</v>
      </c>
      <c r="G3" s="56">
        <f t="shared" ref="G3:G31" si="0">F3/F$31*100</f>
        <v>0.10937649009535244</v>
      </c>
      <c r="H3" s="57">
        <f t="shared" ref="H3:H31" si="1">IF(E3&gt;0,F3/E3*100-100,"-")</f>
        <v>4.2006024962730777</v>
      </c>
      <c r="I3" s="56">
        <f>Entrate_Uscite!O24</f>
        <v>4501530.62</v>
      </c>
      <c r="J3" s="58">
        <f>IF(F3&gt;0,I3/F3*100,"-")</f>
        <v>87.301687705949078</v>
      </c>
    </row>
    <row r="4" spans="1:10" x14ac:dyDescent="0.3">
      <c r="A4" s="59" t="s">
        <v>270</v>
      </c>
      <c r="B4" s="56">
        <f>Entrate_Uscite!B25</f>
        <v>44248401.659999996</v>
      </c>
      <c r="C4" s="56">
        <f>Entrate_Uscite!E25</f>
        <v>158434650.19</v>
      </c>
      <c r="D4" s="56">
        <f>Entrate_Uscite!H25</f>
        <v>363528942.92000002</v>
      </c>
      <c r="E4" s="56">
        <f>Entrate_Uscite!K25</f>
        <v>397779118.16000003</v>
      </c>
      <c r="F4" s="56">
        <f>Entrate_Uscite!N25</f>
        <v>367208566.18000001</v>
      </c>
      <c r="G4" s="56">
        <f t="shared" si="0"/>
        <v>7.789314109063322</v>
      </c>
      <c r="H4" s="57">
        <f t="shared" si="1"/>
        <v>-7.685308399648946</v>
      </c>
      <c r="I4" s="56">
        <f>Entrate_Uscite!O25</f>
        <v>316816655.67000002</v>
      </c>
      <c r="J4" s="58">
        <f t="shared" ref="J4:J9" si="2">IF(F4&gt;0,I4/F4*100,"-")</f>
        <v>86.27703295862149</v>
      </c>
    </row>
    <row r="5" spans="1:10" x14ac:dyDescent="0.3">
      <c r="A5" s="59" t="s">
        <v>271</v>
      </c>
      <c r="B5" s="56">
        <f>Entrate_Uscite!B26</f>
        <v>3691689169</v>
      </c>
      <c r="C5" s="56">
        <f>Entrate_Uscite!E26</f>
        <v>3561253794.8600001</v>
      </c>
      <c r="D5" s="56">
        <f>Entrate_Uscite!H26</f>
        <v>3388396353.27</v>
      </c>
      <c r="E5" s="56">
        <f>Entrate_Uscite!K26</f>
        <v>3441351764.2199998</v>
      </c>
      <c r="F5" s="56">
        <f>Entrate_Uscite!N26</f>
        <v>3621478897.71</v>
      </c>
      <c r="G5" s="56">
        <f t="shared" si="0"/>
        <v>76.819658558237577</v>
      </c>
      <c r="H5" s="57">
        <f t="shared" si="1"/>
        <v>5.2341970781015732</v>
      </c>
      <c r="I5" s="56">
        <f>Entrate_Uscite!O26</f>
        <v>3431546101.46</v>
      </c>
      <c r="J5" s="58">
        <f t="shared" si="2"/>
        <v>94.755380284830551</v>
      </c>
    </row>
    <row r="6" spans="1:10" x14ac:dyDescent="0.3">
      <c r="A6" s="59" t="s">
        <v>272</v>
      </c>
      <c r="B6" s="56">
        <f>Entrate_Uscite!B29</f>
        <v>31397022.920000002</v>
      </c>
      <c r="C6" s="56">
        <f>Entrate_Uscite!E29</f>
        <v>26489540.789999999</v>
      </c>
      <c r="D6" s="56">
        <f>Entrate_Uscite!H29</f>
        <v>24787195.559999999</v>
      </c>
      <c r="E6" s="56">
        <f>Entrate_Uscite!K29</f>
        <v>23832183.649999999</v>
      </c>
      <c r="F6" s="56">
        <f>Entrate_Uscite!N29</f>
        <v>22250330.489999998</v>
      </c>
      <c r="G6" s="56">
        <f t="shared" si="0"/>
        <v>0.4719792215634821</v>
      </c>
      <c r="H6" s="57">
        <f t="shared" si="1"/>
        <v>-6.6374663070372861</v>
      </c>
      <c r="I6" s="56">
        <f>Entrate_Uscite!O29</f>
        <v>22250329.640000001</v>
      </c>
      <c r="J6" s="58">
        <f t="shared" si="2"/>
        <v>99.999996179832024</v>
      </c>
    </row>
    <row r="7" spans="1:10" x14ac:dyDescent="0.3">
      <c r="A7" s="59" t="s">
        <v>273</v>
      </c>
      <c r="B7" s="56">
        <f>Entrate_Uscite!B30</f>
        <v>0</v>
      </c>
      <c r="C7" s="56">
        <f>Entrate_Uscite!E30</f>
        <v>0</v>
      </c>
      <c r="D7" s="56">
        <f>Entrate_Uscite!H30</f>
        <v>0</v>
      </c>
      <c r="E7" s="56">
        <f>Entrate_Uscite!K30</f>
        <v>0</v>
      </c>
      <c r="F7" s="56">
        <f>Entrate_Uscite!N30</f>
        <v>272326.56</v>
      </c>
      <c r="G7" s="56">
        <f t="shared" si="0"/>
        <v>5.7766547718303531E-3</v>
      </c>
      <c r="H7" s="57" t="str">
        <f t="shared" si="1"/>
        <v>-</v>
      </c>
      <c r="I7" s="56">
        <f>Entrate_Uscite!O30</f>
        <v>272326.56</v>
      </c>
      <c r="J7" s="58">
        <f t="shared" si="2"/>
        <v>100</v>
      </c>
    </row>
    <row r="8" spans="1:10" x14ac:dyDescent="0.3">
      <c r="A8" s="59" t="s">
        <v>274</v>
      </c>
      <c r="B8" s="56">
        <f>Entrate_Uscite!B31</f>
        <v>695379.67</v>
      </c>
      <c r="C8" s="56">
        <f>Entrate_Uscite!E31</f>
        <v>666626.43999999994</v>
      </c>
      <c r="D8" s="56">
        <f>Entrate_Uscite!H31</f>
        <v>913087.41</v>
      </c>
      <c r="E8" s="56">
        <f>Entrate_Uscite!K31</f>
        <v>936957.24</v>
      </c>
      <c r="F8" s="56">
        <f>Entrate_Uscite!N31</f>
        <v>1944578.76</v>
      </c>
      <c r="G8" s="56">
        <f t="shared" si="0"/>
        <v>4.124886009338917E-2</v>
      </c>
      <c r="H8" s="57">
        <f t="shared" si="1"/>
        <v>107.54188953169304</v>
      </c>
      <c r="I8" s="56">
        <f>Entrate_Uscite!O31</f>
        <v>1212226.83</v>
      </c>
      <c r="J8" s="58">
        <f t="shared" si="2"/>
        <v>62.338787964546114</v>
      </c>
    </row>
    <row r="9" spans="1:10" x14ac:dyDescent="0.3">
      <c r="A9" s="59" t="s">
        <v>275</v>
      </c>
      <c r="B9" s="56">
        <f>Entrate_Uscite!B32</f>
        <v>1050462.23</v>
      </c>
      <c r="C9" s="56">
        <f>Entrate_Uscite!E32</f>
        <v>879448.81</v>
      </c>
      <c r="D9" s="56">
        <f>Entrate_Uscite!H32</f>
        <v>1559939.39</v>
      </c>
      <c r="E9" s="56">
        <f>Entrate_Uscite!K32</f>
        <v>913280.92</v>
      </c>
      <c r="F9" s="56">
        <f>Entrate_Uscite!N32</f>
        <v>939848.99</v>
      </c>
      <c r="G9" s="56">
        <f t="shared" si="0"/>
        <v>1.9936296896209602E-2</v>
      </c>
      <c r="H9" s="57">
        <f t="shared" si="1"/>
        <v>2.9090797166768709</v>
      </c>
      <c r="I9" s="56">
        <f>Entrate_Uscite!O32</f>
        <v>733168.52</v>
      </c>
      <c r="J9" s="58">
        <f t="shared" si="2"/>
        <v>78.009183156115327</v>
      </c>
    </row>
    <row r="10" spans="1:10" x14ac:dyDescent="0.3">
      <c r="A10" s="4" t="s">
        <v>280</v>
      </c>
      <c r="B10" s="43">
        <f>SUM(B2:B9)</f>
        <v>3833875942.8800001</v>
      </c>
      <c r="C10" s="43">
        <f>SUM(C2:C9)</f>
        <v>3812092781.6800003</v>
      </c>
      <c r="D10" s="43">
        <f>SUM(D2:D9)</f>
        <v>3843540987.9199996</v>
      </c>
      <c r="E10" s="43">
        <f>SUM(E2:E9)</f>
        <v>3937125808.8099999</v>
      </c>
      <c r="F10" s="43">
        <f>SUM(F2:F9)</f>
        <v>4089081437.7899995</v>
      </c>
      <c r="G10" s="43">
        <f t="shared" si="0"/>
        <v>86.738553154758478</v>
      </c>
      <c r="H10" s="44">
        <f t="shared" si="1"/>
        <v>3.8595573613617375</v>
      </c>
      <c r="I10" s="43">
        <f>SUM(I2:I9)</f>
        <v>3843835215.2099996</v>
      </c>
      <c r="J10" s="45">
        <f t="shared" ref="J10:J17" si="3">IF(F10&gt;0,I10/F10*100,"-")</f>
        <v>94.002412856992478</v>
      </c>
    </row>
    <row r="11" spans="1:10" x14ac:dyDescent="0.3">
      <c r="A11" s="59" t="s">
        <v>276</v>
      </c>
      <c r="B11" s="56">
        <f>Entrate_Uscite!B34</f>
        <v>51023281.869999997</v>
      </c>
      <c r="C11" s="56">
        <f>Entrate_Uscite!E34</f>
        <v>18846470.140000001</v>
      </c>
      <c r="D11" s="56">
        <f>Entrate_Uscite!H34</f>
        <v>5732313.4000000004</v>
      </c>
      <c r="E11" s="56">
        <f>Entrate_Uscite!K34</f>
        <v>8112446.71</v>
      </c>
      <c r="F11" s="56">
        <f>Entrate_Uscite!N34</f>
        <v>10649725.93</v>
      </c>
      <c r="G11" s="56">
        <f t="shared" si="0"/>
        <v>0.22590448068018024</v>
      </c>
      <c r="H11" s="57">
        <f t="shared" si="1"/>
        <v>31.276374572326773</v>
      </c>
      <c r="I11" s="56">
        <f>Entrate_Uscite!O34</f>
        <v>4133075.7</v>
      </c>
      <c r="J11" s="58">
        <f t="shared" si="3"/>
        <v>38.809221262279003</v>
      </c>
    </row>
    <row r="12" spans="1:10" x14ac:dyDescent="0.3">
      <c r="A12" s="59" t="s">
        <v>277</v>
      </c>
      <c r="B12" s="56">
        <f>Entrate_Uscite!B35</f>
        <v>231056558.31999999</v>
      </c>
      <c r="C12" s="56">
        <f>Entrate_Uscite!E35</f>
        <v>193713971.69999999</v>
      </c>
      <c r="D12" s="56">
        <f>Entrate_Uscite!H35</f>
        <v>132893759.15000001</v>
      </c>
      <c r="E12" s="56">
        <f>Entrate_Uscite!K35</f>
        <v>213530215.18000001</v>
      </c>
      <c r="F12" s="56">
        <f>Entrate_Uscite!N35</f>
        <v>227260766.62</v>
      </c>
      <c r="G12" s="56">
        <f t="shared" si="0"/>
        <v>4.8207086078759538</v>
      </c>
      <c r="H12" s="57">
        <f t="shared" si="1"/>
        <v>6.4302616041601084</v>
      </c>
      <c r="I12" s="56">
        <f>Entrate_Uscite!O35</f>
        <v>58397968.32</v>
      </c>
      <c r="J12" s="58">
        <f t="shared" si="3"/>
        <v>25.696458385026283</v>
      </c>
    </row>
    <row r="13" spans="1:10" x14ac:dyDescent="0.3">
      <c r="A13" s="59" t="s">
        <v>278</v>
      </c>
      <c r="B13" s="56">
        <f>Entrate_Uscite!B36</f>
        <v>91760000</v>
      </c>
      <c r="C13" s="56">
        <f>Entrate_Uscite!E36</f>
        <v>80680027.239999995</v>
      </c>
      <c r="D13" s="56">
        <f>Entrate_Uscite!H36</f>
        <v>63023836.18</v>
      </c>
      <c r="E13" s="56">
        <f>Entrate_Uscite!K36</f>
        <v>63976545.829999998</v>
      </c>
      <c r="F13" s="56">
        <f>Entrate_Uscite!N36</f>
        <v>67000000</v>
      </c>
      <c r="G13" s="56">
        <f t="shared" si="0"/>
        <v>1.4212196919486431</v>
      </c>
      <c r="H13" s="57">
        <f t="shared" si="1"/>
        <v>4.7258790401626243</v>
      </c>
      <c r="I13" s="56">
        <f>Entrate_Uscite!O36</f>
        <v>12000000</v>
      </c>
      <c r="J13" s="58">
        <f t="shared" si="3"/>
        <v>17.910447761194028</v>
      </c>
    </row>
    <row r="14" spans="1:10" x14ac:dyDescent="0.3">
      <c r="A14" s="59" t="s">
        <v>279</v>
      </c>
      <c r="B14" s="56">
        <f>Entrate_Uscite!B37</f>
        <v>0</v>
      </c>
      <c r="C14" s="56">
        <f>Entrate_Uscite!E37</f>
        <v>0</v>
      </c>
      <c r="D14" s="56">
        <f>Entrate_Uscite!H37</f>
        <v>0</v>
      </c>
      <c r="E14" s="56">
        <f>Entrate_Uscite!K37</f>
        <v>0</v>
      </c>
      <c r="F14" s="56">
        <f>Entrate_Uscite!N37</f>
        <v>0</v>
      </c>
      <c r="G14" s="56">
        <f t="shared" si="0"/>
        <v>0</v>
      </c>
      <c r="H14" s="111" t="str">
        <f t="shared" si="1"/>
        <v>-</v>
      </c>
      <c r="I14" s="56">
        <f>Entrate_Uscite!O37</f>
        <v>0</v>
      </c>
      <c r="J14" s="58" t="str">
        <f t="shared" si="3"/>
        <v>-</v>
      </c>
    </row>
    <row r="15" spans="1:10" x14ac:dyDescent="0.3">
      <c r="A15" s="4" t="s">
        <v>281</v>
      </c>
      <c r="B15" s="46">
        <f>SUM(B11:B14)</f>
        <v>373839840.19</v>
      </c>
      <c r="C15" s="46">
        <f>SUM(C11:C14)</f>
        <v>293240469.07999998</v>
      </c>
      <c r="D15" s="46">
        <f>SUM(D11:D14)</f>
        <v>201649908.73000002</v>
      </c>
      <c r="E15" s="46">
        <f>SUM(E11:E14)</f>
        <v>285619207.72000003</v>
      </c>
      <c r="F15" s="46">
        <f>SUM(F11:F14)</f>
        <v>304910492.55000001</v>
      </c>
      <c r="G15" s="46">
        <f t="shared" si="0"/>
        <v>6.4678327805047768</v>
      </c>
      <c r="H15" s="44">
        <f t="shared" si="1"/>
        <v>6.7541973048646469</v>
      </c>
      <c r="I15" s="46">
        <f>SUM(I11:I14)</f>
        <v>74531044.020000011</v>
      </c>
      <c r="J15" s="45">
        <f t="shared" si="3"/>
        <v>24.443581261073927</v>
      </c>
    </row>
    <row r="16" spans="1:10" x14ac:dyDescent="0.3">
      <c r="A16" s="59" t="s">
        <v>282</v>
      </c>
      <c r="B16" s="56">
        <f>Entrate_Uscite!B38</f>
        <v>0</v>
      </c>
      <c r="C16" s="56">
        <f>Entrate_Uscite!E38</f>
        <v>0</v>
      </c>
      <c r="D16" s="56">
        <f>Entrate_Uscite!H38</f>
        <v>1100000</v>
      </c>
      <c r="E16" s="56">
        <f>Entrate_Uscite!K38</f>
        <v>1000000</v>
      </c>
      <c r="F16" s="56">
        <f>Entrate_Uscite!N38</f>
        <v>1000000</v>
      </c>
      <c r="G16" s="56">
        <f t="shared" si="0"/>
        <v>2.1212234208188706E-2</v>
      </c>
      <c r="H16" s="57">
        <f t="shared" si="1"/>
        <v>0</v>
      </c>
      <c r="I16" s="56">
        <f>Entrate_Uscite!O38</f>
        <v>250000</v>
      </c>
      <c r="J16" s="58">
        <f t="shared" si="3"/>
        <v>25</v>
      </c>
    </row>
    <row r="17" spans="1:10" x14ac:dyDescent="0.3">
      <c r="A17" s="59" t="s">
        <v>283</v>
      </c>
      <c r="B17" s="56">
        <f>Entrate_Uscite!B39</f>
        <v>10000000</v>
      </c>
      <c r="C17" s="56">
        <f>Entrate_Uscite!E39</f>
        <v>0</v>
      </c>
      <c r="D17" s="56">
        <f>Entrate_Uscite!H39</f>
        <v>517100</v>
      </c>
      <c r="E17" s="56">
        <f>Entrate_Uscite!K39</f>
        <v>329749.53000000003</v>
      </c>
      <c r="F17" s="56">
        <f>Entrate_Uscite!N39</f>
        <v>150000</v>
      </c>
      <c r="G17" s="56">
        <f t="shared" si="0"/>
        <v>3.1818351312283056E-3</v>
      </c>
      <c r="H17" s="57">
        <f t="shared" si="1"/>
        <v>-54.510928340064659</v>
      </c>
      <c r="I17" s="56">
        <f>Entrate_Uscite!O39</f>
        <v>150000</v>
      </c>
      <c r="J17" s="58">
        <f t="shared" si="3"/>
        <v>100</v>
      </c>
    </row>
    <row r="18" spans="1:10" x14ac:dyDescent="0.3">
      <c r="A18" s="59" t="s">
        <v>284</v>
      </c>
      <c r="B18" s="56">
        <f>Entrate_Uscite!B40</f>
        <v>4299651.63</v>
      </c>
      <c r="C18" s="56">
        <f>Entrate_Uscite!E40</f>
        <v>0</v>
      </c>
      <c r="D18" s="56">
        <f>Entrate_Uscite!H40</f>
        <v>0</v>
      </c>
      <c r="E18" s="56">
        <f>Entrate_Uscite!K40</f>
        <v>0</v>
      </c>
      <c r="F18" s="56">
        <f>Entrate_Uscite!N40</f>
        <v>0</v>
      </c>
      <c r="G18" s="56">
        <f t="shared" si="0"/>
        <v>0</v>
      </c>
      <c r="H18" s="57" t="str">
        <f t="shared" si="1"/>
        <v>-</v>
      </c>
      <c r="I18" s="56">
        <f>Entrate_Uscite!O40</f>
        <v>0</v>
      </c>
      <c r="J18" s="58" t="str">
        <f t="shared" ref="J18:J26" si="4">IF(F18&gt;0,I18/F18*100,"-")</f>
        <v>-</v>
      </c>
    </row>
    <row r="19" spans="1:10" x14ac:dyDescent="0.3">
      <c r="A19" s="59" t="s">
        <v>285</v>
      </c>
      <c r="B19" s="56">
        <f>Entrate_Uscite!B41</f>
        <v>0</v>
      </c>
      <c r="C19" s="56">
        <f>Entrate_Uscite!E41</f>
        <v>0</v>
      </c>
      <c r="D19" s="56">
        <f>Entrate_Uscite!H41</f>
        <v>76355610.629999995</v>
      </c>
      <c r="E19" s="56">
        <f>Entrate_Uscite!K41</f>
        <v>141832335.59</v>
      </c>
      <c r="F19" s="56">
        <f>Entrate_Uscite!N41</f>
        <v>99746959.120000005</v>
      </c>
      <c r="G19" s="56">
        <f t="shared" si="0"/>
        <v>2.1158558584080644</v>
      </c>
      <c r="H19" s="57">
        <f t="shared" si="1"/>
        <v>-29.672624578120008</v>
      </c>
      <c r="I19" s="56">
        <f>Entrate_Uscite!O41</f>
        <v>99746959.120000005</v>
      </c>
      <c r="J19" s="58">
        <f t="shared" si="4"/>
        <v>100</v>
      </c>
    </row>
    <row r="20" spans="1:10" x14ac:dyDescent="0.3">
      <c r="A20" s="4" t="s">
        <v>286</v>
      </c>
      <c r="B20" s="43">
        <f>SUM(B16:B19)</f>
        <v>14299651.629999999</v>
      </c>
      <c r="C20" s="43">
        <f>SUM(C16:C19)</f>
        <v>0</v>
      </c>
      <c r="D20" s="43">
        <f>SUM(D16:D19)</f>
        <v>77972710.629999995</v>
      </c>
      <c r="E20" s="43">
        <f>SUM(E16:E19)</f>
        <v>143162085.12</v>
      </c>
      <c r="F20" s="43">
        <f>SUM(F16:F19)</f>
        <v>100896959.12</v>
      </c>
      <c r="G20" s="43">
        <f t="shared" si="0"/>
        <v>2.1402499277474814</v>
      </c>
      <c r="H20" s="44">
        <f t="shared" si="1"/>
        <v>-29.5225694460743</v>
      </c>
      <c r="I20" s="43">
        <f>SUM(I16:I19)</f>
        <v>100146959.12</v>
      </c>
      <c r="J20" s="40">
        <f t="shared" si="4"/>
        <v>99.256667389640555</v>
      </c>
    </row>
    <row r="21" spans="1:10" x14ac:dyDescent="0.3">
      <c r="A21" s="47" t="s">
        <v>344</v>
      </c>
      <c r="B21" s="48">
        <f>B10+B15+B20</f>
        <v>4222015434.7000003</v>
      </c>
      <c r="C21" s="48">
        <f>C10+C15+C20</f>
        <v>4105333250.7600002</v>
      </c>
      <c r="D21" s="48">
        <f>D10+D15+D20</f>
        <v>4123163607.2799997</v>
      </c>
      <c r="E21" s="48">
        <f>E10+E15+E20</f>
        <v>4365907101.6499996</v>
      </c>
      <c r="F21" s="48">
        <f>F10+F15+F20</f>
        <v>4494888889.4599991</v>
      </c>
      <c r="G21" s="48">
        <f>F21/F$31*100</f>
        <v>95.346635863010718</v>
      </c>
      <c r="H21" s="49">
        <f t="shared" si="1"/>
        <v>2.9542952886297797</v>
      </c>
      <c r="I21" s="48">
        <f>I10+I15+I20</f>
        <v>4018513218.3499994</v>
      </c>
      <c r="J21" s="50">
        <f>IF(F21&gt;0,I21/F21*100,"-")</f>
        <v>89.401836556470926</v>
      </c>
    </row>
    <row r="22" spans="1:10" x14ac:dyDescent="0.3">
      <c r="A22" s="59" t="s">
        <v>287</v>
      </c>
      <c r="B22" s="60">
        <f>Entrate_Uscite!B42</f>
        <v>0</v>
      </c>
      <c r="C22" s="60">
        <f>Entrate_Uscite!E42</f>
        <v>0</v>
      </c>
      <c r="D22" s="60">
        <f>Entrate_Uscite!H42</f>
        <v>0</v>
      </c>
      <c r="E22" s="60">
        <f>Entrate_Uscite!K42</f>
        <v>82500000</v>
      </c>
      <c r="F22" s="60">
        <f>Entrate_Uscite!N42</f>
        <v>1250000</v>
      </c>
      <c r="G22" s="60">
        <f t="shared" si="0"/>
        <v>2.6515292760235881E-2</v>
      </c>
      <c r="H22" s="61">
        <f t="shared" si="1"/>
        <v>-98.484848484848484</v>
      </c>
      <c r="I22" s="60">
        <f>Entrate_Uscite!O42</f>
        <v>1250000</v>
      </c>
      <c r="J22" s="58">
        <f t="shared" si="4"/>
        <v>100</v>
      </c>
    </row>
    <row r="23" spans="1:10" x14ac:dyDescent="0.3">
      <c r="A23" s="59" t="s">
        <v>288</v>
      </c>
      <c r="B23" s="60">
        <f>Entrate_Uscite!B43</f>
        <v>6156727.8899999997</v>
      </c>
      <c r="C23" s="60">
        <f>Entrate_Uscite!E43</f>
        <v>6316211.2599999998</v>
      </c>
      <c r="D23" s="60">
        <f>Entrate_Uscite!H43</f>
        <v>6480320.0300000003</v>
      </c>
      <c r="E23" s="60">
        <f>Entrate_Uscite!K43</f>
        <v>6649196.3899999997</v>
      </c>
      <c r="F23" s="60">
        <f>Entrate_Uscite!N43</f>
        <v>6822987.0099999998</v>
      </c>
      <c r="G23" s="60">
        <f t="shared" si="0"/>
        <v>0.14473079845554915</v>
      </c>
      <c r="H23" s="61">
        <f t="shared" si="1"/>
        <v>2.6137086319389056</v>
      </c>
      <c r="I23" s="60">
        <f>Entrate_Uscite!O43</f>
        <v>6822987.0099999998</v>
      </c>
      <c r="J23" s="58">
        <f t="shared" si="4"/>
        <v>100</v>
      </c>
    </row>
    <row r="24" spans="1:10" x14ac:dyDescent="0.3">
      <c r="A24" s="59" t="s">
        <v>289</v>
      </c>
      <c r="B24" s="60">
        <f>Entrate_Uscite!B44</f>
        <v>224749431.77000001</v>
      </c>
      <c r="C24" s="60">
        <f>Entrate_Uscite!E44</f>
        <v>57154528.57</v>
      </c>
      <c r="D24" s="60">
        <f>Entrate_Uscite!H44</f>
        <v>32268042.579999998</v>
      </c>
      <c r="E24" s="60">
        <f>Entrate_Uscite!K44</f>
        <v>25726223.93</v>
      </c>
      <c r="F24" s="60">
        <f>Entrate_Uscite!N44</f>
        <v>211298725.15000001</v>
      </c>
      <c r="G24" s="60">
        <f t="shared" si="0"/>
        <v>4.4821180457734933</v>
      </c>
      <c r="H24" s="61">
        <f t="shared" si="1"/>
        <v>721.3359478053801</v>
      </c>
      <c r="I24" s="60">
        <f>Entrate_Uscite!O44</f>
        <v>211298725.15000001</v>
      </c>
      <c r="J24" s="58">
        <f t="shared" si="4"/>
        <v>100</v>
      </c>
    </row>
    <row r="25" spans="1:10" x14ac:dyDescent="0.3">
      <c r="A25" s="59" t="s">
        <v>290</v>
      </c>
      <c r="B25" s="60">
        <f>Entrate_Uscite!B45</f>
        <v>0</v>
      </c>
      <c r="C25" s="60">
        <f>Entrate_Uscite!E45</f>
        <v>0</v>
      </c>
      <c r="D25" s="60">
        <f>Entrate_Uscite!H45</f>
        <v>11487178.800000001</v>
      </c>
      <c r="E25" s="60">
        <f>Entrate_Uscite!K45</f>
        <v>0</v>
      </c>
      <c r="F25" s="60">
        <f>Entrate_Uscite!N45</f>
        <v>0</v>
      </c>
      <c r="G25" s="60">
        <f t="shared" si="0"/>
        <v>0</v>
      </c>
      <c r="H25" s="61" t="str">
        <f t="shared" si="1"/>
        <v>-</v>
      </c>
      <c r="I25" s="60">
        <f>Entrate_Uscite!O45</f>
        <v>0</v>
      </c>
      <c r="J25" s="58" t="str">
        <f t="shared" si="4"/>
        <v>-</v>
      </c>
    </row>
    <row r="26" spans="1:10" x14ac:dyDescent="0.3">
      <c r="A26" s="59" t="s">
        <v>291</v>
      </c>
      <c r="B26" s="60">
        <f>Entrate_Uscite!B46</f>
        <v>0</v>
      </c>
      <c r="C26" s="60">
        <f>Entrate_Uscite!E46</f>
        <v>0</v>
      </c>
      <c r="D26" s="60">
        <f>Entrate_Uscite!H46</f>
        <v>0</v>
      </c>
      <c r="E26" s="60">
        <f>Entrate_Uscite!K46</f>
        <v>0</v>
      </c>
      <c r="F26" s="60">
        <f>Entrate_Uscite!N46</f>
        <v>0</v>
      </c>
      <c r="G26" s="60">
        <f t="shared" si="0"/>
        <v>0</v>
      </c>
      <c r="H26" s="61" t="str">
        <f t="shared" si="1"/>
        <v>-</v>
      </c>
      <c r="I26" s="60">
        <f>Entrate_Uscite!O46</f>
        <v>0</v>
      </c>
      <c r="J26" s="58" t="str">
        <f t="shared" si="4"/>
        <v>-</v>
      </c>
    </row>
    <row r="27" spans="1:10" x14ac:dyDescent="0.3">
      <c r="A27" s="4" t="s">
        <v>292</v>
      </c>
      <c r="B27" s="43">
        <f>SUM(B22:B26)</f>
        <v>230906159.66</v>
      </c>
      <c r="C27" s="43">
        <f>SUM(C22:C26)</f>
        <v>63470739.829999998</v>
      </c>
      <c r="D27" s="43">
        <f>SUM(D22:D26)</f>
        <v>50235541.409999996</v>
      </c>
      <c r="E27" s="43">
        <f>SUM(E22:E26)</f>
        <v>114875420.31999999</v>
      </c>
      <c r="F27" s="43">
        <f>SUM(F22:F26)</f>
        <v>219371712.16</v>
      </c>
      <c r="G27" s="43">
        <f t="shared" si="0"/>
        <v>4.6533641369892775</v>
      </c>
      <c r="H27" s="44">
        <f t="shared" si="1"/>
        <v>90.96488313071012</v>
      </c>
      <c r="I27" s="43">
        <f>SUM(I22:I26)</f>
        <v>219371712.16</v>
      </c>
      <c r="J27" s="45">
        <f>IF(F27&gt;0,I27/F27*100,"-")</f>
        <v>100</v>
      </c>
    </row>
    <row r="28" spans="1:10" x14ac:dyDescent="0.3">
      <c r="A28" s="4" t="s">
        <v>293</v>
      </c>
      <c r="B28" s="43">
        <f>Entrate_Uscite!B54</f>
        <v>0</v>
      </c>
      <c r="C28" s="43">
        <f>Entrate_Uscite!E54</f>
        <v>0</v>
      </c>
      <c r="D28" s="43">
        <f>Entrate_Uscite!H54</f>
        <v>0</v>
      </c>
      <c r="E28" s="43">
        <f>Entrate_Uscite!K54</f>
        <v>0</v>
      </c>
      <c r="F28" s="43">
        <f>Entrate_Uscite!N54</f>
        <v>0</v>
      </c>
      <c r="G28" s="43">
        <f t="shared" si="0"/>
        <v>0</v>
      </c>
      <c r="H28" s="44" t="str">
        <f t="shared" si="1"/>
        <v>-</v>
      </c>
      <c r="I28" s="43">
        <f>Entrate_Uscite!O54</f>
        <v>0</v>
      </c>
      <c r="J28" s="45" t="str">
        <f>IF(F28&gt;0,I28/F28*100,"-")</f>
        <v>-</v>
      </c>
    </row>
    <row r="29" spans="1:10" x14ac:dyDescent="0.3">
      <c r="A29" s="4" t="s">
        <v>294</v>
      </c>
      <c r="B29" s="43">
        <f>Entrate_Uscite!B55</f>
        <v>845145140.11000001</v>
      </c>
      <c r="C29" s="43">
        <f>Entrate_Uscite!E55</f>
        <v>776813218.61000001</v>
      </c>
      <c r="D29" s="43">
        <f>Entrate_Uscite!H55</f>
        <v>526575002.25</v>
      </c>
      <c r="E29" s="43">
        <f>Entrate_Uscite!K55</f>
        <v>809683118.76999998</v>
      </c>
      <c r="F29" s="43">
        <f>Entrate_Uscite!N55</f>
        <v>799731455.60000002</v>
      </c>
      <c r="G29" s="43"/>
      <c r="H29" s="44">
        <f t="shared" si="1"/>
        <v>-1.2290812219375056</v>
      </c>
      <c r="I29" s="43">
        <f>Entrate_Uscite!O55</f>
        <v>449847417.61000001</v>
      </c>
      <c r="J29" s="45">
        <f>IF(F29&gt;0,I29/F29*100,"-")</f>
        <v>56.249809165315526</v>
      </c>
    </row>
    <row r="30" spans="1:10" x14ac:dyDescent="0.3">
      <c r="A30" s="47" t="s">
        <v>68</v>
      </c>
      <c r="B30" s="48">
        <f>B10+B15+B20+B27+B28+B29</f>
        <v>5298066734.4700003</v>
      </c>
      <c r="C30" s="48">
        <f>C10+C15+C20+C27+C28+C29</f>
        <v>4945617209.1999998</v>
      </c>
      <c r="D30" s="48">
        <f>D10+D15+D20+D27+D28+D29</f>
        <v>4699974150.9399996</v>
      </c>
      <c r="E30" s="48">
        <f>E10+E15+E20+E27+E28+E29</f>
        <v>5290465640.7399998</v>
      </c>
      <c r="F30" s="48">
        <f>F10+F15+F20+F27+F28+F29</f>
        <v>5513992057.2199993</v>
      </c>
      <c r="G30" s="48"/>
      <c r="H30" s="49">
        <f t="shared" si="1"/>
        <v>4.2250802038803954</v>
      </c>
      <c r="I30" s="48">
        <f>I10+I15+I20+I27+I28+I29</f>
        <v>4687732348.1199989</v>
      </c>
      <c r="J30" s="50">
        <f>IF(F30&gt;0,I30/F30*100,"-")</f>
        <v>85.015217640400849</v>
      </c>
    </row>
    <row r="31" spans="1:10" x14ac:dyDescent="0.3">
      <c r="A31" s="38" t="s">
        <v>69</v>
      </c>
      <c r="B31" s="51">
        <f>B30-B29</f>
        <v>4452921594.3600006</v>
      </c>
      <c r="C31" s="51">
        <f>C30-C29</f>
        <v>4168803990.5899997</v>
      </c>
      <c r="D31" s="51">
        <f>D30-D29</f>
        <v>4173399148.6899996</v>
      </c>
      <c r="E31" s="51">
        <f>E30-E29</f>
        <v>4480782521.9699993</v>
      </c>
      <c r="F31" s="51">
        <f>F30-F29</f>
        <v>4714260601.6199989</v>
      </c>
      <c r="G31" s="51">
        <f t="shared" si="0"/>
        <v>100</v>
      </c>
      <c r="H31" s="52">
        <f t="shared" si="1"/>
        <v>5.210654132514108</v>
      </c>
      <c r="I31" s="51">
        <f>I30-I29</f>
        <v>4237884930.5099988</v>
      </c>
      <c r="J31" s="53">
        <f>IF(F31&gt;0,I31/F31*100,"-")</f>
        <v>89.895007693331607</v>
      </c>
    </row>
    <row r="32" spans="1:10" x14ac:dyDescent="0.3">
      <c r="I32" s="6"/>
    </row>
    <row r="33" spans="9:9" x14ac:dyDescent="0.3">
      <c r="I33" s="6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showGridLines="0" workbookViewId="0">
      <selection activeCell="C15" sqref="C15"/>
    </sheetView>
  </sheetViews>
  <sheetFormatPr defaultRowHeight="14.4" x14ac:dyDescent="0.3"/>
  <cols>
    <col min="1" max="1" width="50.6640625" bestFit="1" customWidth="1"/>
    <col min="2" max="8" width="12.5546875" bestFit="1" customWidth="1"/>
  </cols>
  <sheetData>
    <row r="1" spans="1:8" x14ac:dyDescent="0.3">
      <c r="A1" s="41"/>
      <c r="B1" s="42">
        <v>2016</v>
      </c>
      <c r="C1" s="42">
        <v>2017</v>
      </c>
      <c r="D1" s="42">
        <v>2018</v>
      </c>
      <c r="E1" s="42">
        <v>2019</v>
      </c>
      <c r="F1" s="42">
        <v>2020</v>
      </c>
      <c r="G1" s="42" t="s">
        <v>264</v>
      </c>
      <c r="H1" s="42" t="s">
        <v>335</v>
      </c>
    </row>
    <row r="2" spans="1:8" x14ac:dyDescent="0.3">
      <c r="A2" s="62" t="s">
        <v>296</v>
      </c>
      <c r="B2" s="64">
        <f>Entrate_Uscite!B58</f>
        <v>241964668.26999998</v>
      </c>
      <c r="C2" s="64">
        <f>Entrate_Uscite!E58</f>
        <v>266271145.90999985</v>
      </c>
      <c r="D2" s="64">
        <f>Entrate_Uscite!H58</f>
        <v>220687273.5800004</v>
      </c>
      <c r="E2" s="64">
        <f>Entrate_Uscite!K58</f>
        <v>239133891.8499999</v>
      </c>
      <c r="F2" s="64">
        <f>Entrate_Uscite!N58</f>
        <v>265325383.85000086</v>
      </c>
      <c r="G2" s="64">
        <f>F2-E2</f>
        <v>26191492.000000954</v>
      </c>
      <c r="H2" s="64">
        <f>Entrate_Uscite!O58</f>
        <v>-57402415.819999218</v>
      </c>
    </row>
    <row r="3" spans="1:8" x14ac:dyDescent="0.3">
      <c r="A3" s="62" t="s">
        <v>71</v>
      </c>
      <c r="B3" s="64">
        <f>Entrate_Uscite!B59</f>
        <v>-135193164.60999998</v>
      </c>
      <c r="C3" s="64">
        <f>Entrate_Uscite!E59</f>
        <v>-155029227.17999998</v>
      </c>
      <c r="D3" s="64">
        <f>Entrate_Uscite!H59</f>
        <v>-110865833.41000003</v>
      </c>
      <c r="E3" s="64">
        <f>Entrate_Uscite!K59</f>
        <v>-108617527.81000003</v>
      </c>
      <c r="F3" s="64">
        <f>Entrate_Uscite!N59</f>
        <v>-124841685.16</v>
      </c>
      <c r="G3" s="64">
        <f t="shared" ref="G3:G6" si="0">F3-E3</f>
        <v>-16224157.349999964</v>
      </c>
      <c r="H3" s="64">
        <f>Entrate_Uscite!O59</f>
        <v>-38564658.600000009</v>
      </c>
    </row>
    <row r="4" spans="1:8" x14ac:dyDescent="0.3">
      <c r="A4" s="62" t="s">
        <v>299</v>
      </c>
      <c r="B4" s="65">
        <f>Entrate_Uscite!B16-Entrate_Uscite!B52</f>
        <v>-4012795.9399999995</v>
      </c>
      <c r="C4" s="65">
        <f>Entrate_Uscite!E16-Entrate_Uscite!E52</f>
        <v>286643.45</v>
      </c>
      <c r="D4" s="65">
        <f>Entrate_Uscite!H16-Entrate_Uscite!H52</f>
        <v>-812923.29000000656</v>
      </c>
      <c r="E4" s="65">
        <f>Entrate_Uscite!K16-Entrate_Uscite!K52</f>
        <v>47799697.709999979</v>
      </c>
      <c r="F4" s="65">
        <f>Entrate_Uscite!N16-Entrate_Uscite!N52</f>
        <v>-22991038.420000002</v>
      </c>
      <c r="G4" s="64">
        <f t="shared" si="0"/>
        <v>-70790736.12999998</v>
      </c>
      <c r="H4" s="65">
        <f>Entrate_Uscite!O16-Entrate_Uscite!O52</f>
        <v>-100146209.54000001</v>
      </c>
    </row>
    <row r="5" spans="1:8" x14ac:dyDescent="0.3">
      <c r="A5" s="47" t="s">
        <v>297</v>
      </c>
      <c r="B5" s="66">
        <f>Entrate_Uscite!B60</f>
        <v>102758707.71999979</v>
      </c>
      <c r="C5" s="66">
        <f>Entrate_Uscite!E60</f>
        <v>111528562.17999983</v>
      </c>
      <c r="D5" s="66">
        <f>Entrate_Uscite!H60</f>
        <v>109008516.88000059</v>
      </c>
      <c r="E5" s="66">
        <f>Entrate_Uscite!K60</f>
        <v>178316061.75</v>
      </c>
      <c r="F5" s="66">
        <f>Entrate_Uscite!N60</f>
        <v>117492660.27000141</v>
      </c>
      <c r="G5" s="66">
        <f t="shared" si="0"/>
        <v>-60823401.479998589</v>
      </c>
      <c r="H5" s="66">
        <f>SUM(Entrate_Uscite!O14:O16)-SUM(Entrate_Uscite!O50:O52)</f>
        <v>-196113283.95999908</v>
      </c>
    </row>
    <row r="6" spans="1:8" x14ac:dyDescent="0.3">
      <c r="A6" s="38" t="s">
        <v>298</v>
      </c>
      <c r="B6" s="67">
        <f>Entrate_Uscite!B61</f>
        <v>-13147451.940000534</v>
      </c>
      <c r="C6" s="67">
        <f>Entrate_Uscite!E61</f>
        <v>58761760.340000153</v>
      </c>
      <c r="D6" s="67">
        <f>Entrate_Uscite!H61</f>
        <v>82646963.740000725</v>
      </c>
      <c r="E6" s="67">
        <f>Entrate_Uscite!K61</f>
        <v>67366149.440000534</v>
      </c>
      <c r="F6" s="67">
        <f>Entrate_Uscite!N61</f>
        <v>103170898.98000145</v>
      </c>
      <c r="G6" s="67">
        <f t="shared" si="0"/>
        <v>35804749.540000916</v>
      </c>
      <c r="H6" s="67">
        <f>Entrate_Uscite!O61</f>
        <v>-210435045.24999809</v>
      </c>
    </row>
    <row r="7" spans="1:8" x14ac:dyDescent="0.3">
      <c r="H7" s="6"/>
    </row>
    <row r="8" spans="1:8" x14ac:dyDescent="0.3">
      <c r="H8" s="6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2"/>
  <sheetViews>
    <sheetView showGridLines="0" topLeftCell="A7" workbookViewId="0">
      <selection activeCell="G20" sqref="G20"/>
    </sheetView>
  </sheetViews>
  <sheetFormatPr defaultRowHeight="14.4" x14ac:dyDescent="0.3"/>
  <cols>
    <col min="1" max="1" width="36.44140625" bestFit="1" customWidth="1"/>
    <col min="2" max="7" width="13.5546875" bestFit="1" customWidth="1"/>
    <col min="10" max="10" width="10" bestFit="1" customWidth="1"/>
  </cols>
  <sheetData>
    <row r="1" spans="1:7" x14ac:dyDescent="0.3">
      <c r="A1" s="41"/>
      <c r="B1" s="96">
        <v>2015</v>
      </c>
      <c r="C1" s="96">
        <v>2016</v>
      </c>
      <c r="D1" s="96">
        <v>2017</v>
      </c>
      <c r="E1" s="69">
        <v>2018</v>
      </c>
      <c r="F1" s="96">
        <v>2019</v>
      </c>
      <c r="G1" s="96">
        <v>2020</v>
      </c>
    </row>
    <row r="2" spans="1:7" x14ac:dyDescent="0.3">
      <c r="A2" t="s">
        <v>5</v>
      </c>
      <c r="B2" s="1">
        <v>262569720.66</v>
      </c>
      <c r="C2" s="1">
        <v>110186344.02</v>
      </c>
      <c r="D2" s="1">
        <v>204903473.66</v>
      </c>
      <c r="E2" s="1">
        <v>203115916.83000001</v>
      </c>
      <c r="F2" s="1">
        <v>308917378.10000002</v>
      </c>
      <c r="G2" s="1">
        <v>294660223.76999998</v>
      </c>
    </row>
    <row r="3" spans="1:7" x14ac:dyDescent="0.3">
      <c r="A3" t="s">
        <v>6</v>
      </c>
      <c r="B3" s="1">
        <v>1860944266.47</v>
      </c>
      <c r="C3" s="1">
        <v>1981295582.77</v>
      </c>
      <c r="D3" s="1">
        <v>2404097440.54</v>
      </c>
      <c r="E3" s="1">
        <v>1906137927.46</v>
      </c>
      <c r="F3" s="1">
        <v>1740798585.6600001</v>
      </c>
      <c r="G3" s="1">
        <v>1744798482.3499999</v>
      </c>
    </row>
    <row r="4" spans="1:7" x14ac:dyDescent="0.3">
      <c r="A4" t="s">
        <v>7</v>
      </c>
      <c r="B4" s="1">
        <v>1921099995.26</v>
      </c>
      <c r="C4" s="1">
        <v>1899632077.5699999</v>
      </c>
      <c r="D4" s="1">
        <v>2374045980.3499999</v>
      </c>
      <c r="E4" s="1">
        <v>1791404478.03</v>
      </c>
      <c r="F4" s="1">
        <v>1661398206.53</v>
      </c>
      <c r="G4" s="1">
        <v>1550479165.3900001</v>
      </c>
    </row>
    <row r="5" spans="1:7" x14ac:dyDescent="0.3">
      <c r="A5" t="s">
        <v>8</v>
      </c>
      <c r="B5" s="1">
        <v>14498999.15</v>
      </c>
      <c r="C5" s="1">
        <v>17905796.620000001</v>
      </c>
      <c r="D5" s="1">
        <v>14833233.109999999</v>
      </c>
      <c r="E5" s="1">
        <v>16788920.48</v>
      </c>
      <c r="F5" s="1">
        <v>26715659.510000002</v>
      </c>
      <c r="G5" s="1">
        <v>62452321.840000004</v>
      </c>
    </row>
    <row r="6" spans="1:7" x14ac:dyDescent="0.3">
      <c r="A6" t="s">
        <v>355</v>
      </c>
      <c r="B6" s="1">
        <v>63210113.219999999</v>
      </c>
      <c r="C6" s="1">
        <v>78453506.209999993</v>
      </c>
      <c r="D6" s="1">
        <v>77719799.950000003</v>
      </c>
      <c r="E6" s="1">
        <v>103439606.28</v>
      </c>
      <c r="F6" s="1">
        <v>128628015.2</v>
      </c>
      <c r="G6" s="1">
        <v>122960857.20999999</v>
      </c>
    </row>
    <row r="7" spans="1:7" x14ac:dyDescent="0.3">
      <c r="A7" s="4" t="s">
        <v>0</v>
      </c>
      <c r="B7" s="3">
        <f t="shared" ref="B7:D7" si="0">B2+B3-B4-B5-B6</f>
        <v>124704879.50000012</v>
      </c>
      <c r="C7" s="3">
        <f t="shared" si="0"/>
        <v>95490546.39000003</v>
      </c>
      <c r="D7" s="3">
        <f t="shared" si="0"/>
        <v>142401900.7899999</v>
      </c>
      <c r="E7" s="3">
        <f>E2+E3-E4-E5-E6</f>
        <v>197620839.49999997</v>
      </c>
      <c r="F7" s="3">
        <f>F2+F3-F4-F5-F6</f>
        <v>232974082.52000028</v>
      </c>
      <c r="G7" s="3">
        <f>G2+G3-G4-G5-G6</f>
        <v>303566361.67999977</v>
      </c>
    </row>
    <row r="8" spans="1:7" x14ac:dyDescent="0.3">
      <c r="A8" t="s">
        <v>9</v>
      </c>
      <c r="B8" s="1">
        <v>1253500.07</v>
      </c>
      <c r="C8" s="1">
        <v>7045035.5800000001</v>
      </c>
      <c r="D8" s="1">
        <v>22752121.280000001</v>
      </c>
      <c r="E8" s="1">
        <v>37494569.700000003</v>
      </c>
      <c r="F8" s="1">
        <v>50751779.210000001</v>
      </c>
      <c r="G8" s="1">
        <v>53362858.039999999</v>
      </c>
    </row>
    <row r="9" spans="1:7" x14ac:dyDescent="0.3">
      <c r="A9" t="s">
        <v>349</v>
      </c>
      <c r="B9" s="1">
        <v>78152428.579999998</v>
      </c>
      <c r="C9" s="1">
        <v>78052908.25</v>
      </c>
      <c r="D9" s="1">
        <v>92895482.870000005</v>
      </c>
      <c r="E9" s="1">
        <v>79256598.739999995</v>
      </c>
      <c r="F9" s="1">
        <v>80091069.549999997</v>
      </c>
      <c r="G9" s="1">
        <v>65392698.020000003</v>
      </c>
    </row>
    <row r="10" spans="1:7" x14ac:dyDescent="0.3">
      <c r="A10" t="s">
        <v>10</v>
      </c>
      <c r="B10" s="1">
        <v>140450800.49000001</v>
      </c>
      <c r="C10" s="1">
        <v>137373368.84999999</v>
      </c>
      <c r="D10" s="1">
        <v>134209329.39</v>
      </c>
      <c r="E10" s="1">
        <v>130956114.77</v>
      </c>
      <c r="F10" s="1">
        <v>127611079.04000001</v>
      </c>
      <c r="G10" s="1">
        <v>124171495.12</v>
      </c>
    </row>
    <row r="11" spans="1:7" x14ac:dyDescent="0.3">
      <c r="A11" t="s">
        <v>11</v>
      </c>
      <c r="B11" s="1">
        <v>0</v>
      </c>
      <c r="C11" s="1">
        <v>35000</v>
      </c>
      <c r="D11" s="1">
        <v>222110</v>
      </c>
      <c r="E11" s="1">
        <v>307816</v>
      </c>
      <c r="F11" s="1">
        <v>181167.87</v>
      </c>
      <c r="G11" s="1">
        <v>363100.41</v>
      </c>
    </row>
    <row r="12" spans="1:7" x14ac:dyDescent="0.3">
      <c r="A12" t="s">
        <v>12</v>
      </c>
      <c r="B12" s="1">
        <v>3211352.54</v>
      </c>
      <c r="C12" s="1">
        <v>5550000</v>
      </c>
      <c r="D12" s="1">
        <v>21235554.530000001</v>
      </c>
      <c r="E12" s="1">
        <f>25000000+7514255.33</f>
        <v>32514255.329999998</v>
      </c>
      <c r="F12" s="1">
        <v>31000000</v>
      </c>
      <c r="G12" s="1">
        <v>53000000</v>
      </c>
    </row>
    <row r="13" spans="1:7" x14ac:dyDescent="0.3">
      <c r="A13" t="s">
        <v>13</v>
      </c>
      <c r="B13" s="1">
        <f>19181978.05+1130068.39+3908442.08</f>
        <v>24220488.520000003</v>
      </c>
      <c r="C13" s="1">
        <f>19181978.05+12000000+1130068.39+3509506.73</f>
        <v>35821553.170000002</v>
      </c>
      <c r="D13" s="1">
        <f>19181978.05+12000000+1140068.39</f>
        <v>32322046.440000001</v>
      </c>
      <c r="E13" s="1">
        <f>19181978.05+20000000+1130068.39</f>
        <v>40312046.439999998</v>
      </c>
      <c r="F13" s="1">
        <v>29412046.440000001</v>
      </c>
      <c r="G13" s="1">
        <v>21381978.050000001</v>
      </c>
    </row>
    <row r="14" spans="1:7" x14ac:dyDescent="0.3">
      <c r="A14" s="4" t="s">
        <v>1</v>
      </c>
      <c r="B14" s="3">
        <f t="shared" ref="B14:D14" si="1">SUM(B8:B13)</f>
        <v>247288570.19999999</v>
      </c>
      <c r="C14" s="3">
        <f t="shared" si="1"/>
        <v>263877865.85000002</v>
      </c>
      <c r="D14" s="3">
        <f t="shared" si="1"/>
        <v>303636644.51000005</v>
      </c>
      <c r="E14" s="3">
        <f>SUM(E8:E13)</f>
        <v>320841400.97999996</v>
      </c>
      <c r="F14" s="3">
        <f>SUM(F8:F13)</f>
        <v>319047142.11000001</v>
      </c>
      <c r="G14" s="3">
        <f>SUM(G8:G13)</f>
        <v>317672129.64000005</v>
      </c>
    </row>
    <row r="15" spans="1:7" x14ac:dyDescent="0.3">
      <c r="A15" t="s">
        <v>15</v>
      </c>
      <c r="B15" s="1">
        <v>22667466.640000001</v>
      </c>
      <c r="C15" s="1">
        <v>29874737.989999998</v>
      </c>
      <c r="D15" s="1">
        <v>13739085.528000001</v>
      </c>
      <c r="E15" s="1">
        <v>6137546.96</v>
      </c>
      <c r="F15" s="1">
        <v>13592006.359999999</v>
      </c>
      <c r="G15" s="1">
        <v>40075164.93</v>
      </c>
    </row>
    <row r="16" spans="1:7" x14ac:dyDescent="0.3">
      <c r="A16" t="s">
        <v>14</v>
      </c>
      <c r="B16" s="1">
        <v>107088136.47</v>
      </c>
      <c r="C16" s="1">
        <v>94519198.560000002</v>
      </c>
      <c r="D16" s="1">
        <v>73945465.819999993</v>
      </c>
      <c r="E16" s="1">
        <v>66119568.210000001</v>
      </c>
      <c r="F16" s="1">
        <v>79206664.549999997</v>
      </c>
      <c r="G16" s="1">
        <v>92281915.5</v>
      </c>
    </row>
    <row r="17" spans="1:7" x14ac:dyDescent="0.3">
      <c r="A17" t="s">
        <v>16</v>
      </c>
      <c r="B17" s="1">
        <v>0</v>
      </c>
      <c r="C17" s="1">
        <v>0</v>
      </c>
      <c r="D17" s="1">
        <v>0</v>
      </c>
      <c r="E17" s="1">
        <v>1402.84</v>
      </c>
      <c r="F17" s="1">
        <v>2066.1999999999998</v>
      </c>
      <c r="G17" s="1">
        <v>57539.28</v>
      </c>
    </row>
    <row r="18" spans="1:7" x14ac:dyDescent="0.3">
      <c r="A18" t="s">
        <v>17</v>
      </c>
      <c r="B18" s="1">
        <v>2268637.9700000002</v>
      </c>
      <c r="C18" s="1">
        <v>3187699.9</v>
      </c>
      <c r="D18" s="1">
        <v>3823641.01</v>
      </c>
      <c r="E18" s="1">
        <v>11636819.039999999</v>
      </c>
      <c r="F18" s="1">
        <v>6053927.04</v>
      </c>
      <c r="G18" s="1">
        <v>7511118.96</v>
      </c>
    </row>
    <row r="19" spans="1:7" x14ac:dyDescent="0.3">
      <c r="A19" t="s">
        <v>18</v>
      </c>
      <c r="B19" s="1">
        <v>0</v>
      </c>
      <c r="C19" s="1">
        <v>0</v>
      </c>
      <c r="D19" s="1">
        <v>0</v>
      </c>
      <c r="E19" s="1">
        <v>0</v>
      </c>
      <c r="F19" s="1">
        <v>0</v>
      </c>
      <c r="G19" s="1">
        <v>0</v>
      </c>
    </row>
    <row r="20" spans="1:7" x14ac:dyDescent="0.3">
      <c r="A20" s="4" t="s">
        <v>2</v>
      </c>
      <c r="B20" s="3">
        <f t="shared" ref="B20:D20" si="2">SUM(B15:B19)</f>
        <v>132024241.08</v>
      </c>
      <c r="C20" s="3">
        <f t="shared" si="2"/>
        <v>127581636.45</v>
      </c>
      <c r="D20" s="3">
        <f t="shared" si="2"/>
        <v>91508192.357999995</v>
      </c>
      <c r="E20" s="3">
        <f>SUM(E15:E19)</f>
        <v>83895337.050000012</v>
      </c>
      <c r="F20" s="3">
        <f>SUM(F15:F19)</f>
        <v>98854664.150000006</v>
      </c>
      <c r="G20" s="3">
        <f>SUM(G15:G19)</f>
        <v>139925738.67000002</v>
      </c>
    </row>
    <row r="21" spans="1:7" x14ac:dyDescent="0.3">
      <c r="A21" s="4" t="s">
        <v>3</v>
      </c>
      <c r="B21" s="3">
        <v>0</v>
      </c>
      <c r="C21" s="3">
        <v>0</v>
      </c>
      <c r="D21" s="3">
        <v>0</v>
      </c>
      <c r="E21" s="3">
        <v>0</v>
      </c>
      <c r="F21" s="3">
        <v>0</v>
      </c>
      <c r="G21" s="3">
        <v>0</v>
      </c>
    </row>
    <row r="22" spans="1:7" x14ac:dyDescent="0.3">
      <c r="A22" s="70" t="s">
        <v>4</v>
      </c>
      <c r="B22" s="37">
        <f t="shared" ref="B22:C22" si="3">B7-B14-B20-B21</f>
        <v>-254607931.77999985</v>
      </c>
      <c r="C22" s="37">
        <f t="shared" si="3"/>
        <v>-295968955.90999997</v>
      </c>
      <c r="D22" s="37">
        <f>D7-D14-D20-D21</f>
        <v>-252742936.07800013</v>
      </c>
      <c r="E22" s="37">
        <f>E7-E14-E20-E21</f>
        <v>-207115898.53</v>
      </c>
      <c r="F22" s="37">
        <f>F7-F14-F20-F21</f>
        <v>-184927723.73999974</v>
      </c>
      <c r="G22" s="37">
        <f>G7-G14-G20-G21</f>
        <v>-154031506.63000029</v>
      </c>
    </row>
    <row r="23" spans="1:7" x14ac:dyDescent="0.3">
      <c r="B23" s="1"/>
      <c r="C23" s="1">
        <v>-6366248.1900000004</v>
      </c>
      <c r="D23" s="1">
        <v>-23062620.440000001</v>
      </c>
      <c r="E23" s="1">
        <v>-237863392.97</v>
      </c>
      <c r="F23" s="1">
        <v>-11704920.42</v>
      </c>
      <c r="G23" s="1">
        <v>-20732699.43</v>
      </c>
    </row>
    <row r="24" spans="1:7" x14ac:dyDescent="0.3">
      <c r="A24" t="s">
        <v>365</v>
      </c>
      <c r="B24" s="6">
        <f t="shared" ref="B24:E24" si="4">B8/B3*100</f>
        <v>6.7358281093379949E-2</v>
      </c>
      <c r="C24" s="6">
        <f t="shared" si="4"/>
        <v>0.35557721125842873</v>
      </c>
      <c r="D24" s="6">
        <f t="shared" si="4"/>
        <v>0.94638931419058869</v>
      </c>
      <c r="E24" s="6">
        <f t="shared" si="4"/>
        <v>1.9670438933012007</v>
      </c>
      <c r="F24" s="6">
        <f t="shared" ref="F24:G24" si="5">F8/F3*100</f>
        <v>2.9154308619085967</v>
      </c>
      <c r="G24" s="6">
        <f t="shared" si="5"/>
        <v>3.0583966331818266</v>
      </c>
    </row>
    <row r="25" spans="1:7" x14ac:dyDescent="0.3">
      <c r="A25" t="s">
        <v>356</v>
      </c>
    </row>
    <row r="52" spans="1:7" x14ac:dyDescent="0.3">
      <c r="A52" t="s">
        <v>13</v>
      </c>
      <c r="B52" s="1">
        <f t="shared" ref="B52:E52" si="6">SUM(B11:B13)</f>
        <v>27431841.060000002</v>
      </c>
      <c r="C52" s="1">
        <f t="shared" si="6"/>
        <v>41406553.170000002</v>
      </c>
      <c r="D52" s="1">
        <f t="shared" si="6"/>
        <v>53779710.969999999</v>
      </c>
      <c r="E52" s="1">
        <f t="shared" si="6"/>
        <v>73134117.769999996</v>
      </c>
      <c r="F52" s="1">
        <f t="shared" ref="F52:G52" si="7">SUM(F11:F13)</f>
        <v>60593214.310000002</v>
      </c>
      <c r="G52" s="1">
        <f t="shared" si="7"/>
        <v>74745078.459999993</v>
      </c>
    </row>
  </sheetData>
  <conditionalFormatting sqref="C22:E22">
    <cfRule type="cellIs" dxfId="88" priority="21" operator="greaterThan">
      <formula>0</formula>
    </cfRule>
  </conditionalFormatting>
  <conditionalFormatting sqref="C22:E22">
    <cfRule type="cellIs" dxfId="87" priority="18" operator="greaterThan">
      <formula>0</formula>
    </cfRule>
    <cfRule type="cellIs" dxfId="86" priority="19" operator="lessThan">
      <formula>0</formula>
    </cfRule>
  </conditionalFormatting>
  <conditionalFormatting sqref="B22">
    <cfRule type="cellIs" dxfId="85" priority="12" operator="greaterThan">
      <formula>0</formula>
    </cfRule>
  </conditionalFormatting>
  <conditionalFormatting sqref="B22">
    <cfRule type="cellIs" dxfId="84" priority="10" operator="greaterThan">
      <formula>0</formula>
    </cfRule>
    <cfRule type="cellIs" dxfId="83" priority="11" operator="lessThan">
      <formula>0</formula>
    </cfRule>
  </conditionalFormatting>
  <conditionalFormatting sqref="F22">
    <cfRule type="cellIs" dxfId="82" priority="6" operator="greaterThan">
      <formula>0</formula>
    </cfRule>
  </conditionalFormatting>
  <conditionalFormatting sqref="F22">
    <cfRule type="cellIs" dxfId="81" priority="4" operator="greaterThan">
      <formula>0</formula>
    </cfRule>
    <cfRule type="cellIs" dxfId="80" priority="5" operator="lessThan">
      <formula>0</formula>
    </cfRule>
  </conditionalFormatting>
  <conditionalFormatting sqref="G22">
    <cfRule type="cellIs" dxfId="79" priority="3" operator="greaterThan">
      <formula>0</formula>
    </cfRule>
  </conditionalFormatting>
  <conditionalFormatting sqref="G22">
    <cfRule type="cellIs" dxfId="78" priority="1" operator="greaterThan">
      <formula>0</formula>
    </cfRule>
    <cfRule type="cellIs" dxfId="77" priority="2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workbookViewId="0">
      <pane xSplit="2" ySplit="1" topLeftCell="C14" activePane="bottomRight" state="frozen"/>
      <selection pane="topRight" activeCell="C1" sqref="C1"/>
      <selection pane="bottomLeft" activeCell="A2" sqref="A2"/>
      <selection pane="bottomRight" activeCell="G28" sqref="G28"/>
    </sheetView>
  </sheetViews>
  <sheetFormatPr defaultRowHeight="14.4" x14ac:dyDescent="0.3"/>
  <cols>
    <col min="1" max="1" width="65.33203125" bestFit="1" customWidth="1"/>
    <col min="2" max="2" width="3.44140625" bestFit="1" customWidth="1"/>
    <col min="3" max="4" width="15.44140625" bestFit="1" customWidth="1"/>
    <col min="5" max="7" width="15.5546875" customWidth="1"/>
    <col min="8" max="8" width="12.33203125" bestFit="1" customWidth="1"/>
    <col min="9" max="9" width="11.109375" bestFit="1" customWidth="1"/>
  </cols>
  <sheetData>
    <row r="1" spans="1:8" x14ac:dyDescent="0.3">
      <c r="C1" s="99">
        <v>2016</v>
      </c>
      <c r="D1" s="12">
        <v>2017</v>
      </c>
      <c r="E1" s="12">
        <v>2018</v>
      </c>
      <c r="F1" s="12">
        <v>2019</v>
      </c>
      <c r="G1" s="12">
        <v>2020</v>
      </c>
      <c r="H1" s="12" t="s">
        <v>264</v>
      </c>
    </row>
    <row r="2" spans="1:8" x14ac:dyDescent="0.3">
      <c r="A2" t="s">
        <v>234</v>
      </c>
      <c r="B2" s="26" t="s">
        <v>258</v>
      </c>
      <c r="C2" s="1">
        <v>3370842026.4000001</v>
      </c>
      <c r="D2" s="1">
        <v>3332748908.8099999</v>
      </c>
      <c r="E2" s="1">
        <v>3332372909.6700001</v>
      </c>
      <c r="F2" s="1">
        <v>3353412039.7199998</v>
      </c>
      <c r="G2" s="1">
        <v>3441594324.9400001</v>
      </c>
      <c r="H2" s="1">
        <f>G2-F2</f>
        <v>88182285.220000267</v>
      </c>
    </row>
    <row r="3" spans="1:8" x14ac:dyDescent="0.3">
      <c r="A3" t="s">
        <v>235</v>
      </c>
      <c r="B3" s="26" t="s">
        <v>258</v>
      </c>
      <c r="C3" s="1">
        <v>0</v>
      </c>
      <c r="D3" s="1">
        <v>0</v>
      </c>
      <c r="E3" s="1">
        <v>0</v>
      </c>
      <c r="F3" s="1">
        <v>0</v>
      </c>
      <c r="G3" s="1">
        <v>0</v>
      </c>
      <c r="H3" s="1">
        <f t="shared" ref="H3:H28" si="0">G3-F3</f>
        <v>0</v>
      </c>
    </row>
    <row r="4" spans="1:8" x14ac:dyDescent="0.3">
      <c r="A4" t="s">
        <v>236</v>
      </c>
      <c r="B4" s="26" t="s">
        <v>258</v>
      </c>
      <c r="C4" s="1">
        <v>779895015.99000001</v>
      </c>
      <c r="D4" s="1">
        <v>822975150.13</v>
      </c>
      <c r="E4" s="1">
        <v>774249982.17999995</v>
      </c>
      <c r="F4" s="1">
        <v>710681439.39999998</v>
      </c>
      <c r="G4" s="1">
        <v>829360473.80999994</v>
      </c>
      <c r="H4" s="1">
        <f t="shared" si="0"/>
        <v>118679034.40999997</v>
      </c>
    </row>
    <row r="5" spans="1:8" x14ac:dyDescent="0.3">
      <c r="A5" t="s">
        <v>237</v>
      </c>
      <c r="B5" s="26" t="s">
        <v>258</v>
      </c>
      <c r="C5" s="1">
        <v>14006085.33</v>
      </c>
      <c r="D5" s="1">
        <v>14196489.880000001</v>
      </c>
      <c r="E5" s="1">
        <v>14554265.689999999</v>
      </c>
      <c r="F5" s="1">
        <v>173836965.75</v>
      </c>
      <c r="G5" s="1">
        <v>171748082.62</v>
      </c>
      <c r="H5" s="1">
        <f t="shared" si="0"/>
        <v>-2088883.1299999952</v>
      </c>
    </row>
    <row r="6" spans="1:8" x14ac:dyDescent="0.3">
      <c r="A6" t="s">
        <v>238</v>
      </c>
      <c r="B6" s="26" t="s">
        <v>258</v>
      </c>
      <c r="C6" s="1"/>
      <c r="D6" s="1"/>
      <c r="E6" s="1"/>
      <c r="F6" s="1"/>
      <c r="G6" s="1"/>
      <c r="H6" s="1">
        <f t="shared" si="0"/>
        <v>0</v>
      </c>
    </row>
    <row r="7" spans="1:8" x14ac:dyDescent="0.3">
      <c r="A7" t="s">
        <v>239</v>
      </c>
      <c r="B7" s="26" t="s">
        <v>258</v>
      </c>
      <c r="C7" s="1"/>
      <c r="D7" s="1"/>
      <c r="E7" s="1"/>
      <c r="F7" s="1"/>
      <c r="G7" s="1"/>
      <c r="H7" s="1">
        <f t="shared" si="0"/>
        <v>0</v>
      </c>
    </row>
    <row r="8" spans="1:8" x14ac:dyDescent="0.3">
      <c r="A8" t="s">
        <v>240</v>
      </c>
      <c r="B8" s="26" t="s">
        <v>258</v>
      </c>
      <c r="C8" s="1"/>
      <c r="D8" s="1"/>
      <c r="E8" s="1"/>
      <c r="F8" s="1"/>
      <c r="G8" s="1"/>
      <c r="H8" s="1">
        <f t="shared" si="0"/>
        <v>0</v>
      </c>
    </row>
    <row r="9" spans="1:8" x14ac:dyDescent="0.3">
      <c r="A9" s="32" t="s">
        <v>241</v>
      </c>
      <c r="B9" s="33" t="s">
        <v>258</v>
      </c>
      <c r="C9" s="34">
        <v>32760145.09</v>
      </c>
      <c r="D9" s="34">
        <v>84429309.439999998</v>
      </c>
      <c r="E9" s="34">
        <v>41080224.649999999</v>
      </c>
      <c r="F9" s="34">
        <v>43767545.049999997</v>
      </c>
      <c r="G9" s="34">
        <v>31728969.84</v>
      </c>
      <c r="H9" s="1">
        <f t="shared" si="0"/>
        <v>-12038575.209999997</v>
      </c>
    </row>
    <row r="10" spans="1:8" x14ac:dyDescent="0.3">
      <c r="A10" s="35" t="s">
        <v>262</v>
      </c>
      <c r="B10" s="36" t="s">
        <v>258</v>
      </c>
      <c r="C10" s="94">
        <f t="shared" ref="C10" si="1">SUM(C2:C9)</f>
        <v>4197503272.8100004</v>
      </c>
      <c r="D10" s="94">
        <f t="shared" ref="D10:E10" si="2">SUM(D2:D9)</f>
        <v>4254349858.2600002</v>
      </c>
      <c r="E10" s="94">
        <f t="shared" si="2"/>
        <v>4162257382.1900001</v>
      </c>
      <c r="F10" s="94">
        <f t="shared" ref="F10:G10" si="3">SUM(F2:F9)</f>
        <v>4281697989.9200001</v>
      </c>
      <c r="G10" s="94">
        <f t="shared" si="3"/>
        <v>4474431851.21</v>
      </c>
      <c r="H10" s="11">
        <f t="shared" si="0"/>
        <v>192733861.28999996</v>
      </c>
    </row>
    <row r="11" spans="1:8" x14ac:dyDescent="0.3">
      <c r="A11" t="s">
        <v>242</v>
      </c>
      <c r="B11" s="26" t="s">
        <v>259</v>
      </c>
      <c r="C11" s="1">
        <v>1859978.98</v>
      </c>
      <c r="D11" s="1">
        <v>949821.68</v>
      </c>
      <c r="E11" s="1">
        <v>792223.76</v>
      </c>
      <c r="F11" s="1">
        <v>736903.29</v>
      </c>
      <c r="G11" s="1">
        <v>944803.94</v>
      </c>
      <c r="H11" s="1">
        <f t="shared" si="0"/>
        <v>207900.64999999991</v>
      </c>
    </row>
    <row r="12" spans="1:8" x14ac:dyDescent="0.3">
      <c r="A12" t="s">
        <v>243</v>
      </c>
      <c r="B12" s="26" t="s">
        <v>259</v>
      </c>
      <c r="C12" s="1">
        <v>38921913.32</v>
      </c>
      <c r="D12" s="1">
        <v>160709964.84999999</v>
      </c>
      <c r="E12" s="1">
        <v>364356295.64999998</v>
      </c>
      <c r="F12" s="1">
        <v>408173354.52999997</v>
      </c>
      <c r="G12" s="1">
        <v>364823476.42000002</v>
      </c>
      <c r="H12" s="1">
        <f t="shared" si="0"/>
        <v>-43349878.109999955</v>
      </c>
    </row>
    <row r="13" spans="1:8" x14ac:dyDescent="0.3">
      <c r="A13" t="s">
        <v>244</v>
      </c>
      <c r="B13" s="26" t="s">
        <v>259</v>
      </c>
      <c r="C13" s="1">
        <v>3339962.72</v>
      </c>
      <c r="D13" s="1">
        <v>2005414.24</v>
      </c>
      <c r="E13" s="1">
        <v>1628529.76</v>
      </c>
      <c r="F13" s="1">
        <v>1842392.97</v>
      </c>
      <c r="G13" s="1">
        <v>1676273.97</v>
      </c>
      <c r="H13" s="1">
        <f t="shared" si="0"/>
        <v>-166119</v>
      </c>
    </row>
    <row r="14" spans="1:8" x14ac:dyDescent="0.3">
      <c r="A14" t="s">
        <v>245</v>
      </c>
      <c r="B14" s="26" t="s">
        <v>259</v>
      </c>
      <c r="C14" s="1">
        <v>3897645211.4000001</v>
      </c>
      <c r="D14" s="1">
        <v>3759082046.21</v>
      </c>
      <c r="E14" s="1">
        <v>3556192890.2600002</v>
      </c>
      <c r="F14" s="1">
        <v>3657788064.1900001</v>
      </c>
      <c r="G14" s="1">
        <v>3864951041.9899998</v>
      </c>
      <c r="H14" s="1">
        <f t="shared" si="0"/>
        <v>207162977.79999971</v>
      </c>
    </row>
    <row r="15" spans="1:8" x14ac:dyDescent="0.3">
      <c r="A15" t="s">
        <v>246</v>
      </c>
      <c r="B15" s="26" t="s">
        <v>259</v>
      </c>
      <c r="C15" s="1">
        <v>59438031.409999996</v>
      </c>
      <c r="D15" s="1">
        <v>59769632.899999999</v>
      </c>
      <c r="E15" s="1">
        <v>59734873.75</v>
      </c>
      <c r="F15" s="1">
        <v>67362841.719999999</v>
      </c>
      <c r="G15" s="1">
        <v>69830226.760000005</v>
      </c>
      <c r="H15" s="1">
        <f t="shared" si="0"/>
        <v>2467385.0400000066</v>
      </c>
    </row>
    <row r="16" spans="1:8" x14ac:dyDescent="0.3">
      <c r="A16" t="s">
        <v>247</v>
      </c>
      <c r="B16" s="26" t="s">
        <v>259</v>
      </c>
      <c r="C16" s="1">
        <v>3650368.77</v>
      </c>
      <c r="D16" s="1">
        <v>12516006.390000001</v>
      </c>
      <c r="E16" s="1">
        <v>28807337.300000001</v>
      </c>
      <c r="F16" s="1">
        <v>17513452.809999999</v>
      </c>
      <c r="G16" s="1">
        <v>8534324.1500000004</v>
      </c>
      <c r="H16" s="1">
        <f t="shared" si="0"/>
        <v>-8979128.6599999983</v>
      </c>
    </row>
    <row r="17" spans="1:9" x14ac:dyDescent="0.3">
      <c r="A17" t="s">
        <v>248</v>
      </c>
      <c r="B17" s="26" t="s">
        <v>259</v>
      </c>
      <c r="C17" s="1">
        <v>0</v>
      </c>
      <c r="D17" s="1">
        <v>0</v>
      </c>
      <c r="E17" s="1">
        <v>0</v>
      </c>
      <c r="F17" s="1">
        <v>0</v>
      </c>
      <c r="G17" s="1">
        <v>0</v>
      </c>
      <c r="H17" s="1">
        <f t="shared" si="0"/>
        <v>0</v>
      </c>
    </row>
    <row r="18" spans="1:9" x14ac:dyDescent="0.3">
      <c r="A18" t="s">
        <v>249</v>
      </c>
      <c r="B18" s="26" t="s">
        <v>259</v>
      </c>
      <c r="C18" s="1">
        <v>17883154.190000001</v>
      </c>
      <c r="D18" s="1">
        <v>10647110</v>
      </c>
      <c r="E18" s="1">
        <v>19683636.93</v>
      </c>
      <c r="F18" s="1">
        <v>7100000</v>
      </c>
      <c r="G18" s="1">
        <v>22363100.41</v>
      </c>
      <c r="H18" s="1">
        <f t="shared" si="0"/>
        <v>15263100.41</v>
      </c>
    </row>
    <row r="19" spans="1:9" x14ac:dyDescent="0.3">
      <c r="A19" t="s">
        <v>13</v>
      </c>
      <c r="B19" s="26" t="s">
        <v>259</v>
      </c>
      <c r="C19" s="1">
        <v>13411283.77</v>
      </c>
      <c r="D19" s="1">
        <v>4820618.4000000004</v>
      </c>
      <c r="E19" s="1">
        <v>0</v>
      </c>
      <c r="F19" s="1">
        <v>0</v>
      </c>
      <c r="G19" s="1">
        <v>2000000</v>
      </c>
      <c r="H19" s="1">
        <f t="shared" si="0"/>
        <v>2000000</v>
      </c>
    </row>
    <row r="20" spans="1:9" x14ac:dyDescent="0.3">
      <c r="A20" s="32" t="s">
        <v>250</v>
      </c>
      <c r="B20" s="33" t="s">
        <v>259</v>
      </c>
      <c r="C20" s="34">
        <v>2978543.16</v>
      </c>
      <c r="D20" s="34">
        <v>1702494.29</v>
      </c>
      <c r="E20" s="34">
        <v>2666054.9500000002</v>
      </c>
      <c r="F20" s="34">
        <v>2205270.62</v>
      </c>
      <c r="G20" s="34">
        <v>3178852.94</v>
      </c>
      <c r="H20" s="1">
        <f t="shared" si="0"/>
        <v>973582.31999999983</v>
      </c>
    </row>
    <row r="21" spans="1:9" x14ac:dyDescent="0.3">
      <c r="A21" s="35" t="s">
        <v>263</v>
      </c>
      <c r="B21" s="36" t="s">
        <v>259</v>
      </c>
      <c r="C21" s="94">
        <f>SUM(C11:C20)</f>
        <v>4039128447.7199998</v>
      </c>
      <c r="D21" s="94">
        <f t="shared" ref="D21:E21" si="4">SUM(D11:D20)</f>
        <v>4012203108.96</v>
      </c>
      <c r="E21" s="94">
        <f t="shared" si="4"/>
        <v>4033861842.3600001</v>
      </c>
      <c r="F21" s="94">
        <f t="shared" ref="F21:G21" si="5">SUM(F11:F20)</f>
        <v>4162722280.1299996</v>
      </c>
      <c r="G21" s="94">
        <f t="shared" si="5"/>
        <v>4338302100.579999</v>
      </c>
      <c r="H21" s="11">
        <f t="shared" si="0"/>
        <v>175579820.44999933</v>
      </c>
      <c r="I21" s="1"/>
    </row>
    <row r="22" spans="1:9" x14ac:dyDescent="0.3">
      <c r="A22" t="s">
        <v>251</v>
      </c>
      <c r="B22" s="26" t="s">
        <v>258</v>
      </c>
      <c r="C22" s="1">
        <v>9047253.6300000008</v>
      </c>
      <c r="D22" s="1">
        <v>6505533.5899999999</v>
      </c>
      <c r="E22" s="1">
        <v>8518375.7899999991</v>
      </c>
      <c r="F22" s="1">
        <v>8419026.8100000005</v>
      </c>
      <c r="G22" s="1">
        <v>5559321.6399999997</v>
      </c>
      <c r="H22" s="1">
        <f t="shared" si="0"/>
        <v>-2859705.1700000009</v>
      </c>
    </row>
    <row r="23" spans="1:9" x14ac:dyDescent="0.3">
      <c r="A23" t="s">
        <v>252</v>
      </c>
      <c r="B23" s="26" t="s">
        <v>259</v>
      </c>
      <c r="C23" s="1">
        <v>31397022.920000002</v>
      </c>
      <c r="D23" s="1">
        <v>26489540.789999999</v>
      </c>
      <c r="E23" s="1">
        <v>24787195.559999999</v>
      </c>
      <c r="F23" s="1">
        <v>23832183.649999999</v>
      </c>
      <c r="G23" s="1">
        <v>22522657.050000001</v>
      </c>
      <c r="H23" s="1">
        <f t="shared" si="0"/>
        <v>-1309526.5999999978</v>
      </c>
      <c r="I23" s="1"/>
    </row>
    <row r="24" spans="1:9" x14ac:dyDescent="0.3">
      <c r="A24" t="s">
        <v>253</v>
      </c>
      <c r="B24" s="26" t="s">
        <v>258</v>
      </c>
      <c r="C24" s="1">
        <v>0</v>
      </c>
      <c r="D24" s="1">
        <v>0</v>
      </c>
      <c r="E24" s="1">
        <v>0</v>
      </c>
      <c r="F24" s="1">
        <v>814561.37</v>
      </c>
      <c r="G24" s="1">
        <v>1306153.8500000001</v>
      </c>
      <c r="H24" s="1">
        <f t="shared" si="0"/>
        <v>491592.4800000001</v>
      </c>
    </row>
    <row r="25" spans="1:9" x14ac:dyDescent="0.3">
      <c r="A25" t="s">
        <v>254</v>
      </c>
      <c r="B25" s="26" t="s">
        <v>258</v>
      </c>
      <c r="C25" s="1">
        <v>15615173.869999999</v>
      </c>
      <c r="D25" s="1">
        <v>33589672.289999999</v>
      </c>
      <c r="E25" s="1">
        <v>282833218.76999998</v>
      </c>
      <c r="F25" s="1">
        <v>61754423.590000004</v>
      </c>
      <c r="G25" s="1">
        <v>83801185.519999996</v>
      </c>
      <c r="H25" s="1">
        <f t="shared" si="0"/>
        <v>22046761.929999992</v>
      </c>
    </row>
    <row r="26" spans="1:9" x14ac:dyDescent="0.3">
      <c r="A26" t="s">
        <v>255</v>
      </c>
      <c r="B26" s="26" t="s">
        <v>259</v>
      </c>
      <c r="C26" s="1">
        <v>142908603.93000001</v>
      </c>
      <c r="D26" s="1">
        <v>104737114.67</v>
      </c>
      <c r="E26" s="1">
        <v>314362959.81</v>
      </c>
      <c r="F26" s="1">
        <v>89321051.280000001</v>
      </c>
      <c r="G26" s="1">
        <v>129207063.79000001</v>
      </c>
      <c r="H26" s="1">
        <f t="shared" si="0"/>
        <v>39886012.510000005</v>
      </c>
    </row>
    <row r="27" spans="1:9" x14ac:dyDescent="0.3">
      <c r="A27" t="s">
        <v>256</v>
      </c>
      <c r="B27" s="26" t="s">
        <v>259</v>
      </c>
      <c r="C27" s="1">
        <v>4025817.95</v>
      </c>
      <c r="D27" s="1">
        <v>3775529.59</v>
      </c>
      <c r="E27" s="1">
        <v>3761601.38</v>
      </c>
      <c r="F27" s="1">
        <v>4263689.09</v>
      </c>
      <c r="G27" s="1">
        <v>4467192.75</v>
      </c>
      <c r="H27" s="1">
        <f t="shared" si="0"/>
        <v>203503.66000000015</v>
      </c>
    </row>
    <row r="28" spans="1:9" x14ac:dyDescent="0.3">
      <c r="A28" s="10" t="s">
        <v>257</v>
      </c>
      <c r="B28" s="36" t="s">
        <v>260</v>
      </c>
      <c r="C28" s="37">
        <f>C10-C21+C22-C23+C24+C25-C26-C27</f>
        <v>4705807.7900006054</v>
      </c>
      <c r="D28" s="37">
        <f t="shared" ref="D28:E28" si="6">D10-D21+D22-D23+D24+D25-D26-D27</f>
        <v>147239770.1300002</v>
      </c>
      <c r="E28" s="37">
        <f t="shared" si="6"/>
        <v>76835377.639999926</v>
      </c>
      <c r="F28" s="37">
        <f t="shared" ref="F28:G28" si="7">F10-F21+F22-F23+F24+F25-F26-F27</f>
        <v>72546797.540000439</v>
      </c>
      <c r="G28" s="37">
        <f t="shared" si="7"/>
        <v>70599498.05000104</v>
      </c>
      <c r="H28" s="37">
        <f t="shared" si="0"/>
        <v>-1947299.4899993986</v>
      </c>
    </row>
  </sheetData>
  <conditionalFormatting sqref="C28:E28 H28">
    <cfRule type="cellIs" dxfId="76" priority="18" operator="greaterThan">
      <formula>0</formula>
    </cfRule>
  </conditionalFormatting>
  <conditionalFormatting sqref="C28:E28">
    <cfRule type="cellIs" dxfId="75" priority="15" operator="greaterThan">
      <formula>0</formula>
    </cfRule>
  </conditionalFormatting>
  <conditionalFormatting sqref="G28">
    <cfRule type="cellIs" dxfId="74" priority="4" operator="greaterThan">
      <formula>0</formula>
    </cfRule>
  </conditionalFormatting>
  <conditionalFormatting sqref="G28">
    <cfRule type="cellIs" dxfId="73" priority="3" operator="greaterThan">
      <formula>0</formula>
    </cfRule>
  </conditionalFormatting>
  <conditionalFormatting sqref="F28">
    <cfRule type="cellIs" dxfId="72" priority="2" operator="greaterThan">
      <formula>0</formula>
    </cfRule>
  </conditionalFormatting>
  <conditionalFormatting sqref="F28">
    <cfRule type="cellIs" dxfId="71" priority="1" operator="greater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showGridLines="0" workbookViewId="0">
      <selection activeCell="G3" sqref="G3:G15"/>
    </sheetView>
  </sheetViews>
  <sheetFormatPr defaultRowHeight="14.4" x14ac:dyDescent="0.3"/>
  <cols>
    <col min="1" max="1" width="50.6640625" bestFit="1" customWidth="1"/>
    <col min="2" max="6" width="13.33203125" bestFit="1" customWidth="1"/>
    <col min="7" max="7" width="12.33203125" bestFit="1" customWidth="1"/>
  </cols>
  <sheetData>
    <row r="1" spans="1:7" x14ac:dyDescent="0.3">
      <c r="A1" s="41"/>
      <c r="B1" s="42">
        <v>2016</v>
      </c>
      <c r="C1" s="42">
        <v>2017</v>
      </c>
      <c r="D1" s="42">
        <v>2018</v>
      </c>
      <c r="E1" s="42">
        <v>2019</v>
      </c>
      <c r="F1" s="42">
        <v>2020</v>
      </c>
      <c r="G1" s="42" t="s">
        <v>264</v>
      </c>
    </row>
    <row r="2" spans="1:7" x14ac:dyDescent="0.3">
      <c r="A2" s="71" t="s">
        <v>341</v>
      </c>
      <c r="B2" s="64">
        <f>Conto_economico!C10</f>
        <v>4197503272.8100004</v>
      </c>
      <c r="C2" s="64">
        <f>Conto_economico!D10</f>
        <v>4254349858.2600002</v>
      </c>
      <c r="D2" s="64">
        <f>Conto_economico!E10</f>
        <v>4162257382.1900001</v>
      </c>
      <c r="E2" s="64">
        <f>Conto_economico!F10</f>
        <v>4281697989.9200001</v>
      </c>
      <c r="F2" s="64">
        <f>Conto_economico!G10</f>
        <v>4474431851.21</v>
      </c>
      <c r="G2" s="64">
        <f>F2-E2</f>
        <v>192733861.28999996</v>
      </c>
    </row>
    <row r="3" spans="1:7" x14ac:dyDescent="0.3">
      <c r="A3" s="71" t="s">
        <v>336</v>
      </c>
      <c r="B3" s="64">
        <f>Conto_economico!C2</f>
        <v>3370842026.4000001</v>
      </c>
      <c r="C3" s="64">
        <f>Conto_economico!D2</f>
        <v>3332748908.8099999</v>
      </c>
      <c r="D3" s="64">
        <f>Conto_economico!E2</f>
        <v>3332372909.6700001</v>
      </c>
      <c r="E3" s="64">
        <f>Conto_economico!F2</f>
        <v>3353412039.7199998</v>
      </c>
      <c r="F3" s="64">
        <f>Conto_economico!G2</f>
        <v>3441594324.9400001</v>
      </c>
      <c r="G3" s="64">
        <f t="shared" ref="G3:G15" si="0">F3-E3</f>
        <v>88182285.220000267</v>
      </c>
    </row>
    <row r="4" spans="1:7" x14ac:dyDescent="0.3">
      <c r="A4" s="71" t="s">
        <v>337</v>
      </c>
      <c r="B4" s="64">
        <f>Conto_economico!C4</f>
        <v>779895015.99000001</v>
      </c>
      <c r="C4" s="64">
        <f>Conto_economico!D4</f>
        <v>822975150.13</v>
      </c>
      <c r="D4" s="64">
        <f>Conto_economico!E4</f>
        <v>774249982.17999995</v>
      </c>
      <c r="E4" s="64">
        <f>Conto_economico!F4</f>
        <v>710681439.39999998</v>
      </c>
      <c r="F4" s="64">
        <f>Conto_economico!G4</f>
        <v>829360473.80999994</v>
      </c>
      <c r="G4" s="64">
        <f t="shared" si="0"/>
        <v>118679034.40999997</v>
      </c>
    </row>
    <row r="5" spans="1:7" x14ac:dyDescent="0.3">
      <c r="A5" s="71" t="s">
        <v>342</v>
      </c>
      <c r="B5" s="65">
        <f>Conto_economico!C21</f>
        <v>4039128447.7199998</v>
      </c>
      <c r="C5" s="65">
        <f>Conto_economico!D21</f>
        <v>4012203108.96</v>
      </c>
      <c r="D5" s="65">
        <f>Conto_economico!E21</f>
        <v>4033861842.3600001</v>
      </c>
      <c r="E5" s="65">
        <f>Conto_economico!F21</f>
        <v>4162722280.1299996</v>
      </c>
      <c r="F5" s="65">
        <f>Conto_economico!G21</f>
        <v>4338302100.579999</v>
      </c>
      <c r="G5" s="64">
        <f t="shared" si="0"/>
        <v>175579820.44999933</v>
      </c>
    </row>
    <row r="6" spans="1:7" x14ac:dyDescent="0.3">
      <c r="A6" s="71" t="s">
        <v>338</v>
      </c>
      <c r="B6" s="64">
        <f>Conto_economico!C12</f>
        <v>38921913.32</v>
      </c>
      <c r="C6" s="64">
        <f>Conto_economico!D12</f>
        <v>160709964.84999999</v>
      </c>
      <c r="D6" s="64">
        <f>Conto_economico!E12</f>
        <v>364356295.64999998</v>
      </c>
      <c r="E6" s="64">
        <f>Conto_economico!F12</f>
        <v>408173354.52999997</v>
      </c>
      <c r="F6" s="64">
        <f>Conto_economico!G12</f>
        <v>364823476.42000002</v>
      </c>
      <c r="G6" s="64">
        <f t="shared" si="0"/>
        <v>-43349878.109999955</v>
      </c>
    </row>
    <row r="7" spans="1:7" x14ac:dyDescent="0.3">
      <c r="A7" s="71" t="s">
        <v>339</v>
      </c>
      <c r="B7" s="64">
        <f>Conto_economico!C15</f>
        <v>59438031.409999996</v>
      </c>
      <c r="C7" s="64">
        <f>Conto_economico!D15</f>
        <v>59769632.899999999</v>
      </c>
      <c r="D7" s="64">
        <f>Conto_economico!E15</f>
        <v>59734873.75</v>
      </c>
      <c r="E7" s="64">
        <f>Conto_economico!F15</f>
        <v>67362841.719999999</v>
      </c>
      <c r="F7" s="64">
        <f>Conto_economico!G15</f>
        <v>69830226.760000005</v>
      </c>
      <c r="G7" s="64">
        <f t="shared" si="0"/>
        <v>2467385.0400000066</v>
      </c>
    </row>
    <row r="8" spans="1:7" x14ac:dyDescent="0.3">
      <c r="A8" s="71" t="s">
        <v>340</v>
      </c>
      <c r="B8" s="64">
        <f>Conto_economico!C16</f>
        <v>3650368.77</v>
      </c>
      <c r="C8" s="64">
        <f>Conto_economico!D16</f>
        <v>12516006.390000001</v>
      </c>
      <c r="D8" s="64">
        <f>Conto_economico!E16</f>
        <v>28807337.300000001</v>
      </c>
      <c r="E8" s="64">
        <f>Conto_economico!F16</f>
        <v>17513452.809999999</v>
      </c>
      <c r="F8" s="64">
        <f>Conto_economico!G16</f>
        <v>8534324.1500000004</v>
      </c>
      <c r="G8" s="64">
        <f t="shared" si="0"/>
        <v>-8979128.6599999983</v>
      </c>
    </row>
    <row r="9" spans="1:7" x14ac:dyDescent="0.3">
      <c r="A9" s="47" t="s">
        <v>304</v>
      </c>
      <c r="B9" s="66">
        <f t="shared" ref="B9:D9" si="1">B2-B5</f>
        <v>158374825.09000063</v>
      </c>
      <c r="C9" s="66">
        <f t="shared" si="1"/>
        <v>242146749.30000019</v>
      </c>
      <c r="D9" s="66">
        <f t="shared" si="1"/>
        <v>128395539.82999992</v>
      </c>
      <c r="E9" s="66">
        <f t="shared" ref="E9:F9" si="2">E2-E5</f>
        <v>118975709.79000044</v>
      </c>
      <c r="F9" s="66">
        <f t="shared" si="2"/>
        <v>136129750.63000107</v>
      </c>
      <c r="G9" s="66">
        <f t="shared" si="0"/>
        <v>17154040.840000629</v>
      </c>
    </row>
    <row r="10" spans="1:7" x14ac:dyDescent="0.3">
      <c r="A10" s="71" t="s">
        <v>305</v>
      </c>
      <c r="B10" s="64">
        <f>Conto_economico!C22-Conto_economico!C23</f>
        <v>-22349769.289999999</v>
      </c>
      <c r="C10" s="64">
        <f>Conto_economico!D22-Conto_economico!D23</f>
        <v>-19984007.199999999</v>
      </c>
      <c r="D10" s="64">
        <f>Conto_economico!E22-Conto_economico!E23</f>
        <v>-16268819.77</v>
      </c>
      <c r="E10" s="64">
        <f>Conto_economico!F22-Conto_economico!F23</f>
        <v>-15413156.839999998</v>
      </c>
      <c r="F10" s="64">
        <f>Conto_economico!G22-Conto_economico!G23</f>
        <v>-16963335.41</v>
      </c>
      <c r="G10" s="64">
        <f t="shared" si="0"/>
        <v>-1550178.5700000022</v>
      </c>
    </row>
    <row r="11" spans="1:7" x14ac:dyDescent="0.3">
      <c r="A11" s="71" t="s">
        <v>306</v>
      </c>
      <c r="B11" s="65">
        <f>Conto_economico!C25-Conto_economico!C26</f>
        <v>-127293430.06</v>
      </c>
      <c r="C11" s="65">
        <f>Conto_economico!D25-Conto_economico!D26</f>
        <v>-71147442.379999995</v>
      </c>
      <c r="D11" s="65">
        <f>Conto_economico!E25-Conto_economico!E26</f>
        <v>-31529741.040000021</v>
      </c>
      <c r="E11" s="65">
        <f>Conto_economico!F25-Conto_economico!F26</f>
        <v>-27566627.689999998</v>
      </c>
      <c r="F11" s="65">
        <f>Conto_economico!G25-Conto_economico!G26</f>
        <v>-45405878.270000011</v>
      </c>
      <c r="G11" s="64">
        <f t="shared" si="0"/>
        <v>-17839250.580000013</v>
      </c>
    </row>
    <row r="12" spans="1:7" x14ac:dyDescent="0.3">
      <c r="A12" s="71" t="s">
        <v>253</v>
      </c>
      <c r="B12" s="65">
        <f>Conto_economico!C24</f>
        <v>0</v>
      </c>
      <c r="C12" s="65">
        <f>Conto_economico!D24</f>
        <v>0</v>
      </c>
      <c r="D12" s="65">
        <f>Conto_economico!E24</f>
        <v>0</v>
      </c>
      <c r="E12" s="65">
        <f>Conto_economico!F24</f>
        <v>814561.37</v>
      </c>
      <c r="F12" s="65">
        <f>Conto_economico!G24</f>
        <v>1306153.8500000001</v>
      </c>
      <c r="G12" s="64">
        <f t="shared" si="0"/>
        <v>491592.4800000001</v>
      </c>
    </row>
    <row r="13" spans="1:7" x14ac:dyDescent="0.3">
      <c r="A13" s="47" t="s">
        <v>307</v>
      </c>
      <c r="B13" s="66">
        <f t="shared" ref="B13:D13" si="3">SUM(B9:B12)</f>
        <v>8731625.7400006354</v>
      </c>
      <c r="C13" s="66">
        <f t="shared" si="3"/>
        <v>151015299.72000021</v>
      </c>
      <c r="D13" s="66">
        <f t="shared" si="3"/>
        <v>80596979.019999906</v>
      </c>
      <c r="E13" s="66">
        <f t="shared" ref="E13:F13" si="4">SUM(E9:E12)</f>
        <v>76810486.630000442</v>
      </c>
      <c r="F13" s="66">
        <f t="shared" si="4"/>
        <v>75066690.800001055</v>
      </c>
      <c r="G13" s="66">
        <f t="shared" si="0"/>
        <v>-1743795.8299993873</v>
      </c>
    </row>
    <row r="14" spans="1:7" x14ac:dyDescent="0.3">
      <c r="A14" s="71" t="s">
        <v>256</v>
      </c>
      <c r="B14" s="64">
        <f>Conto_economico!C27</f>
        <v>4025817.95</v>
      </c>
      <c r="C14" s="64">
        <f>Conto_economico!D27</f>
        <v>3775529.59</v>
      </c>
      <c r="D14" s="64">
        <f>Conto_economico!E27</f>
        <v>3761601.38</v>
      </c>
      <c r="E14" s="64">
        <f>Conto_economico!F27</f>
        <v>4263689.09</v>
      </c>
      <c r="F14" s="64">
        <f>Conto_economico!G27</f>
        <v>4467192.75</v>
      </c>
      <c r="G14" s="64">
        <f t="shared" si="0"/>
        <v>203503.66000000015</v>
      </c>
    </row>
    <row r="15" spans="1:7" x14ac:dyDescent="0.3">
      <c r="A15" s="70" t="s">
        <v>257</v>
      </c>
      <c r="B15" s="67">
        <f t="shared" ref="B15:D15" si="5">B13-B14</f>
        <v>4705807.7900006352</v>
      </c>
      <c r="C15" s="67">
        <f t="shared" si="5"/>
        <v>147239770.1300002</v>
      </c>
      <c r="D15" s="67">
        <f t="shared" si="5"/>
        <v>76835377.639999911</v>
      </c>
      <c r="E15" s="67">
        <f t="shared" ref="E15:F15" si="6">E13-E14</f>
        <v>72546797.540000439</v>
      </c>
      <c r="F15" s="67">
        <f t="shared" si="6"/>
        <v>70599498.050001055</v>
      </c>
      <c r="G15" s="67">
        <f t="shared" si="0"/>
        <v>-1947299.4899993837</v>
      </c>
    </row>
  </sheetData>
  <conditionalFormatting sqref="B15:D15 G15">
    <cfRule type="cellIs" dxfId="70" priority="17" operator="greaterThan">
      <formula>0</formula>
    </cfRule>
  </conditionalFormatting>
  <conditionalFormatting sqref="B9:D9 B13:D13 G13 G9">
    <cfRule type="cellIs" dxfId="69" priority="16" operator="lessThan">
      <formula>0</formula>
    </cfRule>
  </conditionalFormatting>
  <conditionalFormatting sqref="F15">
    <cfRule type="cellIs" dxfId="68" priority="4" operator="greaterThan">
      <formula>0</formula>
    </cfRule>
  </conditionalFormatting>
  <conditionalFormatting sqref="F9 F13">
    <cfRule type="cellIs" dxfId="67" priority="3" operator="lessThan">
      <formula>0</formula>
    </cfRule>
  </conditionalFormatting>
  <conditionalFormatting sqref="E15">
    <cfRule type="cellIs" dxfId="66" priority="2" operator="greaterThan">
      <formula>0</formula>
    </cfRule>
  </conditionalFormatting>
  <conditionalFormatting sqref="E9 E13">
    <cfRule type="cellIs" dxfId="65" priority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showGridLines="0" topLeftCell="A10" workbookViewId="0">
      <selection activeCell="G20" sqref="G20"/>
    </sheetView>
  </sheetViews>
  <sheetFormatPr defaultRowHeight="14.4" x14ac:dyDescent="0.3"/>
  <cols>
    <col min="1" max="1" width="51.6640625" style="32" bestFit="1" customWidth="1"/>
    <col min="2" max="7" width="13.88671875" bestFit="1" customWidth="1"/>
    <col min="8" max="9" width="12.6640625" bestFit="1" customWidth="1"/>
  </cols>
  <sheetData>
    <row r="1" spans="1:7" x14ac:dyDescent="0.3">
      <c r="A1" s="73"/>
      <c r="B1" s="96">
        <v>2015</v>
      </c>
      <c r="C1" s="96">
        <v>2016</v>
      </c>
      <c r="D1" s="69">
        <v>2017</v>
      </c>
      <c r="E1" s="69">
        <v>2018</v>
      </c>
      <c r="F1" s="69">
        <v>2019</v>
      </c>
      <c r="G1" s="69">
        <v>2020</v>
      </c>
    </row>
    <row r="2" spans="1:7" x14ac:dyDescent="0.3">
      <c r="A2" s="32" t="s">
        <v>211</v>
      </c>
      <c r="B2" s="1">
        <v>0</v>
      </c>
      <c r="C2" s="1">
        <v>0</v>
      </c>
      <c r="D2" s="1">
        <v>0</v>
      </c>
      <c r="E2" s="1">
        <v>0</v>
      </c>
      <c r="F2" s="1">
        <v>0</v>
      </c>
      <c r="G2" s="1">
        <v>0</v>
      </c>
    </row>
    <row r="3" spans="1:7" x14ac:dyDescent="0.3">
      <c r="A3" s="32" t="s">
        <v>212</v>
      </c>
      <c r="B3" s="1">
        <v>13550.24</v>
      </c>
      <c r="C3" s="1">
        <v>3645994.86</v>
      </c>
      <c r="D3" s="1">
        <v>4410592.33</v>
      </c>
      <c r="E3" s="1">
        <v>9647032.0199999996</v>
      </c>
      <c r="F3" s="1">
        <v>11052122.84</v>
      </c>
      <c r="G3" s="1">
        <v>15675328.439999999</v>
      </c>
    </row>
    <row r="4" spans="1:7" x14ac:dyDescent="0.3">
      <c r="A4" s="32" t="s">
        <v>213</v>
      </c>
      <c r="B4" s="1">
        <v>72941380.680000007</v>
      </c>
      <c r="C4" s="1">
        <v>114928310.70999999</v>
      </c>
      <c r="D4" s="1">
        <v>102197145.18000001</v>
      </c>
      <c r="E4" s="1">
        <v>112083782.13</v>
      </c>
      <c r="F4" s="1">
        <v>107884309.77</v>
      </c>
      <c r="G4" s="1">
        <v>106560127.28</v>
      </c>
    </row>
    <row r="5" spans="1:7" x14ac:dyDescent="0.3">
      <c r="A5" s="32" t="s">
        <v>227</v>
      </c>
      <c r="B5" s="1">
        <v>49625350.880000003</v>
      </c>
      <c r="C5" s="1">
        <v>49625138.640000001</v>
      </c>
      <c r="D5" s="1">
        <v>49898012.240000002</v>
      </c>
      <c r="E5" s="1">
        <v>40466981.82</v>
      </c>
      <c r="F5" s="1">
        <v>69765642.060000002</v>
      </c>
      <c r="G5" s="1">
        <v>71071280.170000002</v>
      </c>
    </row>
    <row r="6" spans="1:7" x14ac:dyDescent="0.3">
      <c r="A6" s="32" t="s">
        <v>228</v>
      </c>
      <c r="B6" s="1">
        <v>123282045.04000001</v>
      </c>
      <c r="C6" s="1">
        <v>138782232.02000001</v>
      </c>
      <c r="D6" s="1">
        <v>150269410.81999999</v>
      </c>
      <c r="E6" s="1">
        <v>161469946.16999999</v>
      </c>
      <c r="F6" s="1">
        <v>101238165.73999999</v>
      </c>
      <c r="G6" s="1">
        <v>98967244.180000007</v>
      </c>
    </row>
    <row r="7" spans="1:7" x14ac:dyDescent="0.3">
      <c r="A7" s="32" t="s">
        <v>229</v>
      </c>
      <c r="B7" s="1">
        <v>0</v>
      </c>
      <c r="C7" s="1">
        <v>0</v>
      </c>
      <c r="D7" s="1">
        <v>0</v>
      </c>
      <c r="E7" s="1">
        <v>0</v>
      </c>
      <c r="F7" s="1">
        <v>0</v>
      </c>
      <c r="G7" s="1">
        <v>0</v>
      </c>
    </row>
    <row r="8" spans="1:7" x14ac:dyDescent="0.3">
      <c r="A8" s="32" t="s">
        <v>230</v>
      </c>
      <c r="B8" s="1">
        <v>0</v>
      </c>
      <c r="C8" s="1">
        <v>734072.89</v>
      </c>
      <c r="D8" s="1">
        <v>0</v>
      </c>
      <c r="E8" s="1">
        <v>0</v>
      </c>
      <c r="F8" s="1">
        <v>0</v>
      </c>
      <c r="G8" s="1">
        <v>0</v>
      </c>
    </row>
    <row r="9" spans="1:7" x14ac:dyDescent="0.3">
      <c r="A9" s="32" t="s">
        <v>214</v>
      </c>
      <c r="B9" s="1">
        <v>1918170761.49</v>
      </c>
      <c r="C9" s="1">
        <v>2023937980.8</v>
      </c>
      <c r="D9" s="1">
        <v>2395625735.8299999</v>
      </c>
      <c r="E9" s="1">
        <v>1994898221.8299999</v>
      </c>
      <c r="F9" s="1">
        <v>1853392291.3499999</v>
      </c>
      <c r="G9" s="1">
        <v>1962480840.1500001</v>
      </c>
    </row>
    <row r="10" spans="1:7" x14ac:dyDescent="0.3">
      <c r="A10" s="100" t="s">
        <v>360</v>
      </c>
      <c r="B10" s="1">
        <v>877573284.17999995</v>
      </c>
      <c r="C10" s="1">
        <v>843211038.5</v>
      </c>
      <c r="D10" s="1">
        <v>1116045209.6500001</v>
      </c>
      <c r="E10" s="1">
        <v>1001418637.54</v>
      </c>
      <c r="F10" s="1">
        <v>786991196.17999995</v>
      </c>
      <c r="G10" s="1">
        <v>716374634.88999999</v>
      </c>
    </row>
    <row r="11" spans="1:7" x14ac:dyDescent="0.3">
      <c r="A11" s="100" t="s">
        <v>364</v>
      </c>
      <c r="B11" s="1">
        <v>691134168.50999999</v>
      </c>
      <c r="C11" s="1">
        <v>615189082.30999994</v>
      </c>
      <c r="D11" s="1">
        <v>597085281.89999998</v>
      </c>
      <c r="E11" s="1">
        <v>492076023.81</v>
      </c>
      <c r="F11" s="1">
        <v>524717660.57999998</v>
      </c>
      <c r="G11" s="1">
        <v>559234486.53999996</v>
      </c>
    </row>
    <row r="12" spans="1:7" x14ac:dyDescent="0.3">
      <c r="A12" s="32" t="s">
        <v>231</v>
      </c>
      <c r="B12" s="1">
        <v>0</v>
      </c>
      <c r="C12" s="1">
        <v>0</v>
      </c>
      <c r="D12" s="1">
        <v>0</v>
      </c>
      <c r="E12" s="1">
        <v>0</v>
      </c>
      <c r="F12" s="1">
        <v>0</v>
      </c>
      <c r="G12" s="1">
        <v>0</v>
      </c>
    </row>
    <row r="13" spans="1:7" x14ac:dyDescent="0.3">
      <c r="A13" s="32" t="s">
        <v>215</v>
      </c>
      <c r="B13" s="1">
        <v>453423163.94999999</v>
      </c>
      <c r="C13" s="1">
        <v>286835408.74000001</v>
      </c>
      <c r="D13" s="1">
        <v>353411421.56</v>
      </c>
      <c r="E13" s="1">
        <v>389028816.55000001</v>
      </c>
      <c r="F13" s="1">
        <v>566170648.03999996</v>
      </c>
      <c r="G13" s="1">
        <v>586807171.61000001</v>
      </c>
    </row>
    <row r="14" spans="1:7" x14ac:dyDescent="0.3">
      <c r="A14" s="32" t="s">
        <v>216</v>
      </c>
      <c r="B14" s="1">
        <v>0</v>
      </c>
      <c r="C14" s="1">
        <v>0</v>
      </c>
      <c r="D14" s="1">
        <v>311781740</v>
      </c>
      <c r="E14" s="1">
        <v>265930148.59999999</v>
      </c>
      <c r="F14" s="1">
        <v>241452520.41999999</v>
      </c>
      <c r="G14" s="1">
        <v>0</v>
      </c>
    </row>
    <row r="15" spans="1:7" x14ac:dyDescent="0.3">
      <c r="A15" s="10" t="s">
        <v>217</v>
      </c>
      <c r="B15" s="11">
        <f t="shared" ref="B15:D15" si="0">SUM(B2:B9)+SUM(B12:B14)</f>
        <v>2617456252.2799997</v>
      </c>
      <c r="C15" s="11">
        <f t="shared" si="0"/>
        <v>2618489138.6599998</v>
      </c>
      <c r="D15" s="11">
        <f t="shared" si="0"/>
        <v>3367594057.96</v>
      </c>
      <c r="E15" s="11">
        <f>SUM(E2:E9)+SUM(E12:E14)</f>
        <v>2973524929.1199999</v>
      </c>
      <c r="F15" s="11">
        <f>SUM(F2:F9)+SUM(F12:F14)</f>
        <v>2950955700.2199998</v>
      </c>
      <c r="G15" s="11">
        <f>SUM(G2:G9)+SUM(G12:G14)</f>
        <v>2841561991.8300004</v>
      </c>
    </row>
    <row r="16" spans="1:7" x14ac:dyDescent="0.3">
      <c r="A16" s="32" t="s">
        <v>218</v>
      </c>
      <c r="B16" s="1">
        <v>-756462737.26999998</v>
      </c>
      <c r="C16" s="1">
        <v>-756462737.26999998</v>
      </c>
      <c r="D16" s="1">
        <v>-462672814.49000001</v>
      </c>
      <c r="E16" s="1">
        <v>-462672814.49000001</v>
      </c>
      <c r="F16" s="1">
        <v>-462672814.49000001</v>
      </c>
      <c r="G16" s="1">
        <v>-462672814.49000001</v>
      </c>
    </row>
    <row r="17" spans="1:9" x14ac:dyDescent="0.3">
      <c r="A17" s="32" t="s">
        <v>219</v>
      </c>
      <c r="B17" s="1">
        <v>0</v>
      </c>
      <c r="C17" s="1">
        <v>0</v>
      </c>
      <c r="D17" s="1">
        <v>4705807.79</v>
      </c>
      <c r="E17" s="1">
        <v>151945577.91999999</v>
      </c>
      <c r="F17" s="1">
        <v>257273331.86000001</v>
      </c>
      <c r="G17" s="1">
        <v>269776098.5</v>
      </c>
    </row>
    <row r="18" spans="1:9" x14ac:dyDescent="0.3">
      <c r="A18" s="32" t="s">
        <v>220</v>
      </c>
      <c r="B18" s="1">
        <v>0</v>
      </c>
      <c r="C18" s="1">
        <v>4705807.79</v>
      </c>
      <c r="D18" s="1">
        <v>147239770.13</v>
      </c>
      <c r="E18" s="1">
        <v>76835377.640000001</v>
      </c>
      <c r="F18" s="1">
        <v>72546797.540000007</v>
      </c>
      <c r="G18" s="1">
        <v>70599498.150000006</v>
      </c>
    </row>
    <row r="19" spans="1:9" x14ac:dyDescent="0.3">
      <c r="A19" s="32" t="s">
        <v>221</v>
      </c>
      <c r="B19" s="1">
        <v>27431841.059999999</v>
      </c>
      <c r="C19" s="1">
        <v>41406553.170000002</v>
      </c>
      <c r="D19" s="1">
        <v>53364774.840000004</v>
      </c>
      <c r="E19" s="1">
        <v>72826301.769999996</v>
      </c>
      <c r="F19" s="1">
        <v>52412046.439999998</v>
      </c>
      <c r="G19" s="1">
        <v>74745078.459999993</v>
      </c>
    </row>
    <row r="20" spans="1:9" x14ac:dyDescent="0.3">
      <c r="A20" s="32" t="s">
        <v>208</v>
      </c>
      <c r="B20" s="1">
        <v>1039930887.58</v>
      </c>
      <c r="C20" s="1">
        <v>1883288002.7</v>
      </c>
      <c r="D20" s="1">
        <v>2002065873.71</v>
      </c>
      <c r="E20" s="1">
        <v>1873885533.1800001</v>
      </c>
      <c r="F20" s="1">
        <v>1547696368.71</v>
      </c>
      <c r="G20" s="1">
        <v>788167953.59000003</v>
      </c>
    </row>
    <row r="21" spans="1:9" x14ac:dyDescent="0.3">
      <c r="A21" s="32" t="s">
        <v>222</v>
      </c>
      <c r="B21" s="1">
        <v>27820464.190000001</v>
      </c>
      <c r="C21" s="1">
        <v>67692282.049999997</v>
      </c>
      <c r="D21" s="1">
        <v>51026774.210000001</v>
      </c>
      <c r="E21" s="1">
        <v>52941058.829999998</v>
      </c>
      <c r="F21" s="1">
        <v>80621809.909999996</v>
      </c>
      <c r="G21" s="1">
        <v>75006120.159999996</v>
      </c>
    </row>
    <row r="22" spans="1:9" x14ac:dyDescent="0.3">
      <c r="A22" s="32" t="s">
        <v>223</v>
      </c>
      <c r="B22" s="1">
        <v>970464511.55999994</v>
      </c>
      <c r="C22" s="1">
        <v>834900823.13</v>
      </c>
      <c r="D22" s="1">
        <v>986427525.90999997</v>
      </c>
      <c r="E22" s="1">
        <v>773188401.91999996</v>
      </c>
      <c r="F22" s="1">
        <v>813135598.26999998</v>
      </c>
      <c r="G22" s="1">
        <v>824690723.04999995</v>
      </c>
    </row>
    <row r="23" spans="1:9" x14ac:dyDescent="0.3">
      <c r="A23" s="100" t="s">
        <v>358</v>
      </c>
      <c r="B23" s="1">
        <v>0</v>
      </c>
      <c r="C23" s="1">
        <v>0</v>
      </c>
      <c r="D23" s="1">
        <v>0</v>
      </c>
      <c r="E23" s="1">
        <v>0</v>
      </c>
      <c r="F23" s="1">
        <v>0</v>
      </c>
      <c r="G23" s="1">
        <v>0</v>
      </c>
    </row>
    <row r="24" spans="1:9" x14ac:dyDescent="0.3">
      <c r="A24" s="100" t="s">
        <v>359</v>
      </c>
      <c r="B24" s="1">
        <v>904899701.72000003</v>
      </c>
      <c r="C24" s="1">
        <v>728079250.86000001</v>
      </c>
      <c r="D24" s="1">
        <v>887750352.86000001</v>
      </c>
      <c r="E24" s="1">
        <v>696487355.94000006</v>
      </c>
      <c r="F24" s="1">
        <v>685651936.75999999</v>
      </c>
      <c r="G24" s="1">
        <v>627540050.89999998</v>
      </c>
    </row>
    <row r="25" spans="1:9" x14ac:dyDescent="0.3">
      <c r="A25" s="32" t="s">
        <v>224</v>
      </c>
      <c r="B25" s="1">
        <v>1102889739.74</v>
      </c>
      <c r="C25" s="1">
        <v>323344081.18000001</v>
      </c>
      <c r="D25" s="1">
        <v>409476862.81999999</v>
      </c>
      <c r="E25" s="1">
        <v>280650656.19</v>
      </c>
      <c r="F25" s="1">
        <v>373027616.29000002</v>
      </c>
      <c r="G25" s="1">
        <v>936301341.13999999</v>
      </c>
      <c r="H25" s="1"/>
      <c r="I25" s="1"/>
    </row>
    <row r="26" spans="1:9" x14ac:dyDescent="0.3">
      <c r="A26" s="32" t="s">
        <v>225</v>
      </c>
      <c r="B26" s="1">
        <v>205381545.41999999</v>
      </c>
      <c r="C26" s="1">
        <v>219614325.91</v>
      </c>
      <c r="D26" s="1">
        <v>175959483.03999999</v>
      </c>
      <c r="E26" s="1">
        <v>153924836.16</v>
      </c>
      <c r="F26" s="1">
        <v>216914945</v>
      </c>
      <c r="G26" s="1">
        <v>264947993.27000001</v>
      </c>
    </row>
    <row r="27" spans="1:9" x14ac:dyDescent="0.3">
      <c r="A27" s="72" t="s">
        <v>226</v>
      </c>
      <c r="B27" s="3">
        <f t="shared" ref="B27:D27" si="1">SUM(B16:B26)-B23-B24</f>
        <v>2617456252.2799997</v>
      </c>
      <c r="C27" s="3">
        <f t="shared" si="1"/>
        <v>2618489138.6599994</v>
      </c>
      <c r="D27" s="3">
        <f t="shared" si="1"/>
        <v>3367594057.96</v>
      </c>
      <c r="E27" s="3">
        <f>SUM(E16:E26)-E23-E24</f>
        <v>2973524929.1199999</v>
      </c>
      <c r="F27" s="3">
        <f>SUM(F16:F26)-F23-F24</f>
        <v>2950955699.5299997</v>
      </c>
      <c r="G27" s="3">
        <f>SUM(G16:G26)-G23-G24</f>
        <v>2841561991.8299999</v>
      </c>
    </row>
    <row r="28" spans="1:9" x14ac:dyDescent="0.3">
      <c r="A28" s="10" t="s">
        <v>265</v>
      </c>
      <c r="B28" s="11">
        <f>B16+B17+B18</f>
        <v>-756462737.26999998</v>
      </c>
      <c r="C28" s="11">
        <f>C16+C17+C18</f>
        <v>-751756929.48000002</v>
      </c>
      <c r="D28" s="11">
        <f>D16+D17+D18</f>
        <v>-310727236.56999999</v>
      </c>
      <c r="E28" s="11">
        <f>E16+E17+E18</f>
        <v>-233891858.93000007</v>
      </c>
      <c r="F28" s="11">
        <f>F16+F17+F18</f>
        <v>-132852685.08999999</v>
      </c>
      <c r="G28" s="11">
        <f>G16+G17+G18</f>
        <v>-122297217.84</v>
      </c>
    </row>
    <row r="29" spans="1:9" x14ac:dyDescent="0.3">
      <c r="E29" s="6">
        <f>E28/E27*100</f>
        <v>-7.8658112679492218</v>
      </c>
      <c r="F29" s="6">
        <f>F28/F27*100</f>
        <v>-4.5020223485957276</v>
      </c>
      <c r="G29" s="6">
        <f>G28/G27*100</f>
        <v>-4.3038729470490678</v>
      </c>
    </row>
  </sheetData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1"/>
  <sheetViews>
    <sheetView topLeftCell="A211" workbookViewId="0">
      <selection activeCell="F225" sqref="F225"/>
    </sheetView>
  </sheetViews>
  <sheetFormatPr defaultRowHeight="14.4" x14ac:dyDescent="0.3"/>
  <cols>
    <col min="2" max="2" width="83.33203125" bestFit="1" customWidth="1"/>
    <col min="3" max="3" width="11.88671875" customWidth="1"/>
  </cols>
  <sheetData>
    <row r="1" spans="1:8" x14ac:dyDescent="0.3">
      <c r="A1" s="116" t="s">
        <v>209</v>
      </c>
      <c r="B1" s="116"/>
      <c r="C1" s="2" t="s">
        <v>210</v>
      </c>
      <c r="D1" s="97">
        <v>2016</v>
      </c>
      <c r="E1" s="97">
        <v>2017</v>
      </c>
      <c r="F1" s="97">
        <v>2018</v>
      </c>
      <c r="G1" s="97">
        <v>2019</v>
      </c>
      <c r="H1" s="97">
        <v>2020</v>
      </c>
    </row>
    <row r="2" spans="1:8" x14ac:dyDescent="0.3">
      <c r="A2" t="s">
        <v>76</v>
      </c>
    </row>
    <row r="3" spans="1:8" x14ac:dyDescent="0.3">
      <c r="A3" s="8" t="s">
        <v>77</v>
      </c>
      <c r="B3" s="8" t="s">
        <v>78</v>
      </c>
      <c r="C3" s="9">
        <v>48</v>
      </c>
      <c r="D3" s="7">
        <v>10.24</v>
      </c>
      <c r="E3" s="7">
        <v>7.48</v>
      </c>
      <c r="F3" s="7">
        <v>6.2</v>
      </c>
      <c r="G3" s="7">
        <v>6.74</v>
      </c>
      <c r="H3" s="7">
        <v>7.13</v>
      </c>
    </row>
    <row r="4" spans="1:8" x14ac:dyDescent="0.3">
      <c r="A4" t="s">
        <v>79</v>
      </c>
      <c r="D4" s="7"/>
      <c r="E4" s="7"/>
      <c r="F4" s="7"/>
      <c r="G4" s="7"/>
      <c r="H4" s="7"/>
    </row>
    <row r="5" spans="1:8" x14ac:dyDescent="0.3">
      <c r="A5" t="s">
        <v>80</v>
      </c>
      <c r="B5" t="s">
        <v>81</v>
      </c>
      <c r="D5" s="7">
        <v>96.99</v>
      </c>
      <c r="E5" s="7">
        <v>98.49</v>
      </c>
      <c r="F5" s="7">
        <v>94.94</v>
      </c>
      <c r="G5" s="7">
        <v>95.81</v>
      </c>
      <c r="H5" s="7">
        <v>98.08</v>
      </c>
    </row>
    <row r="6" spans="1:8" x14ac:dyDescent="0.3">
      <c r="A6" t="s">
        <v>82</v>
      </c>
      <c r="B6" t="s">
        <v>83</v>
      </c>
      <c r="D6" s="7">
        <v>93.4</v>
      </c>
      <c r="E6" s="7">
        <v>92.4</v>
      </c>
      <c r="F6" s="7">
        <v>90.644999999999996</v>
      </c>
      <c r="G6" s="7">
        <v>91.69</v>
      </c>
      <c r="H6" s="7">
        <v>90.92</v>
      </c>
    </row>
    <row r="7" spans="1:8" x14ac:dyDescent="0.3">
      <c r="A7" t="s">
        <v>84</v>
      </c>
      <c r="B7" t="s">
        <v>85</v>
      </c>
      <c r="D7" s="7">
        <v>82.21</v>
      </c>
      <c r="E7" s="7">
        <v>82.47</v>
      </c>
      <c r="F7" s="7">
        <v>78.739999999999995</v>
      </c>
      <c r="G7" s="7">
        <v>81.69</v>
      </c>
      <c r="H7" s="7">
        <v>81.84</v>
      </c>
    </row>
    <row r="8" spans="1:8" x14ac:dyDescent="0.3">
      <c r="A8" t="s">
        <v>86</v>
      </c>
      <c r="B8" t="s">
        <v>87</v>
      </c>
      <c r="D8" s="7">
        <v>79.17</v>
      </c>
      <c r="E8" s="7">
        <v>77.37</v>
      </c>
      <c r="F8" s="7">
        <v>75.25</v>
      </c>
      <c r="G8" s="7">
        <v>78.180000000000007</v>
      </c>
      <c r="H8" s="7">
        <v>75.86</v>
      </c>
    </row>
    <row r="9" spans="1:8" x14ac:dyDescent="0.3">
      <c r="A9" t="s">
        <v>88</v>
      </c>
      <c r="B9" t="s">
        <v>89</v>
      </c>
      <c r="D9" s="7">
        <v>56.31</v>
      </c>
      <c r="E9" s="7">
        <v>62.75</v>
      </c>
      <c r="F9" s="7">
        <v>66.8</v>
      </c>
      <c r="G9" s="7">
        <v>71.12</v>
      </c>
      <c r="H9" s="7">
        <v>70.040000000000006</v>
      </c>
    </row>
    <row r="10" spans="1:8" x14ac:dyDescent="0.3">
      <c r="A10" t="s">
        <v>90</v>
      </c>
      <c r="B10" t="s">
        <v>91</v>
      </c>
      <c r="D10" s="7">
        <v>71.599999999999994</v>
      </c>
      <c r="E10" s="7">
        <v>65.56</v>
      </c>
      <c r="F10" s="7">
        <v>69.3</v>
      </c>
      <c r="G10" s="7">
        <v>73.75</v>
      </c>
      <c r="H10" s="7">
        <v>74.150000000000006</v>
      </c>
    </row>
    <row r="11" spans="1:8" x14ac:dyDescent="0.3">
      <c r="A11" t="s">
        <v>92</v>
      </c>
      <c r="B11" t="s">
        <v>93</v>
      </c>
      <c r="D11" s="7">
        <v>46.75</v>
      </c>
      <c r="E11" s="7">
        <v>51.82</v>
      </c>
      <c r="F11" s="7">
        <v>55.1</v>
      </c>
      <c r="G11" s="7">
        <v>61</v>
      </c>
      <c r="H11" s="7">
        <v>58.53</v>
      </c>
    </row>
    <row r="12" spans="1:8" x14ac:dyDescent="0.3">
      <c r="A12" s="8" t="s">
        <v>94</v>
      </c>
      <c r="B12" s="8" t="s">
        <v>95</v>
      </c>
      <c r="C12" s="9">
        <v>22</v>
      </c>
      <c r="D12" s="7">
        <v>59.44</v>
      </c>
      <c r="E12" s="7">
        <v>54.14</v>
      </c>
      <c r="F12" s="7">
        <v>57.16</v>
      </c>
      <c r="G12" s="7">
        <v>63.25</v>
      </c>
      <c r="H12" s="7">
        <v>61.96</v>
      </c>
    </row>
    <row r="13" spans="1:8" x14ac:dyDescent="0.3">
      <c r="A13" t="s">
        <v>96</v>
      </c>
      <c r="D13" s="7"/>
      <c r="E13" s="7"/>
      <c r="F13" s="7"/>
      <c r="G13" s="7"/>
      <c r="H13" s="7"/>
    </row>
    <row r="14" spans="1:8" x14ac:dyDescent="0.3">
      <c r="A14" t="s">
        <v>97</v>
      </c>
      <c r="B14" t="s">
        <v>98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</row>
    <row r="15" spans="1:8" x14ac:dyDescent="0.3">
      <c r="A15" s="8" t="s">
        <v>99</v>
      </c>
      <c r="B15" s="8" t="s">
        <v>100</v>
      </c>
      <c r="C15" s="9">
        <v>0</v>
      </c>
      <c r="D15" s="7">
        <v>0</v>
      </c>
      <c r="E15" s="7">
        <v>0</v>
      </c>
      <c r="F15" s="7">
        <v>0</v>
      </c>
      <c r="G15" s="7">
        <v>0</v>
      </c>
      <c r="H15" s="7">
        <v>0</v>
      </c>
    </row>
    <row r="16" spans="1:8" x14ac:dyDescent="0.3">
      <c r="A16" t="s">
        <v>101</v>
      </c>
      <c r="D16" s="7"/>
      <c r="E16" s="7"/>
      <c r="F16" s="7"/>
      <c r="G16" s="7"/>
      <c r="H16" s="7"/>
    </row>
    <row r="17" spans="1:8" x14ac:dyDescent="0.3">
      <c r="A17" t="s">
        <v>102</v>
      </c>
      <c r="B17" t="s">
        <v>103</v>
      </c>
      <c r="D17" s="7">
        <v>1.64</v>
      </c>
      <c r="E17" s="7">
        <v>1.67</v>
      </c>
      <c r="F17" s="7">
        <v>1.65</v>
      </c>
      <c r="G17" s="7">
        <v>1.83</v>
      </c>
      <c r="H17" s="7">
        <v>1.82</v>
      </c>
    </row>
    <row r="18" spans="1:8" x14ac:dyDescent="0.3">
      <c r="A18" t="s">
        <v>104</v>
      </c>
      <c r="B18" t="s">
        <v>105</v>
      </c>
      <c r="D18" s="7">
        <v>0</v>
      </c>
      <c r="E18" s="7">
        <v>19.5</v>
      </c>
      <c r="F18" s="7">
        <v>19.14</v>
      </c>
      <c r="G18" s="7">
        <v>19.54</v>
      </c>
      <c r="H18" s="7">
        <v>19.850000000000001</v>
      </c>
    </row>
    <row r="19" spans="1:8" x14ac:dyDescent="0.3">
      <c r="A19" t="s">
        <v>106</v>
      </c>
      <c r="B19" t="s">
        <v>107</v>
      </c>
      <c r="D19" s="7">
        <v>11.98</v>
      </c>
      <c r="E19" s="7">
        <v>15.59</v>
      </c>
      <c r="F19" s="7">
        <v>15.68</v>
      </c>
      <c r="G19" s="7">
        <v>15.36</v>
      </c>
      <c r="H19" s="7">
        <v>14.61</v>
      </c>
    </row>
    <row r="20" spans="1:8" x14ac:dyDescent="0.3">
      <c r="A20" t="s">
        <v>108</v>
      </c>
      <c r="B20" t="s">
        <v>109</v>
      </c>
      <c r="D20" s="7">
        <v>40.130000000000003</v>
      </c>
      <c r="E20" s="7">
        <v>40.61</v>
      </c>
      <c r="F20" s="7">
        <v>40.85</v>
      </c>
      <c r="G20" s="7">
        <v>46.38</v>
      </c>
      <c r="H20" s="7">
        <v>48.77</v>
      </c>
    </row>
    <row r="21" spans="1:8" x14ac:dyDescent="0.3">
      <c r="A21" t="s">
        <v>110</v>
      </c>
      <c r="D21" s="7"/>
      <c r="E21" s="7"/>
      <c r="F21" s="7"/>
      <c r="G21" s="7"/>
      <c r="H21" s="7"/>
    </row>
    <row r="22" spans="1:8" x14ac:dyDescent="0.3">
      <c r="A22" t="s">
        <v>111</v>
      </c>
      <c r="B22" t="s">
        <v>112</v>
      </c>
      <c r="D22" s="7">
        <v>0.28999999999999998</v>
      </c>
      <c r="E22" s="7">
        <v>3.28</v>
      </c>
      <c r="F22" s="7">
        <v>3.12</v>
      </c>
      <c r="G22" s="7">
        <v>3.73</v>
      </c>
      <c r="H22" s="7">
        <v>2.77</v>
      </c>
    </row>
    <row r="23" spans="1:8" x14ac:dyDescent="0.3">
      <c r="A23" t="s">
        <v>113</v>
      </c>
      <c r="D23" s="7"/>
      <c r="E23" s="7"/>
      <c r="F23" s="7"/>
      <c r="G23" s="7"/>
      <c r="H23" s="7"/>
    </row>
    <row r="24" spans="1:8" x14ac:dyDescent="0.3">
      <c r="A24" t="s">
        <v>114</v>
      </c>
      <c r="B24" t="s">
        <v>115</v>
      </c>
      <c r="D24" s="7">
        <v>0.77</v>
      </c>
      <c r="E24" s="7">
        <v>0.65</v>
      </c>
      <c r="F24" s="7">
        <v>0.61</v>
      </c>
      <c r="G24" s="7">
        <v>0.56999999999999995</v>
      </c>
      <c r="H24" s="7">
        <v>0.51</v>
      </c>
    </row>
    <row r="25" spans="1:8" x14ac:dyDescent="0.3">
      <c r="A25" t="s">
        <v>116</v>
      </c>
      <c r="B25" t="s">
        <v>117</v>
      </c>
      <c r="D25" s="7">
        <v>0</v>
      </c>
      <c r="E25" s="7">
        <v>0</v>
      </c>
      <c r="F25" s="7">
        <v>0</v>
      </c>
      <c r="G25" s="7">
        <v>0</v>
      </c>
      <c r="H25" s="7">
        <v>0</v>
      </c>
    </row>
    <row r="26" spans="1:8" x14ac:dyDescent="0.3">
      <c r="A26" t="s">
        <v>118</v>
      </c>
      <c r="B26" t="s">
        <v>119</v>
      </c>
      <c r="D26" s="7">
        <v>0</v>
      </c>
      <c r="E26" s="7">
        <v>0</v>
      </c>
      <c r="F26" s="7">
        <v>0</v>
      </c>
      <c r="G26" s="7">
        <v>0.21</v>
      </c>
      <c r="H26" s="7">
        <v>0</v>
      </c>
    </row>
    <row r="27" spans="1:8" x14ac:dyDescent="0.3">
      <c r="A27" t="s">
        <v>120</v>
      </c>
      <c r="D27" s="7"/>
      <c r="E27" s="7"/>
      <c r="F27" s="7"/>
      <c r="G27" s="7"/>
      <c r="H27" s="7"/>
    </row>
    <row r="28" spans="1:8" x14ac:dyDescent="0.3">
      <c r="A28" t="s">
        <v>121</v>
      </c>
      <c r="B28" t="s">
        <v>122</v>
      </c>
      <c r="D28" s="7">
        <v>6.7</v>
      </c>
      <c r="E28" s="7">
        <v>5.18</v>
      </c>
      <c r="F28" s="7">
        <v>3.43</v>
      </c>
      <c r="G28" s="7">
        <v>5.25</v>
      </c>
      <c r="H28" s="7">
        <v>5.41</v>
      </c>
    </row>
    <row r="29" spans="1:8" x14ac:dyDescent="0.3">
      <c r="A29" t="s">
        <v>123</v>
      </c>
      <c r="B29" t="s">
        <v>124</v>
      </c>
      <c r="D29" s="7">
        <v>32.479999999999997</v>
      </c>
      <c r="E29" s="7">
        <v>12.04</v>
      </c>
      <c r="F29" s="7">
        <v>3.68</v>
      </c>
      <c r="G29" s="7">
        <v>5.23</v>
      </c>
      <c r="H29" s="7">
        <v>6.98</v>
      </c>
    </row>
    <row r="30" spans="1:8" x14ac:dyDescent="0.3">
      <c r="A30" t="s">
        <v>125</v>
      </c>
      <c r="B30" t="s">
        <v>126</v>
      </c>
      <c r="D30" s="7">
        <v>147.07</v>
      </c>
      <c r="E30" s="7">
        <v>123.75</v>
      </c>
      <c r="F30" s="7">
        <v>85.35</v>
      </c>
      <c r="G30" s="7">
        <v>137.69999999999999</v>
      </c>
      <c r="H30" s="7">
        <v>149.04</v>
      </c>
    </row>
    <row r="31" spans="1:8" x14ac:dyDescent="0.3">
      <c r="A31" t="s">
        <v>127</v>
      </c>
      <c r="B31" t="s">
        <v>128</v>
      </c>
      <c r="D31" s="7">
        <v>179.55</v>
      </c>
      <c r="E31" s="7">
        <v>135.79</v>
      </c>
      <c r="F31" s="7">
        <v>89.04</v>
      </c>
      <c r="G31" s="7">
        <v>142.94</v>
      </c>
      <c r="H31" s="7">
        <v>156.02000000000001</v>
      </c>
    </row>
    <row r="32" spans="1:8" x14ac:dyDescent="0.3">
      <c r="A32" t="s">
        <v>129</v>
      </c>
      <c r="B32" t="s">
        <v>130</v>
      </c>
      <c r="D32" s="7">
        <v>0</v>
      </c>
      <c r="E32" s="7">
        <v>110.98</v>
      </c>
      <c r="F32" s="7">
        <v>91.17</v>
      </c>
      <c r="G32" s="7">
        <v>15.91</v>
      </c>
      <c r="H32" s="7">
        <v>14.11</v>
      </c>
    </row>
    <row r="33" spans="1:8" x14ac:dyDescent="0.3">
      <c r="A33" t="s">
        <v>131</v>
      </c>
      <c r="B33" t="s">
        <v>132</v>
      </c>
      <c r="D33" s="7">
        <v>-1.42</v>
      </c>
      <c r="E33" s="7">
        <v>0.13</v>
      </c>
      <c r="F33" s="7">
        <v>0.12</v>
      </c>
      <c r="G33" s="7">
        <v>13.65</v>
      </c>
      <c r="H33" s="7">
        <v>0.12</v>
      </c>
    </row>
    <row r="34" spans="1:8" x14ac:dyDescent="0.3">
      <c r="A34" t="s">
        <v>133</v>
      </c>
      <c r="B34" t="s">
        <v>134</v>
      </c>
      <c r="D34" s="7">
        <v>5.32</v>
      </c>
      <c r="E34" s="7">
        <v>5.04</v>
      </c>
      <c r="F34" s="7">
        <v>9.86</v>
      </c>
      <c r="G34" s="7">
        <v>1.1200000000000001</v>
      </c>
      <c r="H34" s="7">
        <v>1.42</v>
      </c>
    </row>
    <row r="35" spans="1:8" x14ac:dyDescent="0.3">
      <c r="A35" t="s">
        <v>135</v>
      </c>
      <c r="D35" s="7"/>
      <c r="E35" s="7"/>
      <c r="F35" s="7"/>
      <c r="G35" s="7"/>
      <c r="H35" s="7"/>
    </row>
    <row r="36" spans="1:8" x14ac:dyDescent="0.3">
      <c r="A36" t="s">
        <v>136</v>
      </c>
      <c r="B36" t="s">
        <v>137</v>
      </c>
      <c r="D36" s="7">
        <v>58.35</v>
      </c>
      <c r="E36" s="7">
        <v>64.849999999999994</v>
      </c>
      <c r="F36" s="7">
        <v>63.76</v>
      </c>
      <c r="G36" s="7">
        <v>76.989999999999995</v>
      </c>
      <c r="H36" s="7">
        <v>79.150000000000006</v>
      </c>
    </row>
    <row r="37" spans="1:8" x14ac:dyDescent="0.3">
      <c r="A37" t="s">
        <v>138</v>
      </c>
      <c r="B37" t="s">
        <v>139</v>
      </c>
      <c r="D37" s="7">
        <v>54.14</v>
      </c>
      <c r="E37" s="7">
        <v>43.22</v>
      </c>
      <c r="F37" s="7">
        <v>32.57</v>
      </c>
      <c r="G37" s="7">
        <v>51.37</v>
      </c>
      <c r="H37" s="7">
        <v>54.46</v>
      </c>
    </row>
    <row r="38" spans="1:8" x14ac:dyDescent="0.3">
      <c r="A38" t="s">
        <v>140</v>
      </c>
      <c r="B38" t="s">
        <v>141</v>
      </c>
      <c r="D38" s="7">
        <v>0</v>
      </c>
      <c r="E38" s="7">
        <v>0</v>
      </c>
      <c r="F38" s="7">
        <v>0</v>
      </c>
      <c r="G38" s="7">
        <v>100</v>
      </c>
      <c r="H38" s="7">
        <v>100</v>
      </c>
    </row>
    <row r="39" spans="1:8" x14ac:dyDescent="0.3">
      <c r="A39" t="s">
        <v>142</v>
      </c>
      <c r="B39" t="s">
        <v>143</v>
      </c>
      <c r="D39" s="7">
        <v>43.92</v>
      </c>
      <c r="E39" s="7">
        <v>50.98</v>
      </c>
      <c r="F39" s="7">
        <v>46.4</v>
      </c>
      <c r="G39" s="7">
        <v>47.69</v>
      </c>
      <c r="H39" s="7">
        <v>51.48</v>
      </c>
    </row>
    <row r="40" spans="1:8" x14ac:dyDescent="0.3">
      <c r="A40" t="s">
        <v>144</v>
      </c>
      <c r="B40" t="s">
        <v>145</v>
      </c>
      <c r="D40" s="7">
        <v>43.7</v>
      </c>
      <c r="E40" s="7">
        <v>20.84</v>
      </c>
      <c r="F40" s="7">
        <v>14.81</v>
      </c>
      <c r="G40" s="7">
        <v>30.47</v>
      </c>
      <c r="H40" s="7">
        <v>35.19</v>
      </c>
    </row>
    <row r="41" spans="1:8" x14ac:dyDescent="0.3">
      <c r="A41" t="s">
        <v>146</v>
      </c>
      <c r="B41" t="s">
        <v>147</v>
      </c>
      <c r="D41" s="7">
        <v>100</v>
      </c>
      <c r="E41" s="7">
        <v>100</v>
      </c>
      <c r="F41" s="7">
        <v>100</v>
      </c>
      <c r="G41" s="7">
        <v>90.65</v>
      </c>
      <c r="H41" s="7">
        <v>55.78</v>
      </c>
    </row>
    <row r="42" spans="1:8" x14ac:dyDescent="0.3">
      <c r="A42" t="s">
        <v>148</v>
      </c>
      <c r="D42" s="7"/>
      <c r="E42" s="7"/>
      <c r="F42" s="7"/>
      <c r="G42" s="7"/>
      <c r="H42" s="7"/>
    </row>
    <row r="43" spans="1:8" x14ac:dyDescent="0.3">
      <c r="A43" t="s">
        <v>149</v>
      </c>
      <c r="B43" t="s">
        <v>150</v>
      </c>
      <c r="D43" s="7">
        <v>38.49</v>
      </c>
      <c r="E43" s="7">
        <v>64.25</v>
      </c>
      <c r="F43" s="7">
        <v>87.16</v>
      </c>
      <c r="G43" s="7">
        <v>83.25</v>
      </c>
      <c r="H43" s="7">
        <v>84.94</v>
      </c>
    </row>
    <row r="44" spans="1:8" x14ac:dyDescent="0.3">
      <c r="A44" t="s">
        <v>151</v>
      </c>
      <c r="B44" t="s">
        <v>152</v>
      </c>
      <c r="D44" s="7">
        <v>65.39</v>
      </c>
      <c r="E44" s="7">
        <v>75.84</v>
      </c>
      <c r="F44" s="7">
        <v>63.03</v>
      </c>
      <c r="G44" s="7">
        <v>53.54</v>
      </c>
      <c r="H44" s="7">
        <v>59.9</v>
      </c>
    </row>
    <row r="45" spans="1:8" x14ac:dyDescent="0.3">
      <c r="A45" t="s">
        <v>153</v>
      </c>
      <c r="B45" t="s">
        <v>154</v>
      </c>
      <c r="D45" s="7">
        <v>92.39</v>
      </c>
      <c r="E45" s="7">
        <v>89.14</v>
      </c>
      <c r="F45" s="7">
        <v>91.58</v>
      </c>
      <c r="G45" s="7">
        <v>89.51</v>
      </c>
      <c r="H45" s="7">
        <v>90.72</v>
      </c>
    </row>
    <row r="46" spans="1:8" x14ac:dyDescent="0.3">
      <c r="A46" t="s">
        <v>155</v>
      </c>
      <c r="B46" t="s">
        <v>156</v>
      </c>
      <c r="D46" s="7">
        <v>57.24</v>
      </c>
      <c r="E46" s="7">
        <v>37.26</v>
      </c>
      <c r="F46" s="7">
        <v>60.26</v>
      </c>
      <c r="G46" s="7">
        <v>62.37</v>
      </c>
      <c r="H46" s="7">
        <v>64.510000000000005</v>
      </c>
    </row>
    <row r="47" spans="1:8" x14ac:dyDescent="0.3">
      <c r="A47" t="s">
        <v>157</v>
      </c>
      <c r="B47" t="s">
        <v>158</v>
      </c>
      <c r="D47" s="7">
        <v>13</v>
      </c>
      <c r="E47" s="7">
        <v>-6.51</v>
      </c>
      <c r="F47" s="7">
        <v>-13.48</v>
      </c>
      <c r="G47" s="7">
        <v>-22.49</v>
      </c>
      <c r="H47" s="7">
        <v>-13.07</v>
      </c>
    </row>
    <row r="48" spans="1:8" x14ac:dyDescent="0.3">
      <c r="A48" t="s">
        <v>159</v>
      </c>
      <c r="D48" s="7"/>
      <c r="E48" s="7"/>
      <c r="F48" s="7"/>
      <c r="G48" s="7"/>
      <c r="H48" s="7"/>
    </row>
    <row r="49" spans="1:8" x14ac:dyDescent="0.3">
      <c r="A49" t="s">
        <v>160</v>
      </c>
      <c r="B49" t="s">
        <v>161</v>
      </c>
      <c r="D49" s="7">
        <v>14.44</v>
      </c>
      <c r="E49" s="7">
        <v>0</v>
      </c>
      <c r="F49" s="7">
        <v>0</v>
      </c>
      <c r="G49" s="7">
        <v>0</v>
      </c>
      <c r="H49" s="7">
        <v>12.92</v>
      </c>
    </row>
    <row r="50" spans="1:8" x14ac:dyDescent="0.3">
      <c r="A50" t="s">
        <v>162</v>
      </c>
      <c r="B50" t="s">
        <v>163</v>
      </c>
      <c r="D50" s="7">
        <v>7.77</v>
      </c>
      <c r="E50" s="7">
        <v>0</v>
      </c>
      <c r="F50" s="7">
        <v>0</v>
      </c>
      <c r="G50" s="7">
        <v>6.13</v>
      </c>
      <c r="H50" s="7">
        <v>1.26</v>
      </c>
    </row>
    <row r="51" spans="1:8" x14ac:dyDescent="0.3">
      <c r="A51" s="8" t="s">
        <v>164</v>
      </c>
      <c r="B51" s="8" t="s">
        <v>165</v>
      </c>
      <c r="C51" s="9">
        <v>16</v>
      </c>
      <c r="D51" s="7">
        <v>1.57</v>
      </c>
      <c r="E51" s="7">
        <v>1.56</v>
      </c>
      <c r="F51" s="7">
        <v>1.56</v>
      </c>
      <c r="G51" s="7">
        <v>3.07</v>
      </c>
      <c r="H51" s="7">
        <v>0.94</v>
      </c>
    </row>
    <row r="52" spans="1:8" x14ac:dyDescent="0.3">
      <c r="A52" t="s">
        <v>166</v>
      </c>
      <c r="B52" t="s">
        <v>167</v>
      </c>
      <c r="D52" s="7">
        <v>1198.7425011759628</v>
      </c>
      <c r="E52" s="7">
        <v>1279.0244173890489</v>
      </c>
      <c r="F52" s="7">
        <v>1300.6400000000001</v>
      </c>
      <c r="G52" s="7">
        <v>1009.5998439053348</v>
      </c>
      <c r="H52" s="7">
        <v>516.89042132676127</v>
      </c>
    </row>
    <row r="53" spans="1:8" x14ac:dyDescent="0.3">
      <c r="A53" t="s">
        <v>168</v>
      </c>
      <c r="D53" s="7">
        <v>0</v>
      </c>
      <c r="E53" s="7">
        <v>0</v>
      </c>
      <c r="F53" s="7">
        <v>0</v>
      </c>
      <c r="G53" s="7">
        <v>0</v>
      </c>
      <c r="H53" s="7">
        <v>0</v>
      </c>
    </row>
    <row r="54" spans="1:8" x14ac:dyDescent="0.3">
      <c r="A54" t="s">
        <v>169</v>
      </c>
      <c r="B54" t="s">
        <v>170</v>
      </c>
      <c r="D54" s="7">
        <v>0</v>
      </c>
      <c r="E54" s="7">
        <v>0</v>
      </c>
      <c r="F54" s="7">
        <v>0</v>
      </c>
      <c r="G54" s="7">
        <v>-79.376951178302903</v>
      </c>
      <c r="H54" s="7">
        <v>-50.740637328048379</v>
      </c>
    </row>
    <row r="55" spans="1:8" x14ac:dyDescent="0.3">
      <c r="A55" t="s">
        <v>171</v>
      </c>
      <c r="B55" t="s">
        <v>172</v>
      </c>
      <c r="D55" s="7">
        <v>0</v>
      </c>
      <c r="E55" s="7">
        <v>0</v>
      </c>
      <c r="F55" s="7">
        <v>0</v>
      </c>
      <c r="G55" s="7">
        <v>0</v>
      </c>
      <c r="H55" s="7">
        <v>0</v>
      </c>
    </row>
    <row r="56" spans="1:8" x14ac:dyDescent="0.3">
      <c r="A56" t="s">
        <v>173</v>
      </c>
      <c r="B56" t="s">
        <v>174</v>
      </c>
      <c r="D56" s="7">
        <v>0</v>
      </c>
      <c r="E56" s="7">
        <v>0</v>
      </c>
      <c r="F56" s="7">
        <v>0</v>
      </c>
      <c r="G56" s="7">
        <v>136.94533686278623</v>
      </c>
      <c r="H56" s="7">
        <v>104.64668347373404</v>
      </c>
    </row>
    <row r="57" spans="1:8" x14ac:dyDescent="0.3">
      <c r="A57" t="s">
        <v>175</v>
      </c>
      <c r="B57" t="s">
        <v>176</v>
      </c>
      <c r="D57" s="7">
        <v>0</v>
      </c>
      <c r="E57" s="7">
        <v>0</v>
      </c>
      <c r="F57" s="7">
        <v>0</v>
      </c>
      <c r="G57" s="7">
        <v>42.431614315516647</v>
      </c>
      <c r="H57" s="7">
        <v>46.093953854314321</v>
      </c>
    </row>
    <row r="58" spans="1:8" x14ac:dyDescent="0.3">
      <c r="A58" t="s">
        <v>177</v>
      </c>
      <c r="D58" s="7"/>
      <c r="E58" s="7"/>
      <c r="F58" s="7"/>
      <c r="G58" s="7"/>
      <c r="H58" s="7"/>
    </row>
    <row r="59" spans="1:8" x14ac:dyDescent="0.3">
      <c r="A59" t="s">
        <v>178</v>
      </c>
      <c r="B59" t="s">
        <v>179</v>
      </c>
      <c r="D59" s="7">
        <v>0</v>
      </c>
      <c r="E59" s="7">
        <v>14.5</v>
      </c>
      <c r="F59" s="7">
        <v>18.05</v>
      </c>
      <c r="G59" s="7">
        <v>10.712926891407317</v>
      </c>
      <c r="H59" s="7">
        <v>16.707185101914828</v>
      </c>
    </row>
    <row r="60" spans="1:8" x14ac:dyDescent="0.3">
      <c r="A60" t="s">
        <v>180</v>
      </c>
      <c r="B60" t="s">
        <v>181</v>
      </c>
      <c r="D60" s="7"/>
      <c r="E60" s="7"/>
      <c r="F60" s="7"/>
      <c r="G60" s="7">
        <v>-10.712926891407317</v>
      </c>
      <c r="H60" s="7">
        <v>-16.707185101914828</v>
      </c>
    </row>
    <row r="61" spans="1:8" x14ac:dyDescent="0.3">
      <c r="A61" t="s">
        <v>182</v>
      </c>
      <c r="B61" t="s">
        <v>183</v>
      </c>
      <c r="D61" s="7">
        <v>0</v>
      </c>
      <c r="E61" s="7">
        <v>0</v>
      </c>
      <c r="F61" s="7">
        <v>0</v>
      </c>
      <c r="G61" s="7">
        <v>100</v>
      </c>
      <c r="H61" s="7">
        <v>100</v>
      </c>
    </row>
    <row r="62" spans="1:8" x14ac:dyDescent="0.3">
      <c r="A62" s="8" t="s">
        <v>184</v>
      </c>
      <c r="B62" s="8" t="s">
        <v>185</v>
      </c>
      <c r="C62" s="9">
        <v>1.2</v>
      </c>
      <c r="D62" s="7">
        <v>2.96</v>
      </c>
      <c r="E62" s="7">
        <v>3.97</v>
      </c>
      <c r="F62" s="7">
        <v>3</v>
      </c>
      <c r="G62" s="7">
        <v>1.9</v>
      </c>
      <c r="H62" s="7">
        <v>0.08</v>
      </c>
    </row>
    <row r="63" spans="1:8" x14ac:dyDescent="0.3">
      <c r="A63" t="s">
        <v>352</v>
      </c>
      <c r="B63" t="s">
        <v>353</v>
      </c>
      <c r="C63" s="7"/>
      <c r="D63" s="7">
        <v>0</v>
      </c>
      <c r="E63" s="7">
        <v>0</v>
      </c>
      <c r="F63" s="7">
        <v>0</v>
      </c>
      <c r="G63" s="7">
        <v>30.99</v>
      </c>
      <c r="H63" s="7">
        <v>19.39</v>
      </c>
    </row>
    <row r="64" spans="1:8" x14ac:dyDescent="0.3">
      <c r="A64" t="s">
        <v>186</v>
      </c>
      <c r="D64" s="7"/>
      <c r="E64" s="7"/>
      <c r="F64" s="7"/>
      <c r="G64" s="7"/>
      <c r="H64" s="7"/>
    </row>
    <row r="65" spans="1:8" x14ac:dyDescent="0.3">
      <c r="A65" s="8" t="s">
        <v>187</v>
      </c>
      <c r="B65" s="8" t="s">
        <v>188</v>
      </c>
      <c r="C65" s="9">
        <v>1</v>
      </c>
      <c r="D65" s="7">
        <v>0</v>
      </c>
      <c r="E65" s="7">
        <v>0</v>
      </c>
      <c r="F65" s="7">
        <v>0</v>
      </c>
      <c r="G65" s="7">
        <v>0</v>
      </c>
      <c r="H65" s="7">
        <v>0</v>
      </c>
    </row>
    <row r="66" spans="1:8" x14ac:dyDescent="0.3">
      <c r="A66" s="8" t="s">
        <v>189</v>
      </c>
      <c r="B66" s="8" t="s">
        <v>190</v>
      </c>
      <c r="C66" s="9"/>
      <c r="D66" s="7">
        <v>0</v>
      </c>
      <c r="E66" s="7">
        <v>0</v>
      </c>
      <c r="F66" s="7">
        <v>0</v>
      </c>
      <c r="G66" s="7">
        <v>0</v>
      </c>
      <c r="H66" s="7">
        <v>0</v>
      </c>
    </row>
    <row r="67" spans="1:8" x14ac:dyDescent="0.3">
      <c r="A67" s="8" t="s">
        <v>191</v>
      </c>
      <c r="B67" s="8" t="s">
        <v>192</v>
      </c>
      <c r="C67" s="9">
        <v>0.6</v>
      </c>
      <c r="D67" s="7">
        <v>0</v>
      </c>
      <c r="E67" s="7">
        <v>0</v>
      </c>
      <c r="F67" s="7">
        <v>0</v>
      </c>
      <c r="G67" s="7">
        <v>0</v>
      </c>
      <c r="H67" s="7">
        <v>0</v>
      </c>
    </row>
    <row r="68" spans="1:8" x14ac:dyDescent="0.3">
      <c r="A68" t="s">
        <v>193</v>
      </c>
      <c r="D68" s="7"/>
      <c r="E68" s="7"/>
      <c r="F68" s="7"/>
      <c r="G68" s="7"/>
      <c r="H68" s="7"/>
    </row>
    <row r="69" spans="1:8" x14ac:dyDescent="0.3">
      <c r="A69" t="s">
        <v>194</v>
      </c>
      <c r="B69" t="s">
        <v>195</v>
      </c>
      <c r="D69" s="7">
        <v>94.17</v>
      </c>
      <c r="E69" s="7">
        <v>93.91</v>
      </c>
      <c r="F69" s="30">
        <v>84.25</v>
      </c>
      <c r="G69" s="30">
        <v>89.14</v>
      </c>
      <c r="H69" s="30">
        <v>87.67</v>
      </c>
    </row>
    <row r="70" spans="1:8" x14ac:dyDescent="0.3">
      <c r="A70" t="s">
        <v>196</v>
      </c>
      <c r="D70" s="7"/>
      <c r="E70" s="7"/>
      <c r="F70" s="7"/>
      <c r="G70" s="7"/>
      <c r="H70" s="7"/>
    </row>
    <row r="71" spans="1:8" x14ac:dyDescent="0.3">
      <c r="A71" t="s">
        <v>197</v>
      </c>
      <c r="B71" t="s">
        <v>198</v>
      </c>
      <c r="D71" s="7">
        <v>1.64</v>
      </c>
      <c r="E71" s="30">
        <v>2.06</v>
      </c>
      <c r="F71" s="7">
        <v>1.1299999999999999</v>
      </c>
      <c r="G71" s="7">
        <v>1.46</v>
      </c>
      <c r="H71" s="7">
        <v>1.38</v>
      </c>
    </row>
    <row r="72" spans="1:8" x14ac:dyDescent="0.3">
      <c r="A72" t="s">
        <v>199</v>
      </c>
      <c r="B72" t="s">
        <v>200</v>
      </c>
      <c r="D72" s="7">
        <v>1.75</v>
      </c>
      <c r="E72" s="30">
        <v>2.2000000000000002</v>
      </c>
      <c r="F72" s="7">
        <v>1.2</v>
      </c>
      <c r="G72" s="7">
        <v>1.55</v>
      </c>
      <c r="H72" s="7">
        <v>1.47</v>
      </c>
    </row>
    <row r="73" spans="1:8" x14ac:dyDescent="0.3">
      <c r="A73" t="s">
        <v>303</v>
      </c>
      <c r="D73" s="7"/>
      <c r="E73" s="7"/>
      <c r="F73" s="7"/>
      <c r="G73" s="7"/>
      <c r="H73" s="7"/>
    </row>
    <row r="74" spans="1:8" x14ac:dyDescent="0.3">
      <c r="B74" t="s">
        <v>201</v>
      </c>
      <c r="D74" s="7">
        <v>77.17</v>
      </c>
      <c r="E74" s="7">
        <v>70.67</v>
      </c>
      <c r="F74" s="7">
        <v>74.64</v>
      </c>
      <c r="G74" s="7">
        <v>79.600232280282427</v>
      </c>
      <c r="H74" s="7">
        <v>80.680000000000007</v>
      </c>
    </row>
    <row r="75" spans="1:8" x14ac:dyDescent="0.3">
      <c r="B75" t="s">
        <v>202</v>
      </c>
      <c r="D75" s="7">
        <v>84.96</v>
      </c>
      <c r="E75" s="7">
        <v>81.62</v>
      </c>
      <c r="F75" s="7">
        <v>84.81</v>
      </c>
      <c r="G75" s="7">
        <v>89.237088459903774</v>
      </c>
      <c r="H75" s="7">
        <v>89.63</v>
      </c>
    </row>
    <row r="76" spans="1:8" x14ac:dyDescent="0.3">
      <c r="B76" t="s">
        <v>203</v>
      </c>
      <c r="D76" s="7">
        <v>50.44</v>
      </c>
      <c r="E76" s="7">
        <v>33.93</v>
      </c>
      <c r="F76" s="7">
        <v>47.87</v>
      </c>
      <c r="G76" s="7">
        <v>50.945122681290187</v>
      </c>
      <c r="H76" s="7">
        <v>46.99</v>
      </c>
    </row>
    <row r="77" spans="1:8" x14ac:dyDescent="0.3">
      <c r="A77" s="8" t="s">
        <v>36</v>
      </c>
      <c r="B77" s="8"/>
      <c r="C77" s="9">
        <v>47</v>
      </c>
      <c r="D77" s="7">
        <v>72.248808294314841</v>
      </c>
      <c r="E77" s="7">
        <v>65.471327943243367</v>
      </c>
      <c r="F77" s="30">
        <v>72.569036439049867</v>
      </c>
      <c r="G77" s="30">
        <v>75.996483383683156</v>
      </c>
      <c r="H77" s="30">
        <v>76.219925535644805</v>
      </c>
    </row>
    <row r="78" spans="1:8" x14ac:dyDescent="0.3">
      <c r="A78" s="31" t="s">
        <v>333</v>
      </c>
      <c r="B78" s="31"/>
      <c r="C78" s="63"/>
      <c r="D78" s="30">
        <v>71.966911249641313</v>
      </c>
      <c r="E78" s="30">
        <v>65.882794149161555</v>
      </c>
      <c r="F78" s="30">
        <v>70.803527962227221</v>
      </c>
      <c r="G78" s="30">
        <v>73.984220783696003</v>
      </c>
      <c r="H78" s="30">
        <v>74.382928466313885</v>
      </c>
    </row>
    <row r="79" spans="1:8" x14ac:dyDescent="0.3">
      <c r="A79" t="s">
        <v>266</v>
      </c>
      <c r="D79" s="7"/>
      <c r="E79" s="7"/>
      <c r="F79" s="7"/>
      <c r="G79" s="7"/>
      <c r="H79" s="7"/>
    </row>
    <row r="80" spans="1:8" x14ac:dyDescent="0.3">
      <c r="A80">
        <v>4</v>
      </c>
      <c r="B80" t="s">
        <v>204</v>
      </c>
      <c r="D80" s="7">
        <v>0.8419305110873947</v>
      </c>
      <c r="E80" s="7">
        <v>0.70938756207141163</v>
      </c>
      <c r="F80" s="30">
        <v>0.7072294566681635</v>
      </c>
      <c r="G80" s="30">
        <v>0.66956419593562777</v>
      </c>
      <c r="H80" s="30">
        <v>0.54670233802489243</v>
      </c>
    </row>
    <row r="81" spans="1:8" x14ac:dyDescent="0.3">
      <c r="A81">
        <v>9</v>
      </c>
      <c r="B81" t="s">
        <v>345</v>
      </c>
      <c r="D81" s="7">
        <v>1.5889956124748015</v>
      </c>
      <c r="E81" s="7">
        <v>1.5606526365571058</v>
      </c>
      <c r="F81" s="30">
        <v>1.773686573866188</v>
      </c>
      <c r="G81" s="30">
        <v>1.4448490543874075</v>
      </c>
      <c r="H81" s="30">
        <v>1.1748284285215773</v>
      </c>
    </row>
    <row r="82" spans="1:8" x14ac:dyDescent="0.3">
      <c r="A82">
        <v>10</v>
      </c>
      <c r="B82" t="s">
        <v>205</v>
      </c>
      <c r="D82" s="7">
        <v>5.9409462824617574</v>
      </c>
      <c r="E82" s="7">
        <v>6.5854812012296051</v>
      </c>
      <c r="F82" s="30">
        <v>6.2640323304894485</v>
      </c>
      <c r="G82" s="30">
        <v>7.5649007400446386</v>
      </c>
      <c r="H82" s="30">
        <v>7.5026171920437363</v>
      </c>
    </row>
    <row r="83" spans="1:8" x14ac:dyDescent="0.3">
      <c r="A83">
        <v>12</v>
      </c>
      <c r="B83" t="s">
        <v>206</v>
      </c>
      <c r="D83" s="7">
        <v>1.5889956124748015</v>
      </c>
      <c r="E83" s="7">
        <v>1.4424213762118705</v>
      </c>
      <c r="F83" s="30">
        <v>1.3920071845532105</v>
      </c>
      <c r="G83" s="30">
        <v>1.7855045224950077</v>
      </c>
      <c r="H83" s="30">
        <v>2.0239618471559848</v>
      </c>
    </row>
    <row r="84" spans="1:8" x14ac:dyDescent="0.3">
      <c r="A84">
        <v>13</v>
      </c>
      <c r="B84" t="s">
        <v>354</v>
      </c>
      <c r="D84" s="7">
        <v>73.46140163642832</v>
      </c>
      <c r="E84" s="7">
        <v>78.091747458027911</v>
      </c>
      <c r="F84" s="30">
        <v>78.165693758419394</v>
      </c>
      <c r="G84" s="30">
        <v>73.722541994596497</v>
      </c>
      <c r="H84" s="30">
        <v>73.176689542863784</v>
      </c>
    </row>
    <row r="85" spans="1:8" x14ac:dyDescent="0.3">
      <c r="A85" t="s">
        <v>207</v>
      </c>
      <c r="D85" s="7"/>
      <c r="E85" s="7"/>
      <c r="F85" s="7"/>
      <c r="G85" s="7"/>
      <c r="H85" s="7"/>
    </row>
    <row r="86" spans="1:8" x14ac:dyDescent="0.3">
      <c r="A86">
        <v>4</v>
      </c>
      <c r="B86" t="s">
        <v>204</v>
      </c>
      <c r="D86" s="7">
        <v>79.8</v>
      </c>
      <c r="E86" s="7">
        <v>57.82</v>
      </c>
      <c r="F86" s="7">
        <v>63.24</v>
      </c>
      <c r="G86" s="7">
        <v>59.39</v>
      </c>
      <c r="H86" s="7">
        <v>58.41</v>
      </c>
    </row>
    <row r="87" spans="1:8" x14ac:dyDescent="0.3">
      <c r="A87">
        <v>9</v>
      </c>
      <c r="B87" t="s">
        <v>345</v>
      </c>
      <c r="D87" s="7">
        <v>48.19</v>
      </c>
      <c r="E87" s="7">
        <v>65.11</v>
      </c>
      <c r="F87" s="7">
        <v>69.099999999999994</v>
      </c>
      <c r="G87" s="7">
        <v>59.35</v>
      </c>
      <c r="H87" s="7">
        <v>75.400000000000006</v>
      </c>
    </row>
    <row r="88" spans="1:8" x14ac:dyDescent="0.3">
      <c r="A88">
        <v>10</v>
      </c>
      <c r="B88" t="s">
        <v>205</v>
      </c>
      <c r="D88" s="7">
        <v>79.73</v>
      </c>
      <c r="E88" s="7">
        <v>80.56</v>
      </c>
      <c r="F88" s="7">
        <v>81.78</v>
      </c>
      <c r="G88" s="7">
        <v>58.85</v>
      </c>
      <c r="H88" s="7">
        <v>73.069999999999993</v>
      </c>
    </row>
    <row r="89" spans="1:8" x14ac:dyDescent="0.3">
      <c r="A89">
        <v>12</v>
      </c>
      <c r="B89" t="s">
        <v>206</v>
      </c>
      <c r="D89" s="7">
        <v>83.75</v>
      </c>
      <c r="E89" s="7">
        <v>69.59</v>
      </c>
      <c r="F89" s="7">
        <v>88.95</v>
      </c>
      <c r="G89" s="7">
        <v>78.86</v>
      </c>
      <c r="H89" s="7">
        <v>75.510000000000005</v>
      </c>
    </row>
    <row r="90" spans="1:8" x14ac:dyDescent="0.3">
      <c r="A90">
        <v>13</v>
      </c>
      <c r="B90" t="s">
        <v>354</v>
      </c>
      <c r="D90" s="7">
        <v>88.51</v>
      </c>
      <c r="E90" s="7">
        <v>83.47</v>
      </c>
      <c r="F90" s="7">
        <v>87.89</v>
      </c>
      <c r="G90" s="7">
        <v>89.03</v>
      </c>
      <c r="H90" s="7">
        <v>90.08</v>
      </c>
    </row>
    <row r="91" spans="1:8" x14ac:dyDescent="0.3">
      <c r="B91" s="68" t="s">
        <v>357</v>
      </c>
      <c r="D91" s="7"/>
      <c r="E91" s="7"/>
      <c r="F91" s="7"/>
      <c r="G91" s="7"/>
      <c r="H91" s="7"/>
    </row>
    <row r="92" spans="1:8" x14ac:dyDescent="0.3">
      <c r="B92" t="s">
        <v>109</v>
      </c>
      <c r="D92" s="7">
        <v>93.080814543787938</v>
      </c>
      <c r="E92" s="7">
        <v>88.060780079821342</v>
      </c>
      <c r="F92" s="7">
        <v>89.823506154392092</v>
      </c>
      <c r="G92" s="7">
        <v>92.549410739486376</v>
      </c>
      <c r="H92" s="7"/>
    </row>
    <row r="93" spans="1:8" x14ac:dyDescent="0.3">
      <c r="B93" t="s">
        <v>128</v>
      </c>
      <c r="D93" s="7">
        <v>251.09759762080674</v>
      </c>
      <c r="E93" s="7">
        <v>226.20399780332346</v>
      </c>
      <c r="F93" s="7">
        <v>238.9835900012705</v>
      </c>
      <c r="G93" s="7">
        <v>254.8769995879359</v>
      </c>
      <c r="H93" s="7"/>
    </row>
    <row r="94" spans="1:8" x14ac:dyDescent="0.3">
      <c r="B94" t="s">
        <v>158</v>
      </c>
      <c r="D94" s="7">
        <v>5.1523529411764697</v>
      </c>
      <c r="E94" s="7">
        <v>-0.42166666666666625</v>
      </c>
      <c r="F94" s="7">
        <v>-3.3627777777777768</v>
      </c>
      <c r="G94" s="7">
        <v>-6.1844444444444466</v>
      </c>
      <c r="H94" s="7"/>
    </row>
    <row r="95" spans="1:8" x14ac:dyDescent="0.3">
      <c r="B95" t="s">
        <v>167</v>
      </c>
      <c r="D95" s="7">
        <v>1497.6574370098967</v>
      </c>
      <c r="E95" s="7">
        <v>1511.4496314108096</v>
      </c>
      <c r="F95" s="7">
        <v>1479.4297544978085</v>
      </c>
      <c r="G95" s="7">
        <v>1400.855257564868</v>
      </c>
      <c r="H95" s="7"/>
    </row>
    <row r="96" spans="1:8" x14ac:dyDescent="0.3">
      <c r="D96" s="7"/>
      <c r="E96" s="7"/>
      <c r="F96" s="7"/>
      <c r="G96" s="7"/>
      <c r="H96" s="7"/>
    </row>
    <row r="97" spans="2:8" x14ac:dyDescent="0.3">
      <c r="B97" s="39" t="s">
        <v>301</v>
      </c>
      <c r="D97" s="7"/>
      <c r="E97" s="7"/>
      <c r="F97" s="7"/>
      <c r="G97" s="7"/>
      <c r="H97" s="7"/>
    </row>
    <row r="98" spans="2:8" x14ac:dyDescent="0.3">
      <c r="D98" s="7"/>
      <c r="E98" s="7"/>
      <c r="F98" s="7"/>
      <c r="G98" s="7"/>
      <c r="H98" s="7"/>
    </row>
    <row r="99" spans="2:8" x14ac:dyDescent="0.3">
      <c r="D99" s="7"/>
      <c r="E99" s="7"/>
      <c r="F99" s="7"/>
      <c r="G99" s="7"/>
      <c r="H99" s="7"/>
    </row>
    <row r="100" spans="2:8" x14ac:dyDescent="0.3">
      <c r="D100" s="7"/>
      <c r="E100" s="7"/>
      <c r="F100" s="7"/>
      <c r="G100" s="7"/>
      <c r="H100" s="7"/>
    </row>
    <row r="101" spans="2:8" x14ac:dyDescent="0.3">
      <c r="D101" s="7"/>
      <c r="E101" s="7"/>
      <c r="F101" s="7"/>
      <c r="G101" s="7"/>
      <c r="H101" s="7"/>
    </row>
    <row r="102" spans="2:8" x14ac:dyDescent="0.3">
      <c r="D102" s="7"/>
      <c r="E102" s="7"/>
      <c r="F102" s="7"/>
      <c r="G102" s="7"/>
      <c r="H102" s="7"/>
    </row>
    <row r="103" spans="2:8" x14ac:dyDescent="0.3">
      <c r="D103" s="7"/>
      <c r="E103" s="7"/>
      <c r="F103" s="7"/>
      <c r="G103" s="7"/>
      <c r="H103" s="7"/>
    </row>
    <row r="104" spans="2:8" x14ac:dyDescent="0.3">
      <c r="D104" s="7"/>
      <c r="E104" s="7"/>
      <c r="F104" s="7"/>
      <c r="G104" s="7"/>
      <c r="H104" s="7"/>
    </row>
    <row r="105" spans="2:8" x14ac:dyDescent="0.3">
      <c r="D105" s="7"/>
      <c r="E105" s="7"/>
      <c r="F105" s="7"/>
      <c r="G105" s="7"/>
      <c r="H105" s="7"/>
    </row>
    <row r="106" spans="2:8" x14ac:dyDescent="0.3">
      <c r="D106" s="7"/>
      <c r="E106" s="7"/>
      <c r="F106" s="7"/>
      <c r="G106" s="7"/>
      <c r="H106" s="7"/>
    </row>
    <row r="107" spans="2:8" x14ac:dyDescent="0.3">
      <c r="D107" s="7"/>
      <c r="E107" s="7"/>
      <c r="F107" s="7"/>
      <c r="G107" s="7"/>
      <c r="H107" s="7"/>
    </row>
    <row r="108" spans="2:8" x14ac:dyDescent="0.3">
      <c r="D108" s="7"/>
      <c r="E108" s="7"/>
      <c r="F108" s="7"/>
      <c r="G108" s="7"/>
      <c r="H108" s="7"/>
    </row>
    <row r="109" spans="2:8" x14ac:dyDescent="0.3">
      <c r="D109" s="7"/>
      <c r="E109" s="7"/>
      <c r="F109" s="7"/>
      <c r="G109" s="7"/>
      <c r="H109" s="7"/>
    </row>
    <row r="110" spans="2:8" x14ac:dyDescent="0.3">
      <c r="D110" s="7"/>
      <c r="E110" s="7"/>
      <c r="F110" s="7"/>
      <c r="G110" s="7"/>
      <c r="H110" s="7"/>
    </row>
    <row r="111" spans="2:8" x14ac:dyDescent="0.3">
      <c r="D111" s="7"/>
      <c r="E111" s="7"/>
      <c r="F111" s="7"/>
      <c r="G111" s="7"/>
      <c r="H111" s="7"/>
    </row>
    <row r="112" spans="2:8" x14ac:dyDescent="0.3">
      <c r="D112" s="7"/>
      <c r="E112" s="7"/>
      <c r="F112" s="7"/>
      <c r="G112" s="7"/>
      <c r="H112" s="7"/>
    </row>
    <row r="113" spans="2:8" x14ac:dyDescent="0.3">
      <c r="D113" s="7"/>
      <c r="E113" s="7"/>
      <c r="F113" s="7"/>
      <c r="G113" s="7"/>
      <c r="H113" s="7"/>
    </row>
    <row r="114" spans="2:8" x14ac:dyDescent="0.3">
      <c r="D114" s="7"/>
      <c r="E114" s="7"/>
      <c r="F114" s="7"/>
      <c r="G114" s="7"/>
      <c r="H114" s="7"/>
    </row>
    <row r="115" spans="2:8" x14ac:dyDescent="0.3">
      <c r="D115" s="7"/>
      <c r="E115" s="7"/>
      <c r="F115" s="7"/>
      <c r="G115" s="7"/>
      <c r="H115" s="7"/>
    </row>
    <row r="116" spans="2:8" x14ac:dyDescent="0.3">
      <c r="D116" s="7"/>
      <c r="E116" s="7"/>
      <c r="F116" s="7"/>
      <c r="G116" s="7"/>
      <c r="H116" s="7"/>
    </row>
    <row r="117" spans="2:8" x14ac:dyDescent="0.3">
      <c r="D117" s="7"/>
      <c r="E117" s="7"/>
      <c r="F117" s="7"/>
      <c r="G117" s="7"/>
      <c r="H117" s="7"/>
    </row>
    <row r="118" spans="2:8" x14ac:dyDescent="0.3">
      <c r="B118" s="39" t="s">
        <v>302</v>
      </c>
      <c r="D118" s="7"/>
      <c r="E118" s="7"/>
      <c r="F118" s="7"/>
      <c r="G118" s="7"/>
      <c r="H118" s="7"/>
    </row>
    <row r="119" spans="2:8" x14ac:dyDescent="0.3">
      <c r="D119" s="7"/>
      <c r="E119" s="7"/>
      <c r="F119" s="7"/>
      <c r="G119" s="7"/>
      <c r="H119" s="7"/>
    </row>
    <row r="120" spans="2:8" x14ac:dyDescent="0.3">
      <c r="D120" s="7"/>
      <c r="E120" s="7"/>
      <c r="F120" s="7"/>
      <c r="G120" s="7"/>
      <c r="H120" s="7"/>
    </row>
    <row r="121" spans="2:8" x14ac:dyDescent="0.3">
      <c r="D121" s="7"/>
      <c r="E121" s="7"/>
      <c r="F121" s="7"/>
      <c r="G121" s="7"/>
      <c r="H121" s="7"/>
    </row>
    <row r="122" spans="2:8" x14ac:dyDescent="0.3">
      <c r="D122" s="7"/>
      <c r="E122" s="7"/>
      <c r="F122" s="7"/>
      <c r="G122" s="7"/>
      <c r="H122" s="7"/>
    </row>
    <row r="123" spans="2:8" x14ac:dyDescent="0.3">
      <c r="D123" s="7"/>
      <c r="E123" s="7"/>
      <c r="F123" s="7"/>
      <c r="G123" s="7"/>
      <c r="H123" s="7"/>
    </row>
    <row r="124" spans="2:8" x14ac:dyDescent="0.3">
      <c r="D124" s="7"/>
      <c r="E124" s="7"/>
      <c r="F124" s="7"/>
      <c r="G124" s="7"/>
      <c r="H124" s="7"/>
    </row>
    <row r="125" spans="2:8" x14ac:dyDescent="0.3">
      <c r="D125" s="7"/>
      <c r="E125" s="7"/>
      <c r="F125" s="7"/>
      <c r="G125" s="7"/>
      <c r="H125" s="7"/>
    </row>
    <row r="126" spans="2:8" x14ac:dyDescent="0.3">
      <c r="D126" s="7"/>
      <c r="E126" s="7"/>
      <c r="F126" s="7"/>
      <c r="G126" s="7"/>
      <c r="H126" s="7"/>
    </row>
    <row r="127" spans="2:8" x14ac:dyDescent="0.3">
      <c r="D127" s="7"/>
      <c r="E127" s="7"/>
      <c r="F127" s="7"/>
      <c r="G127" s="7"/>
      <c r="H127" s="7"/>
    </row>
    <row r="128" spans="2:8" x14ac:dyDescent="0.3">
      <c r="D128" s="7"/>
      <c r="E128" s="7"/>
      <c r="F128" s="7"/>
      <c r="G128" s="7"/>
      <c r="H128" s="7"/>
    </row>
    <row r="129" spans="2:8" x14ac:dyDescent="0.3">
      <c r="D129" s="7"/>
      <c r="E129" s="7"/>
      <c r="F129" s="7"/>
      <c r="G129" s="7"/>
      <c r="H129" s="7"/>
    </row>
    <row r="130" spans="2:8" x14ac:dyDescent="0.3">
      <c r="D130" s="7"/>
      <c r="E130" s="7"/>
      <c r="F130" s="7"/>
      <c r="G130" s="7"/>
      <c r="H130" s="7"/>
    </row>
    <row r="131" spans="2:8" x14ac:dyDescent="0.3">
      <c r="D131" s="7"/>
      <c r="E131" s="7"/>
      <c r="F131" s="7"/>
      <c r="G131" s="7"/>
      <c r="H131" s="7"/>
    </row>
    <row r="132" spans="2:8" x14ac:dyDescent="0.3">
      <c r="D132" s="7"/>
      <c r="E132" s="7"/>
      <c r="F132" s="7"/>
      <c r="G132" s="7"/>
      <c r="H132" s="7"/>
    </row>
    <row r="133" spans="2:8" x14ac:dyDescent="0.3">
      <c r="D133" s="7"/>
      <c r="E133" s="7"/>
      <c r="F133" s="7"/>
      <c r="G133" s="7"/>
      <c r="H133" s="7"/>
    </row>
    <row r="134" spans="2:8" x14ac:dyDescent="0.3">
      <c r="D134" s="7"/>
      <c r="E134" s="7"/>
      <c r="F134" s="7"/>
      <c r="G134" s="7"/>
      <c r="H134" s="7"/>
    </row>
    <row r="135" spans="2:8" x14ac:dyDescent="0.3">
      <c r="D135" s="7"/>
      <c r="E135" s="7"/>
      <c r="F135" s="7"/>
      <c r="G135" s="7"/>
      <c r="H135" s="7"/>
    </row>
    <row r="136" spans="2:8" x14ac:dyDescent="0.3">
      <c r="D136" s="7"/>
      <c r="E136" s="7"/>
      <c r="F136" s="7"/>
      <c r="G136" s="7"/>
      <c r="H136" s="7"/>
    </row>
    <row r="137" spans="2:8" x14ac:dyDescent="0.3">
      <c r="D137" s="7"/>
      <c r="E137" s="7"/>
      <c r="F137" s="7"/>
      <c r="G137" s="7"/>
      <c r="H137" s="7"/>
    </row>
    <row r="138" spans="2:8" x14ac:dyDescent="0.3">
      <c r="D138" s="7"/>
      <c r="E138" s="7"/>
      <c r="F138" s="7"/>
      <c r="G138" s="7"/>
      <c r="H138" s="7"/>
    </row>
    <row r="139" spans="2:8" x14ac:dyDescent="0.3">
      <c r="B139" s="39" t="s">
        <v>158</v>
      </c>
      <c r="D139" s="7"/>
      <c r="E139" s="7"/>
      <c r="F139" s="7"/>
      <c r="G139" s="7"/>
      <c r="H139" s="7"/>
    </row>
    <row r="140" spans="2:8" x14ac:dyDescent="0.3">
      <c r="D140" s="7"/>
      <c r="E140" s="7"/>
      <c r="F140" s="7"/>
      <c r="G140" s="7"/>
      <c r="H140" s="7"/>
    </row>
    <row r="141" spans="2:8" x14ac:dyDescent="0.3">
      <c r="D141" s="7"/>
      <c r="E141" s="7"/>
      <c r="F141" s="7"/>
      <c r="G141" s="7"/>
      <c r="H141" s="7"/>
    </row>
    <row r="142" spans="2:8" x14ac:dyDescent="0.3">
      <c r="D142" s="7"/>
      <c r="E142" s="7"/>
      <c r="F142" s="7"/>
      <c r="G142" s="7"/>
      <c r="H142" s="7"/>
    </row>
    <row r="143" spans="2:8" x14ac:dyDescent="0.3">
      <c r="D143" s="7"/>
      <c r="E143" s="7"/>
      <c r="F143" s="7"/>
      <c r="G143" s="7"/>
      <c r="H143" s="7"/>
    </row>
    <row r="144" spans="2:8" x14ac:dyDescent="0.3">
      <c r="D144" s="7"/>
      <c r="E144" s="7"/>
      <c r="F144" s="7"/>
      <c r="G144" s="7"/>
      <c r="H144" s="7"/>
    </row>
    <row r="145" spans="2:8" x14ac:dyDescent="0.3">
      <c r="D145" s="7"/>
      <c r="E145" s="7"/>
      <c r="F145" s="7"/>
      <c r="G145" s="7"/>
      <c r="H145" s="7"/>
    </row>
    <row r="146" spans="2:8" x14ac:dyDescent="0.3">
      <c r="D146" s="7"/>
      <c r="E146" s="7"/>
      <c r="F146" s="7"/>
      <c r="G146" s="7"/>
      <c r="H146" s="7"/>
    </row>
    <row r="147" spans="2:8" x14ac:dyDescent="0.3">
      <c r="D147" s="7"/>
      <c r="E147" s="7"/>
      <c r="F147" s="7"/>
      <c r="G147" s="7"/>
      <c r="H147" s="7"/>
    </row>
    <row r="148" spans="2:8" x14ac:dyDescent="0.3">
      <c r="D148" s="7"/>
      <c r="E148" s="7"/>
      <c r="F148" s="7"/>
      <c r="G148" s="7"/>
      <c r="H148" s="7"/>
    </row>
    <row r="149" spans="2:8" x14ac:dyDescent="0.3">
      <c r="D149" s="7"/>
      <c r="E149" s="7"/>
      <c r="F149" s="7"/>
      <c r="G149" s="7"/>
      <c r="H149" s="7"/>
    </row>
    <row r="150" spans="2:8" x14ac:dyDescent="0.3">
      <c r="D150" s="7"/>
      <c r="E150" s="7"/>
      <c r="F150" s="7"/>
      <c r="G150" s="7"/>
      <c r="H150" s="7"/>
    </row>
    <row r="151" spans="2:8" x14ac:dyDescent="0.3">
      <c r="D151" s="7"/>
      <c r="E151" s="7"/>
      <c r="F151" s="7"/>
      <c r="G151" s="7"/>
      <c r="H151" s="7"/>
    </row>
    <row r="152" spans="2:8" x14ac:dyDescent="0.3">
      <c r="D152" s="7"/>
      <c r="E152" s="7"/>
      <c r="F152" s="7"/>
      <c r="G152" s="7"/>
      <c r="H152" s="7"/>
    </row>
    <row r="153" spans="2:8" x14ac:dyDescent="0.3">
      <c r="D153" s="7"/>
      <c r="E153" s="7"/>
      <c r="F153" s="7"/>
      <c r="G153" s="7"/>
      <c r="H153" s="7"/>
    </row>
    <row r="154" spans="2:8" x14ac:dyDescent="0.3">
      <c r="D154" s="7"/>
      <c r="E154" s="7"/>
      <c r="F154" s="7"/>
      <c r="G154" s="7"/>
      <c r="H154" s="7"/>
    </row>
    <row r="155" spans="2:8" x14ac:dyDescent="0.3">
      <c r="D155" s="7"/>
      <c r="E155" s="7"/>
      <c r="F155" s="7"/>
      <c r="G155" s="7"/>
      <c r="H155" s="7"/>
    </row>
    <row r="156" spans="2:8" x14ac:dyDescent="0.3">
      <c r="D156" s="7"/>
      <c r="E156" s="7"/>
      <c r="F156" s="7"/>
      <c r="G156" s="7"/>
      <c r="H156" s="7"/>
    </row>
    <row r="157" spans="2:8" x14ac:dyDescent="0.3">
      <c r="D157" s="7"/>
      <c r="E157" s="7"/>
      <c r="F157" s="7"/>
      <c r="G157" s="7"/>
      <c r="H157" s="7"/>
    </row>
    <row r="158" spans="2:8" x14ac:dyDescent="0.3">
      <c r="D158" s="7"/>
      <c r="E158" s="7"/>
      <c r="F158" s="7"/>
      <c r="G158" s="7"/>
      <c r="H158" s="7"/>
    </row>
    <row r="159" spans="2:8" x14ac:dyDescent="0.3">
      <c r="D159" s="7"/>
      <c r="E159" s="7"/>
      <c r="F159" s="7"/>
      <c r="G159" s="7"/>
      <c r="H159" s="7"/>
    </row>
    <row r="160" spans="2:8" x14ac:dyDescent="0.3">
      <c r="B160" s="39" t="s">
        <v>167</v>
      </c>
      <c r="D160" s="7"/>
      <c r="E160" s="7"/>
      <c r="F160" s="7"/>
      <c r="G160" s="7"/>
      <c r="H160" s="7"/>
    </row>
    <row r="161" spans="4:8" x14ac:dyDescent="0.3">
      <c r="D161" s="7"/>
      <c r="E161" s="7"/>
      <c r="F161" s="7"/>
      <c r="G161" s="7"/>
      <c r="H161" s="7"/>
    </row>
    <row r="162" spans="4:8" x14ac:dyDescent="0.3">
      <c r="D162" s="7"/>
      <c r="E162" s="7"/>
      <c r="F162" s="7"/>
      <c r="G162" s="7"/>
      <c r="H162" s="7"/>
    </row>
    <row r="163" spans="4:8" x14ac:dyDescent="0.3">
      <c r="D163" s="7"/>
      <c r="E163" s="7"/>
      <c r="F163" s="7"/>
      <c r="G163" s="7"/>
      <c r="H163" s="7"/>
    </row>
    <row r="164" spans="4:8" x14ac:dyDescent="0.3">
      <c r="D164" s="7"/>
      <c r="E164" s="7"/>
      <c r="F164" s="7"/>
      <c r="G164" s="7"/>
      <c r="H164" s="7"/>
    </row>
    <row r="165" spans="4:8" x14ac:dyDescent="0.3">
      <c r="D165" s="7"/>
      <c r="E165" s="7"/>
      <c r="F165" s="7"/>
      <c r="G165" s="7"/>
      <c r="H165" s="7"/>
    </row>
    <row r="166" spans="4:8" x14ac:dyDescent="0.3">
      <c r="D166" s="7"/>
      <c r="E166" s="7"/>
      <c r="F166" s="7"/>
      <c r="G166" s="7"/>
      <c r="H166" s="7"/>
    </row>
    <row r="167" spans="4:8" x14ac:dyDescent="0.3">
      <c r="D167" s="7"/>
      <c r="E167" s="7"/>
      <c r="F167" s="7"/>
      <c r="G167" s="7"/>
      <c r="H167" s="7"/>
    </row>
    <row r="168" spans="4:8" x14ac:dyDescent="0.3">
      <c r="D168" s="7"/>
      <c r="E168" s="7"/>
      <c r="F168" s="7"/>
      <c r="G168" s="7"/>
      <c r="H168" s="7"/>
    </row>
    <row r="169" spans="4:8" x14ac:dyDescent="0.3">
      <c r="D169" s="7"/>
      <c r="E169" s="7"/>
      <c r="F169" s="7"/>
      <c r="G169" s="7"/>
      <c r="H169" s="7"/>
    </row>
    <row r="170" spans="4:8" x14ac:dyDescent="0.3">
      <c r="D170" s="7"/>
      <c r="E170" s="7"/>
      <c r="F170" s="7"/>
      <c r="G170" s="7"/>
      <c r="H170" s="7"/>
    </row>
    <row r="171" spans="4:8" x14ac:dyDescent="0.3">
      <c r="D171" s="7"/>
      <c r="E171" s="7"/>
      <c r="F171" s="7"/>
      <c r="G171" s="7"/>
      <c r="H171" s="7"/>
    </row>
    <row r="172" spans="4:8" x14ac:dyDescent="0.3">
      <c r="D172" s="7"/>
      <c r="E172" s="7"/>
      <c r="F172" s="7"/>
      <c r="G172" s="7"/>
      <c r="H172" s="7"/>
    </row>
    <row r="173" spans="4:8" x14ac:dyDescent="0.3">
      <c r="D173" s="7"/>
      <c r="E173" s="7"/>
      <c r="F173" s="7"/>
      <c r="G173" s="7"/>
      <c r="H173" s="7"/>
    </row>
    <row r="174" spans="4:8" x14ac:dyDescent="0.3">
      <c r="D174" s="7"/>
      <c r="E174" s="7"/>
      <c r="F174" s="7"/>
      <c r="G174" s="7"/>
      <c r="H174" s="7"/>
    </row>
    <row r="175" spans="4:8" x14ac:dyDescent="0.3">
      <c r="D175" s="7"/>
      <c r="E175" s="7"/>
      <c r="F175" s="7"/>
      <c r="G175" s="7"/>
      <c r="H175" s="7"/>
    </row>
    <row r="176" spans="4:8" x14ac:dyDescent="0.3">
      <c r="D176" s="7"/>
      <c r="E176" s="7"/>
      <c r="F176" s="7"/>
      <c r="G176" s="7"/>
      <c r="H176" s="7"/>
    </row>
    <row r="177" spans="2:8" x14ac:dyDescent="0.3">
      <c r="D177" s="7"/>
      <c r="E177" s="7"/>
      <c r="F177" s="7"/>
      <c r="G177" s="7"/>
      <c r="H177" s="7"/>
    </row>
    <row r="178" spans="2:8" x14ac:dyDescent="0.3">
      <c r="D178" s="7"/>
      <c r="E178" s="7"/>
      <c r="F178" s="7"/>
      <c r="G178" s="7"/>
      <c r="H178" s="7"/>
    </row>
    <row r="179" spans="2:8" x14ac:dyDescent="0.3">
      <c r="D179" s="7"/>
      <c r="E179" s="7"/>
      <c r="F179" s="7"/>
      <c r="G179" s="7"/>
      <c r="H179" s="7"/>
    </row>
    <row r="180" spans="2:8" x14ac:dyDescent="0.3">
      <c r="D180" s="7"/>
      <c r="E180" s="7"/>
      <c r="F180" s="7"/>
      <c r="G180" s="7"/>
      <c r="H180" s="7"/>
    </row>
    <row r="181" spans="2:8" x14ac:dyDescent="0.3">
      <c r="B181" s="39" t="s">
        <v>300</v>
      </c>
    </row>
    <row r="182" spans="2:8" x14ac:dyDescent="0.3">
      <c r="E182" s="31"/>
    </row>
    <row r="202" spans="2:2" x14ac:dyDescent="0.3">
      <c r="B202" s="39" t="s">
        <v>266</v>
      </c>
    </row>
    <row r="221" spans="2:2" x14ac:dyDescent="0.3">
      <c r="B221" s="39" t="s">
        <v>207</v>
      </c>
    </row>
  </sheetData>
  <mergeCells count="1">
    <mergeCell ref="A1:B1"/>
  </mergeCells>
  <conditionalFormatting sqref="D3">
    <cfRule type="cellIs" dxfId="64" priority="46" operator="greaterThan">
      <formula>$C3</formula>
    </cfRule>
  </conditionalFormatting>
  <conditionalFormatting sqref="D12">
    <cfRule type="cellIs" dxfId="63" priority="44" operator="lessThan">
      <formula>$C12</formula>
    </cfRule>
  </conditionalFormatting>
  <conditionalFormatting sqref="D15:E15 H15">
    <cfRule type="cellIs" dxfId="62" priority="42" operator="greaterThan">
      <formula>$C$15</formula>
    </cfRule>
  </conditionalFormatting>
  <conditionalFormatting sqref="E3 H3">
    <cfRule type="cellIs" dxfId="61" priority="38" operator="greaterThan">
      <formula>$C3</formula>
    </cfRule>
  </conditionalFormatting>
  <conditionalFormatting sqref="D51:E51 H51">
    <cfRule type="cellIs" dxfId="60" priority="37" operator="greaterThan">
      <formula>$C51</formula>
    </cfRule>
  </conditionalFormatting>
  <conditionalFormatting sqref="D62:E63 H62:H63">
    <cfRule type="cellIs" dxfId="59" priority="36" operator="greaterThan">
      <formula>$C62</formula>
    </cfRule>
  </conditionalFormatting>
  <conditionalFormatting sqref="D65:E65 H65">
    <cfRule type="cellIs" dxfId="58" priority="35" operator="greaterThan">
      <formula>$C65</formula>
    </cfRule>
  </conditionalFormatting>
  <conditionalFormatting sqref="E12 H12">
    <cfRule type="cellIs" dxfId="57" priority="34" operator="lessThan">
      <formula>$C12</formula>
    </cfRule>
  </conditionalFormatting>
  <conditionalFormatting sqref="D77:E78">
    <cfRule type="cellIs" dxfId="56" priority="33" operator="lessThan">
      <formula>$C77</formula>
    </cfRule>
  </conditionalFormatting>
  <conditionalFormatting sqref="E77:E78 H77:H78">
    <cfRule type="cellIs" dxfId="55" priority="32" operator="lessThan">
      <formula>$C77</formula>
    </cfRule>
  </conditionalFormatting>
  <conditionalFormatting sqref="D66">
    <cfRule type="expression" dxfId="54" priority="23">
      <formula>D$66+D$67&gt;=$C$67</formula>
    </cfRule>
  </conditionalFormatting>
  <conditionalFormatting sqref="E66 H66">
    <cfRule type="expression" dxfId="53" priority="22">
      <formula>E$66+E$67&gt;=$C$67</formula>
    </cfRule>
  </conditionalFormatting>
  <conditionalFormatting sqref="D67">
    <cfRule type="expression" dxfId="52" priority="21">
      <formula>D$66+D$67&gt;=$C$67</formula>
    </cfRule>
  </conditionalFormatting>
  <conditionalFormatting sqref="E67 H67">
    <cfRule type="expression" dxfId="51" priority="20">
      <formula>E$66+E$67&gt;=$C$67</formula>
    </cfRule>
  </conditionalFormatting>
  <conditionalFormatting sqref="C63">
    <cfRule type="cellIs" dxfId="50" priority="19" operator="greaterThan">
      <formula>$C63</formula>
    </cfRule>
  </conditionalFormatting>
  <conditionalFormatting sqref="F15">
    <cfRule type="cellIs" dxfId="49" priority="18" operator="greaterThan">
      <formula>$C$15</formula>
    </cfRule>
  </conditionalFormatting>
  <conditionalFormatting sqref="F3">
    <cfRule type="cellIs" dxfId="48" priority="17" operator="greaterThan">
      <formula>$C3</formula>
    </cfRule>
  </conditionalFormatting>
  <conditionalFormatting sqref="F51">
    <cfRule type="cellIs" dxfId="47" priority="16" operator="greaterThan">
      <formula>$C51</formula>
    </cfRule>
  </conditionalFormatting>
  <conditionalFormatting sqref="F62:F63">
    <cfRule type="cellIs" dxfId="46" priority="15" operator="greaterThan">
      <formula>$C62</formula>
    </cfRule>
  </conditionalFormatting>
  <conditionalFormatting sqref="F65">
    <cfRule type="cellIs" dxfId="45" priority="14" operator="greaterThan">
      <formula>$C65</formula>
    </cfRule>
  </conditionalFormatting>
  <conditionalFormatting sqref="F12">
    <cfRule type="cellIs" dxfId="44" priority="13" operator="lessThan">
      <formula>$C12</formula>
    </cfRule>
  </conditionalFormatting>
  <conditionalFormatting sqref="F77:F78">
    <cfRule type="cellIs" dxfId="43" priority="12" operator="lessThan">
      <formula>$C77</formula>
    </cfRule>
  </conditionalFormatting>
  <conditionalFormatting sqref="F66">
    <cfRule type="expression" dxfId="42" priority="11">
      <formula>F$66+F$67&gt;=$C$67</formula>
    </cfRule>
  </conditionalFormatting>
  <conditionalFormatting sqref="F67">
    <cfRule type="expression" dxfId="41" priority="10">
      <formula>F$66+F$67&gt;=$C$67</formula>
    </cfRule>
  </conditionalFormatting>
  <conditionalFormatting sqref="G15">
    <cfRule type="cellIs" dxfId="40" priority="9" operator="greaterThan">
      <formula>$C$15</formula>
    </cfRule>
  </conditionalFormatting>
  <conditionalFormatting sqref="G3">
    <cfRule type="cellIs" dxfId="39" priority="8" operator="greaterThan">
      <formula>$C3</formula>
    </cfRule>
  </conditionalFormatting>
  <conditionalFormatting sqref="G51">
    <cfRule type="cellIs" dxfId="38" priority="7" operator="greaterThan">
      <formula>$C51</formula>
    </cfRule>
  </conditionalFormatting>
  <conditionalFormatting sqref="G62:G63">
    <cfRule type="cellIs" dxfId="37" priority="6" operator="greaterThan">
      <formula>$C62</formula>
    </cfRule>
  </conditionalFormatting>
  <conditionalFormatting sqref="G65">
    <cfRule type="cellIs" dxfId="36" priority="5" operator="greaterThan">
      <formula>$C65</formula>
    </cfRule>
  </conditionalFormatting>
  <conditionalFormatting sqref="G12">
    <cfRule type="cellIs" dxfId="35" priority="4" operator="lessThan">
      <formula>$C12</formula>
    </cfRule>
  </conditionalFormatting>
  <conditionalFormatting sqref="G77:G78">
    <cfRule type="cellIs" dxfId="34" priority="3" operator="lessThan">
      <formula>$C77</formula>
    </cfRule>
  </conditionalFormatting>
  <conditionalFormatting sqref="G66">
    <cfRule type="expression" dxfId="33" priority="2">
      <formula>G$66+G$67&gt;=$C$67</formula>
    </cfRule>
  </conditionalFormatting>
  <conditionalFormatting sqref="G67">
    <cfRule type="expression" dxfId="32" priority="1">
      <formula>G$66+G$67&gt;=$C$67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11</vt:i4>
      </vt:variant>
    </vt:vector>
  </HeadingPairs>
  <TitlesOfParts>
    <vt:vector size="11" baseType="lpstr">
      <vt:lpstr>Entrate_Uscite</vt:lpstr>
      <vt:lpstr>Tav_Entrate</vt:lpstr>
      <vt:lpstr>Tav_Uscite</vt:lpstr>
      <vt:lpstr>Tav_Saldi</vt:lpstr>
      <vt:lpstr>Risultato_amministrazione</vt:lpstr>
      <vt:lpstr>Conto_economico</vt:lpstr>
      <vt:lpstr>Tav_contoeconomico</vt:lpstr>
      <vt:lpstr>Stato_patrimoniale</vt:lpstr>
      <vt:lpstr>Piano_indicatori</vt:lpstr>
      <vt:lpstr>Tav_indicatori</vt:lpstr>
      <vt:lpstr>Popolazione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franco</dc:creator>
  <cp:lastModifiedBy>Franco</cp:lastModifiedBy>
  <dcterms:created xsi:type="dcterms:W3CDTF">2019-02-06T21:02:13Z</dcterms:created>
  <dcterms:modified xsi:type="dcterms:W3CDTF">2022-06-13T18:20:12Z</dcterms:modified>
</cp:coreProperties>
</file>