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ilanci\rendiconti\Regioni\"/>
    </mc:Choice>
  </mc:AlternateContent>
  <bookViews>
    <workbookView xWindow="240" yWindow="48" windowWidth="20112" windowHeight="7992" firstSheet="5" activeTab="9"/>
  </bookViews>
  <sheets>
    <sheet name="Entrate_Uscite" sheetId="2" r:id="rId1"/>
    <sheet name="Tav_Entrate" sheetId="7" r:id="rId2"/>
    <sheet name="Tav_Uscite" sheetId="8" r:id="rId3"/>
    <sheet name="Tav_Saldi" sheetId="9" r:id="rId4"/>
    <sheet name="Risultato_amministrazione" sheetId="1" r:id="rId5"/>
    <sheet name="Conto_economico" sheetId="6" r:id="rId6"/>
    <sheet name="Tav_contoeconomico" sheetId="10" r:id="rId7"/>
    <sheet name="Stato_patrimoniale" sheetId="5" r:id="rId8"/>
    <sheet name="Piano_indicatori" sheetId="4" r:id="rId9"/>
    <sheet name="Tav_indicatori" sheetId="12" r:id="rId10"/>
    <sheet name="Popolazione" sheetId="13" r:id="rId11"/>
  </sheets>
  <calcPr calcId="152511"/>
</workbook>
</file>

<file path=xl/calcChain.xml><?xml version="1.0" encoding="utf-8"?>
<calcChain xmlns="http://schemas.openxmlformats.org/spreadsheetml/2006/main">
  <c r="H9" i="12" l="1"/>
  <c r="H8" i="12"/>
  <c r="H7" i="12"/>
  <c r="H6" i="12"/>
  <c r="H5" i="12"/>
  <c r="H4" i="12"/>
  <c r="H3" i="12"/>
  <c r="H2" i="12"/>
  <c r="G6" i="9"/>
  <c r="G5" i="9"/>
  <c r="G4" i="9"/>
  <c r="G3" i="9"/>
  <c r="G2" i="9"/>
  <c r="E6" i="9"/>
  <c r="E5" i="9"/>
  <c r="E4" i="9"/>
  <c r="E3" i="9"/>
  <c r="E2" i="9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H4" i="8"/>
  <c r="H3" i="8"/>
  <c r="H2" i="8"/>
  <c r="E29" i="8"/>
  <c r="E28" i="8"/>
  <c r="E26" i="8"/>
  <c r="E25" i="8"/>
  <c r="E24" i="8"/>
  <c r="E23" i="8"/>
  <c r="E22" i="8"/>
  <c r="E19" i="8"/>
  <c r="E18" i="8"/>
  <c r="E17" i="8"/>
  <c r="E16" i="8"/>
  <c r="E14" i="8"/>
  <c r="E13" i="8"/>
  <c r="E12" i="8"/>
  <c r="E11" i="8"/>
  <c r="E15" i="8" s="1"/>
  <c r="E9" i="8"/>
  <c r="E8" i="8"/>
  <c r="E7" i="8"/>
  <c r="E6" i="8"/>
  <c r="E5" i="8"/>
  <c r="E4" i="8"/>
  <c r="E3" i="8"/>
  <c r="E2" i="8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H3" i="7"/>
  <c r="H2" i="7"/>
  <c r="E19" i="7"/>
  <c r="E18" i="7"/>
  <c r="E17" i="7"/>
  <c r="E14" i="7"/>
  <c r="E13" i="7"/>
  <c r="E12" i="7"/>
  <c r="E10" i="7"/>
  <c r="E9" i="7"/>
  <c r="E8" i="7"/>
  <c r="E7" i="7"/>
  <c r="E6" i="7"/>
  <c r="E4" i="7"/>
  <c r="E3" i="7"/>
  <c r="E2" i="7"/>
  <c r="N55" i="2"/>
  <c r="O54" i="2"/>
  <c r="N54" i="2"/>
  <c r="O53" i="2"/>
  <c r="R53" i="2" s="1"/>
  <c r="N53" i="2"/>
  <c r="O52" i="2"/>
  <c r="N52" i="2"/>
  <c r="O51" i="2"/>
  <c r="N51" i="2"/>
  <c r="O50" i="2"/>
  <c r="N50" i="2"/>
  <c r="Q50" i="2" s="1"/>
  <c r="O15" i="2"/>
  <c r="R15" i="2" s="1"/>
  <c r="N15" i="2"/>
  <c r="Q15" i="2" s="1"/>
  <c r="O14" i="2"/>
  <c r="N14" i="2"/>
  <c r="O12" i="2"/>
  <c r="O16" i="2" s="1"/>
  <c r="R16" i="2" s="1"/>
  <c r="N12" i="2"/>
  <c r="N16" i="2" s="1"/>
  <c r="Q16" i="2" s="1"/>
  <c r="R59" i="2"/>
  <c r="Q59" i="2"/>
  <c r="R55" i="2"/>
  <c r="Q55" i="2"/>
  <c r="R54" i="2"/>
  <c r="Q54" i="2"/>
  <c r="Q53" i="2"/>
  <c r="R52" i="2"/>
  <c r="Q52" i="2"/>
  <c r="R51" i="2"/>
  <c r="Q51" i="2"/>
  <c r="R50" i="2"/>
  <c r="R49" i="2"/>
  <c r="Q49" i="2"/>
  <c r="R48" i="2"/>
  <c r="Q48" i="2"/>
  <c r="R47" i="2"/>
  <c r="Q47" i="2"/>
  <c r="R46" i="2"/>
  <c r="Q46" i="2"/>
  <c r="R45" i="2"/>
  <c r="Q45" i="2"/>
  <c r="R44" i="2"/>
  <c r="Q44" i="2"/>
  <c r="R43" i="2"/>
  <c r="Q43" i="2"/>
  <c r="R42" i="2"/>
  <c r="Q42" i="2"/>
  <c r="R41" i="2"/>
  <c r="Q41" i="2"/>
  <c r="R40" i="2"/>
  <c r="Q40" i="2"/>
  <c r="R39" i="2"/>
  <c r="Q39" i="2"/>
  <c r="R38" i="2"/>
  <c r="Q38" i="2"/>
  <c r="R37" i="2"/>
  <c r="Q37" i="2"/>
  <c r="R36" i="2"/>
  <c r="Q36" i="2"/>
  <c r="R35" i="2"/>
  <c r="Q35" i="2"/>
  <c r="R34" i="2"/>
  <c r="Q34" i="2"/>
  <c r="R33" i="2"/>
  <c r="Q33" i="2"/>
  <c r="R32" i="2"/>
  <c r="Q32" i="2"/>
  <c r="R31" i="2"/>
  <c r="Q31" i="2"/>
  <c r="R30" i="2"/>
  <c r="Q30" i="2"/>
  <c r="R29" i="2"/>
  <c r="Q29" i="2"/>
  <c r="R28" i="2"/>
  <c r="Q28" i="2"/>
  <c r="R27" i="2"/>
  <c r="Q27" i="2"/>
  <c r="R26" i="2"/>
  <c r="Q26" i="2"/>
  <c r="R25" i="2"/>
  <c r="Q25" i="2"/>
  <c r="R24" i="2"/>
  <c r="Q24" i="2"/>
  <c r="R23" i="2"/>
  <c r="Q23" i="2"/>
  <c r="R19" i="2"/>
  <c r="Q19" i="2"/>
  <c r="R18" i="2"/>
  <c r="Q18" i="2"/>
  <c r="R17" i="2"/>
  <c r="Q17" i="2"/>
  <c r="Q14" i="2"/>
  <c r="R13" i="2"/>
  <c r="Q13" i="2"/>
  <c r="R12" i="2"/>
  <c r="Q12" i="2"/>
  <c r="R11" i="2"/>
  <c r="Q11" i="2"/>
  <c r="R10" i="2"/>
  <c r="Q10" i="2"/>
  <c r="R9" i="2"/>
  <c r="Q9" i="2"/>
  <c r="R8" i="2"/>
  <c r="Q8" i="2"/>
  <c r="R7" i="2"/>
  <c r="Q7" i="2"/>
  <c r="R6" i="2"/>
  <c r="Q6" i="2"/>
  <c r="R5" i="2"/>
  <c r="Q5" i="2"/>
  <c r="R4" i="2"/>
  <c r="Q4" i="2"/>
  <c r="R3" i="2"/>
  <c r="Q3" i="2"/>
  <c r="E27" i="8" l="1"/>
  <c r="E10" i="8"/>
  <c r="E20" i="8"/>
  <c r="E30" i="8"/>
  <c r="E31" i="8" s="1"/>
  <c r="E21" i="8"/>
  <c r="E5" i="7"/>
  <c r="E15" i="7"/>
  <c r="E11" i="7"/>
  <c r="E20" i="7"/>
  <c r="E21" i="7" s="1"/>
  <c r="E16" i="7"/>
  <c r="O20" i="2"/>
  <c r="R14" i="2"/>
  <c r="N20" i="2"/>
  <c r="N21" i="2" l="1"/>
  <c r="Q21" i="2" s="1"/>
  <c r="Q20" i="2"/>
  <c r="O21" i="2"/>
  <c r="R21" i="2" s="1"/>
  <c r="R20" i="2"/>
  <c r="K59" i="2" l="1"/>
  <c r="K55" i="2"/>
  <c r="M55" i="2" s="1"/>
  <c r="L54" i="2"/>
  <c r="K54" i="2"/>
  <c r="M54" i="2" s="1"/>
  <c r="L53" i="2"/>
  <c r="K53" i="2"/>
  <c r="K56" i="2" s="1"/>
  <c r="L52" i="2"/>
  <c r="K52" i="2"/>
  <c r="M52" i="2" s="1"/>
  <c r="M51" i="2"/>
  <c r="L51" i="2"/>
  <c r="K51" i="2"/>
  <c r="L50" i="2"/>
  <c r="L63" i="2" s="1"/>
  <c r="K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6" i="2"/>
  <c r="M25" i="2"/>
  <c r="M24" i="2"/>
  <c r="M23" i="2"/>
  <c r="M19" i="2"/>
  <c r="M18" i="2"/>
  <c r="M17" i="2"/>
  <c r="L15" i="2"/>
  <c r="M15" i="2" s="1"/>
  <c r="K15" i="2"/>
  <c r="L14" i="2"/>
  <c r="L58" i="2" s="1"/>
  <c r="K14" i="2"/>
  <c r="M14" i="2" s="1"/>
  <c r="M13" i="2"/>
  <c r="L12" i="2"/>
  <c r="L16" i="2" s="1"/>
  <c r="K12" i="2"/>
  <c r="K16" i="2" s="1"/>
  <c r="M11" i="2"/>
  <c r="M10" i="2"/>
  <c r="M9" i="2"/>
  <c r="M8" i="2"/>
  <c r="M7" i="2"/>
  <c r="M6" i="2"/>
  <c r="M5" i="2"/>
  <c r="M4" i="2"/>
  <c r="M3" i="2"/>
  <c r="F25" i="5"/>
  <c r="F22" i="5"/>
  <c r="F24" i="5"/>
  <c r="F20" i="5"/>
  <c r="F19" i="5"/>
  <c r="F6" i="5"/>
  <c r="F5" i="5"/>
  <c r="E28" i="5"/>
  <c r="E25" i="5"/>
  <c r="E22" i="5"/>
  <c r="E20" i="5"/>
  <c r="E27" i="5" s="1"/>
  <c r="E29" i="5" s="1"/>
  <c r="E6" i="5"/>
  <c r="E5" i="5"/>
  <c r="E15" i="5" s="1"/>
  <c r="F15" i="10"/>
  <c r="F14" i="10"/>
  <c r="F13" i="10"/>
  <c r="F12" i="10"/>
  <c r="F11" i="10"/>
  <c r="F10" i="10"/>
  <c r="F9" i="10"/>
  <c r="F8" i="10"/>
  <c r="F7" i="10"/>
  <c r="F6" i="10"/>
  <c r="F5" i="10"/>
  <c r="F4" i="10"/>
  <c r="F3" i="10"/>
  <c r="F2" i="10"/>
  <c r="D14" i="10"/>
  <c r="D12" i="10"/>
  <c r="D11" i="10"/>
  <c r="D10" i="10"/>
  <c r="D9" i="10"/>
  <c r="D13" i="10" s="1"/>
  <c r="D15" i="10" s="1"/>
  <c r="D8" i="10"/>
  <c r="D7" i="10"/>
  <c r="D6" i="10"/>
  <c r="D5" i="10"/>
  <c r="D4" i="10"/>
  <c r="D3" i="10"/>
  <c r="D2" i="10"/>
  <c r="G27" i="6"/>
  <c r="G26" i="6"/>
  <c r="G25" i="6"/>
  <c r="G24" i="6"/>
  <c r="G23" i="6"/>
  <c r="G22" i="6"/>
  <c r="G20" i="6"/>
  <c r="G19" i="6"/>
  <c r="G18" i="6"/>
  <c r="G17" i="6"/>
  <c r="G16" i="6"/>
  <c r="G15" i="6"/>
  <c r="G14" i="6"/>
  <c r="G13" i="6"/>
  <c r="G12" i="6"/>
  <c r="G11" i="6"/>
  <c r="G9" i="6"/>
  <c r="G8" i="6"/>
  <c r="G7" i="6"/>
  <c r="G6" i="6"/>
  <c r="G5" i="6"/>
  <c r="G4" i="6"/>
  <c r="G3" i="6"/>
  <c r="G2" i="6"/>
  <c r="E28" i="6"/>
  <c r="E21" i="6"/>
  <c r="E10" i="6"/>
  <c r="E52" i="1"/>
  <c r="E24" i="1"/>
  <c r="E20" i="1"/>
  <c r="E14" i="1"/>
  <c r="E7" i="1"/>
  <c r="E22" i="1" s="1"/>
  <c r="F3" i="13"/>
  <c r="C2" i="13"/>
  <c r="K20" i="2" l="1"/>
  <c r="M16" i="2"/>
  <c r="K57" i="2"/>
  <c r="M57" i="2" s="1"/>
  <c r="M56" i="2"/>
  <c r="L20" i="2"/>
  <c r="L21" i="2" s="1"/>
  <c r="L61" i="2" s="1"/>
  <c r="L59" i="2"/>
  <c r="M12" i="2"/>
  <c r="M53" i="2"/>
  <c r="K60" i="2"/>
  <c r="L56" i="2"/>
  <c r="L57" i="2" s="1"/>
  <c r="L60" i="2"/>
  <c r="M50" i="2"/>
  <c r="K58" i="2"/>
  <c r="L62" i="2"/>
  <c r="F5" i="13"/>
  <c r="G9" i="12"/>
  <c r="G8" i="12"/>
  <c r="G7" i="12"/>
  <c r="G6" i="12"/>
  <c r="G5" i="12"/>
  <c r="G4" i="12"/>
  <c r="G3" i="12"/>
  <c r="G2" i="12"/>
  <c r="D26" i="8"/>
  <c r="D25" i="8"/>
  <c r="D24" i="8"/>
  <c r="D23" i="8"/>
  <c r="D22" i="8"/>
  <c r="D19" i="8"/>
  <c r="D18" i="8"/>
  <c r="D17" i="8"/>
  <c r="D16" i="8"/>
  <c r="D14" i="8"/>
  <c r="D13" i="8"/>
  <c r="D12" i="8"/>
  <c r="D11" i="8"/>
  <c r="D9" i="8"/>
  <c r="D8" i="8"/>
  <c r="D7" i="8"/>
  <c r="D6" i="8"/>
  <c r="D5" i="8"/>
  <c r="D4" i="8"/>
  <c r="D3" i="8"/>
  <c r="D2" i="8"/>
  <c r="D19" i="7"/>
  <c r="D18" i="7"/>
  <c r="D17" i="7"/>
  <c r="D14" i="7"/>
  <c r="D12" i="7"/>
  <c r="D10" i="7"/>
  <c r="D9" i="7"/>
  <c r="D8" i="7"/>
  <c r="D7" i="7"/>
  <c r="D6" i="7"/>
  <c r="D4" i="7"/>
  <c r="D3" i="7"/>
  <c r="D2" i="7"/>
  <c r="K21" i="2" l="1"/>
  <c r="M20" i="2"/>
  <c r="D5" i="7"/>
  <c r="D10" i="8"/>
  <c r="D15" i="8"/>
  <c r="D20" i="8"/>
  <c r="D27" i="8"/>
  <c r="D11" i="7"/>
  <c r="M21" i="2" l="1"/>
  <c r="K61" i="2"/>
  <c r="D21" i="8"/>
  <c r="N59" i="2" l="1"/>
  <c r="F3" i="9" s="1"/>
  <c r="H55" i="2"/>
  <c r="I54" i="2"/>
  <c r="H54" i="2"/>
  <c r="J54" i="2" s="1"/>
  <c r="I53" i="2"/>
  <c r="H53" i="2"/>
  <c r="I52" i="2"/>
  <c r="H52" i="2"/>
  <c r="I51" i="2"/>
  <c r="H51" i="2"/>
  <c r="I50" i="2"/>
  <c r="H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6" i="2"/>
  <c r="J25" i="2"/>
  <c r="J24" i="2"/>
  <c r="J23" i="2"/>
  <c r="J19" i="2"/>
  <c r="J18" i="2"/>
  <c r="J17" i="2"/>
  <c r="I15" i="2"/>
  <c r="H15" i="2"/>
  <c r="I14" i="2"/>
  <c r="H14" i="2"/>
  <c r="J13" i="2"/>
  <c r="I12" i="2"/>
  <c r="H12" i="2"/>
  <c r="J11" i="2"/>
  <c r="J10" i="2"/>
  <c r="J9" i="2"/>
  <c r="J8" i="2"/>
  <c r="J7" i="2"/>
  <c r="J6" i="2"/>
  <c r="J5" i="2"/>
  <c r="J4" i="2"/>
  <c r="J3" i="2"/>
  <c r="F28" i="5"/>
  <c r="E14" i="10"/>
  <c r="E12" i="10"/>
  <c r="E11" i="10"/>
  <c r="E10" i="10"/>
  <c r="E8" i="10"/>
  <c r="E7" i="10"/>
  <c r="E6" i="10"/>
  <c r="E4" i="10"/>
  <c r="E3" i="10"/>
  <c r="F21" i="6"/>
  <c r="F10" i="6"/>
  <c r="F52" i="1"/>
  <c r="F24" i="1"/>
  <c r="F20" i="1"/>
  <c r="F14" i="1"/>
  <c r="F7" i="1"/>
  <c r="F4" i="13"/>
  <c r="C3" i="13"/>
  <c r="D52" i="1"/>
  <c r="C52" i="1"/>
  <c r="B52" i="1"/>
  <c r="D24" i="1"/>
  <c r="C24" i="1"/>
  <c r="B24" i="1"/>
  <c r="F8" i="13"/>
  <c r="F7" i="13"/>
  <c r="C7" i="13"/>
  <c r="F6" i="13"/>
  <c r="C6" i="13"/>
  <c r="C5" i="13"/>
  <c r="C4" i="13"/>
  <c r="E55" i="2"/>
  <c r="F54" i="2"/>
  <c r="E54" i="2"/>
  <c r="F53" i="2"/>
  <c r="E53" i="2"/>
  <c r="F52" i="2"/>
  <c r="E52" i="2"/>
  <c r="F51" i="2"/>
  <c r="E51" i="2"/>
  <c r="F50" i="2"/>
  <c r="E50" i="2"/>
  <c r="F15" i="2"/>
  <c r="E15" i="2"/>
  <c r="F14" i="2"/>
  <c r="E14" i="2"/>
  <c r="F12" i="2"/>
  <c r="F16" i="2" s="1"/>
  <c r="E12" i="2"/>
  <c r="E16" i="2" s="1"/>
  <c r="C4" i="9" s="1"/>
  <c r="E5" i="10" l="1"/>
  <c r="G21" i="6"/>
  <c r="E2" i="10"/>
  <c r="G10" i="6"/>
  <c r="F63" i="2"/>
  <c r="F20" i="2"/>
  <c r="F21" i="2" s="1"/>
  <c r="F60" i="2"/>
  <c r="F58" i="2"/>
  <c r="F62" i="2"/>
  <c r="E20" i="2"/>
  <c r="E21" i="2" s="1"/>
  <c r="E58" i="2"/>
  <c r="C2" i="9" s="1"/>
  <c r="E60" i="2"/>
  <c r="C5" i="9" s="1"/>
  <c r="J53" i="2"/>
  <c r="O59" i="2"/>
  <c r="H3" i="9" s="1"/>
  <c r="D13" i="7"/>
  <c r="O62" i="2"/>
  <c r="O60" i="2"/>
  <c r="R60" i="2" s="1"/>
  <c r="O58" i="2"/>
  <c r="H5" i="9"/>
  <c r="I16" i="2"/>
  <c r="J50" i="2"/>
  <c r="E59" i="2"/>
  <c r="C3" i="9" s="1"/>
  <c r="J12" i="2"/>
  <c r="H58" i="2"/>
  <c r="J52" i="2"/>
  <c r="J55" i="2"/>
  <c r="D29" i="8"/>
  <c r="O63" i="2"/>
  <c r="I59" i="2"/>
  <c r="D28" i="8"/>
  <c r="F59" i="2"/>
  <c r="I58" i="2"/>
  <c r="I56" i="2"/>
  <c r="F4" i="9"/>
  <c r="H59" i="2"/>
  <c r="N60" i="2"/>
  <c r="N58" i="2"/>
  <c r="I63" i="2"/>
  <c r="J15" i="2"/>
  <c r="H16" i="2"/>
  <c r="H60" i="2" s="1"/>
  <c r="H56" i="2"/>
  <c r="J14" i="2"/>
  <c r="H4" i="9"/>
  <c r="J51" i="2"/>
  <c r="F27" i="5"/>
  <c r="F29" i="5" s="1"/>
  <c r="F15" i="5"/>
  <c r="F28" i="6"/>
  <c r="G28" i="6" s="1"/>
  <c r="F22" i="1"/>
  <c r="B55" i="2"/>
  <c r="C54" i="2"/>
  <c r="B54" i="2"/>
  <c r="B53" i="2"/>
  <c r="C52" i="2"/>
  <c r="B52" i="2"/>
  <c r="C51" i="2"/>
  <c r="B51" i="2"/>
  <c r="C50" i="2"/>
  <c r="B50" i="2"/>
  <c r="C15" i="2"/>
  <c r="B15" i="2"/>
  <c r="C14" i="2"/>
  <c r="B14" i="2"/>
  <c r="C12" i="2"/>
  <c r="C16" i="2" s="1"/>
  <c r="B12" i="2"/>
  <c r="B16" i="2" s="1"/>
  <c r="B4" i="9" s="1"/>
  <c r="F2" i="9" l="1"/>
  <c r="Q58" i="2"/>
  <c r="F5" i="9"/>
  <c r="Q60" i="2"/>
  <c r="H2" i="9"/>
  <c r="R58" i="2"/>
  <c r="H20" i="2"/>
  <c r="E9" i="10"/>
  <c r="B59" i="2"/>
  <c r="B3" i="9" s="1"/>
  <c r="C59" i="2"/>
  <c r="I62" i="2"/>
  <c r="C63" i="2"/>
  <c r="I20" i="2"/>
  <c r="J20" i="2" s="1"/>
  <c r="I60" i="2"/>
  <c r="D2" i="9"/>
  <c r="E13" i="10"/>
  <c r="D3" i="9"/>
  <c r="J16" i="2"/>
  <c r="J56" i="2"/>
  <c r="D4" i="9"/>
  <c r="D30" i="8"/>
  <c r="D5" i="9"/>
  <c r="B60" i="2"/>
  <c r="B5" i="9" s="1"/>
  <c r="B58" i="2"/>
  <c r="B2" i="9" s="1"/>
  <c r="H57" i="2"/>
  <c r="D15" i="7"/>
  <c r="C20" i="2"/>
  <c r="C21" i="2" s="1"/>
  <c r="C60" i="2"/>
  <c r="C58" i="2"/>
  <c r="C62" i="2"/>
  <c r="I57" i="2"/>
  <c r="H21" i="2"/>
  <c r="B20" i="2"/>
  <c r="B21" i="2" s="1"/>
  <c r="D20" i="7" l="1"/>
  <c r="D16" i="7"/>
  <c r="H61" i="2"/>
  <c r="D6" i="9" s="1"/>
  <c r="D31" i="8"/>
  <c r="J57" i="2"/>
  <c r="I21" i="2"/>
  <c r="E15" i="10"/>
  <c r="B25" i="5"/>
  <c r="B22" i="5"/>
  <c r="B20" i="5"/>
  <c r="B6" i="5"/>
  <c r="B5" i="5"/>
  <c r="B7" i="1"/>
  <c r="B14" i="1"/>
  <c r="B20" i="1"/>
  <c r="D21" i="7" l="1"/>
  <c r="I61" i="2"/>
  <c r="J21" i="2"/>
  <c r="B27" i="5"/>
  <c r="D5" i="5"/>
  <c r="D20" i="5"/>
  <c r="D25" i="5"/>
  <c r="C25" i="5"/>
  <c r="C24" i="5"/>
  <c r="C22" i="5" s="1"/>
  <c r="C20" i="5"/>
  <c r="D22" i="5"/>
  <c r="C6" i="5"/>
  <c r="C5" i="5"/>
  <c r="D6" i="5"/>
  <c r="D27" i="5" l="1"/>
  <c r="C27" i="5"/>
  <c r="B15" i="5"/>
  <c r="C15" i="5"/>
  <c r="D15" i="5"/>
  <c r="C7" i="1" l="1"/>
  <c r="B28" i="5"/>
  <c r="D7" i="1"/>
  <c r="F56" i="2"/>
  <c r="F57" i="2" s="1"/>
  <c r="F61" i="2" s="1"/>
  <c r="E56" i="2"/>
  <c r="E57" i="2" s="1"/>
  <c r="E61" i="2" s="1"/>
  <c r="C6" i="9" s="1"/>
  <c r="C21" i="6" l="1"/>
  <c r="D21" i="6"/>
  <c r="D10" i="6"/>
  <c r="C10" i="6"/>
  <c r="C20" i="1" l="1"/>
  <c r="D20" i="1"/>
  <c r="C14" i="1"/>
  <c r="D14" i="1"/>
  <c r="D28" i="5" l="1"/>
  <c r="C28" i="5"/>
  <c r="C28" i="6"/>
  <c r="D28" i="6"/>
  <c r="D29" i="5" l="1"/>
  <c r="B22" i="1"/>
  <c r="C22" i="1"/>
  <c r="D22" i="1"/>
  <c r="B6" i="10" l="1"/>
  <c r="C6" i="10"/>
  <c r="B7" i="10"/>
  <c r="C7" i="10"/>
  <c r="B8" i="10"/>
  <c r="C8" i="10"/>
  <c r="B3" i="10"/>
  <c r="C3" i="10"/>
  <c r="B4" i="10"/>
  <c r="C4" i="10"/>
  <c r="I6" i="12" l="1"/>
  <c r="F2" i="12"/>
  <c r="I2" i="12"/>
  <c r="F3" i="12"/>
  <c r="I3" i="12"/>
  <c r="F4" i="12"/>
  <c r="I4" i="12"/>
  <c r="F5" i="12"/>
  <c r="I5" i="12"/>
  <c r="F6" i="12"/>
  <c r="F7" i="12"/>
  <c r="I7" i="12"/>
  <c r="F8" i="12"/>
  <c r="I8" i="12"/>
  <c r="F9" i="12"/>
  <c r="I9" i="12"/>
  <c r="E9" i="12"/>
  <c r="E8" i="12"/>
  <c r="E7" i="12"/>
  <c r="E6" i="12"/>
  <c r="E5" i="12"/>
  <c r="E4" i="12"/>
  <c r="E3" i="12"/>
  <c r="E2" i="12"/>
  <c r="B10" i="10"/>
  <c r="C10" i="10"/>
  <c r="B11" i="10"/>
  <c r="C11" i="10"/>
  <c r="B12" i="10"/>
  <c r="C12" i="10"/>
  <c r="B14" i="10"/>
  <c r="C14" i="10"/>
  <c r="I2" i="8" l="1"/>
  <c r="I3" i="8"/>
  <c r="I4" i="8"/>
  <c r="I5" i="8"/>
  <c r="I6" i="8"/>
  <c r="I7" i="8"/>
  <c r="I8" i="8"/>
  <c r="I9" i="8"/>
  <c r="I11" i="8"/>
  <c r="I12" i="8"/>
  <c r="I13" i="8"/>
  <c r="I14" i="8"/>
  <c r="I16" i="8"/>
  <c r="I17" i="8"/>
  <c r="I18" i="8"/>
  <c r="I19" i="8"/>
  <c r="I22" i="8"/>
  <c r="I23" i="8"/>
  <c r="I24" i="8"/>
  <c r="I25" i="8"/>
  <c r="I26" i="8"/>
  <c r="I29" i="8"/>
  <c r="F26" i="8"/>
  <c r="J26" i="8" s="1"/>
  <c r="F25" i="8"/>
  <c r="J25" i="8" s="1"/>
  <c r="F24" i="8"/>
  <c r="F23" i="8"/>
  <c r="F22" i="8"/>
  <c r="F19" i="8"/>
  <c r="F18" i="8"/>
  <c r="F17" i="8"/>
  <c r="F16" i="8"/>
  <c r="F14" i="8"/>
  <c r="F13" i="8"/>
  <c r="F12" i="8"/>
  <c r="F11" i="8"/>
  <c r="F9" i="8"/>
  <c r="F8" i="8"/>
  <c r="F7" i="8"/>
  <c r="F6" i="8"/>
  <c r="F5" i="8"/>
  <c r="F4" i="8"/>
  <c r="F3" i="8"/>
  <c r="F2" i="8"/>
  <c r="C29" i="8"/>
  <c r="C28" i="8"/>
  <c r="C26" i="8"/>
  <c r="C25" i="8"/>
  <c r="C24" i="8"/>
  <c r="C23" i="8"/>
  <c r="C22" i="8"/>
  <c r="C19" i="8"/>
  <c r="C18" i="8"/>
  <c r="C17" i="8"/>
  <c r="C16" i="8"/>
  <c r="C14" i="8"/>
  <c r="C13" i="8"/>
  <c r="C12" i="8"/>
  <c r="C11" i="8"/>
  <c r="C9" i="8"/>
  <c r="C8" i="8"/>
  <c r="C7" i="8"/>
  <c r="C6" i="8"/>
  <c r="C5" i="8"/>
  <c r="C4" i="8"/>
  <c r="C3" i="8"/>
  <c r="C2" i="8"/>
  <c r="B12" i="8"/>
  <c r="B13" i="8"/>
  <c r="B14" i="8"/>
  <c r="B29" i="8"/>
  <c r="B28" i="8"/>
  <c r="B23" i="8"/>
  <c r="B24" i="8"/>
  <c r="B25" i="8"/>
  <c r="B26" i="8"/>
  <c r="B22" i="8"/>
  <c r="B17" i="8"/>
  <c r="B18" i="8"/>
  <c r="B19" i="8"/>
  <c r="B16" i="8"/>
  <c r="B11" i="8"/>
  <c r="B3" i="8"/>
  <c r="B4" i="8"/>
  <c r="B5" i="8"/>
  <c r="B6" i="8"/>
  <c r="B7" i="8"/>
  <c r="B8" i="8"/>
  <c r="B9" i="8"/>
  <c r="B2" i="8"/>
  <c r="I2" i="7"/>
  <c r="I3" i="7"/>
  <c r="I4" i="7"/>
  <c r="I6" i="7"/>
  <c r="I7" i="7"/>
  <c r="I8" i="7"/>
  <c r="I9" i="7"/>
  <c r="I10" i="7"/>
  <c r="I12" i="7"/>
  <c r="I13" i="7"/>
  <c r="I14" i="7"/>
  <c r="I17" i="7"/>
  <c r="I18" i="7"/>
  <c r="I19" i="7"/>
  <c r="F19" i="7"/>
  <c r="F18" i="7"/>
  <c r="F17" i="7"/>
  <c r="F14" i="7"/>
  <c r="F13" i="7"/>
  <c r="F12" i="7"/>
  <c r="F10" i="7"/>
  <c r="F9" i="7"/>
  <c r="F8" i="7"/>
  <c r="F7" i="7"/>
  <c r="F6" i="7"/>
  <c r="F4" i="7"/>
  <c r="F3" i="7"/>
  <c r="F2" i="7"/>
  <c r="C19" i="7"/>
  <c r="C18" i="7"/>
  <c r="C17" i="7"/>
  <c r="C14" i="7"/>
  <c r="C13" i="7"/>
  <c r="C12" i="7"/>
  <c r="C10" i="7"/>
  <c r="C9" i="7"/>
  <c r="C8" i="7"/>
  <c r="C7" i="7"/>
  <c r="C6" i="7"/>
  <c r="C4" i="7"/>
  <c r="C3" i="7"/>
  <c r="C2" i="7"/>
  <c r="B18" i="7"/>
  <c r="B19" i="7"/>
  <c r="B17" i="7"/>
  <c r="B13" i="7"/>
  <c r="B14" i="7"/>
  <c r="B12" i="7"/>
  <c r="B7" i="7"/>
  <c r="B8" i="7"/>
  <c r="B9" i="7"/>
  <c r="B10" i="7"/>
  <c r="B6" i="7"/>
  <c r="B3" i="7"/>
  <c r="B4" i="7"/>
  <c r="B2" i="7"/>
  <c r="J5" i="8" l="1"/>
  <c r="J7" i="8"/>
  <c r="J17" i="8"/>
  <c r="J9" i="8"/>
  <c r="J19" i="8"/>
  <c r="J13" i="8"/>
  <c r="J8" i="7"/>
  <c r="J13" i="7"/>
  <c r="J6" i="7"/>
  <c r="J18" i="8"/>
  <c r="J6" i="8"/>
  <c r="J22" i="8"/>
  <c r="I20" i="8"/>
  <c r="J10" i="7"/>
  <c r="J9" i="7"/>
  <c r="J19" i="7"/>
  <c r="I11" i="7"/>
  <c r="F15" i="8"/>
  <c r="J23" i="8"/>
  <c r="B5" i="7"/>
  <c r="J4" i="8"/>
  <c r="J8" i="8"/>
  <c r="J24" i="8"/>
  <c r="I15" i="7"/>
  <c r="J14" i="7"/>
  <c r="B11" i="7"/>
  <c r="J4" i="7"/>
  <c r="B27" i="8"/>
  <c r="B15" i="7"/>
  <c r="F27" i="8"/>
  <c r="I27" i="8"/>
  <c r="I15" i="8"/>
  <c r="C27" i="8"/>
  <c r="I10" i="8"/>
  <c r="F10" i="8"/>
  <c r="F20" i="8"/>
  <c r="C10" i="8"/>
  <c r="C15" i="8"/>
  <c r="C20" i="8"/>
  <c r="J14" i="8"/>
  <c r="J3" i="8"/>
  <c r="J12" i="8"/>
  <c r="B20" i="8"/>
  <c r="B15" i="8"/>
  <c r="B10" i="8"/>
  <c r="J2" i="8"/>
  <c r="J11" i="8"/>
  <c r="J16" i="8"/>
  <c r="J2" i="7"/>
  <c r="I5" i="7"/>
  <c r="J17" i="7"/>
  <c r="C15" i="7"/>
  <c r="C11" i="7"/>
  <c r="J7" i="7"/>
  <c r="J12" i="7"/>
  <c r="J18" i="7"/>
  <c r="F11" i="7"/>
  <c r="F5" i="7"/>
  <c r="F15" i="7"/>
  <c r="J3" i="7"/>
  <c r="C5" i="7"/>
  <c r="F21" i="8" l="1"/>
  <c r="B21" i="8"/>
  <c r="C21" i="8"/>
  <c r="I21" i="8"/>
  <c r="C16" i="7"/>
  <c r="I16" i="7"/>
  <c r="F16" i="7"/>
  <c r="B16" i="7"/>
  <c r="B20" i="7"/>
  <c r="B21" i="7" s="1"/>
  <c r="I20" i="7"/>
  <c r="I21" i="7" s="1"/>
  <c r="J11" i="7"/>
  <c r="J20" i="8"/>
  <c r="J15" i="7"/>
  <c r="C30" i="8"/>
  <c r="C31" i="8" s="1"/>
  <c r="J27" i="8"/>
  <c r="B30" i="8"/>
  <c r="B31" i="8" s="1"/>
  <c r="J15" i="8"/>
  <c r="J10" i="8"/>
  <c r="C20" i="7"/>
  <c r="C21" i="7" s="1"/>
  <c r="F20" i="7"/>
  <c r="J5" i="7"/>
  <c r="F21" i="7" l="1"/>
  <c r="J21" i="8"/>
  <c r="G16" i="7"/>
  <c r="J16" i="7"/>
  <c r="G21" i="7"/>
  <c r="G3" i="7"/>
  <c r="G7" i="7"/>
  <c r="G2" i="7"/>
  <c r="G8" i="7"/>
  <c r="G17" i="7"/>
  <c r="G18" i="7"/>
  <c r="G13" i="7"/>
  <c r="G10" i="7"/>
  <c r="G6" i="7"/>
  <c r="G14" i="7"/>
  <c r="G12" i="7"/>
  <c r="G9" i="7"/>
  <c r="G4" i="7"/>
  <c r="G15" i="7"/>
  <c r="G5" i="7"/>
  <c r="J20" i="7"/>
  <c r="J21" i="7"/>
  <c r="I28" i="8"/>
  <c r="I30" i="8" s="1"/>
  <c r="I31" i="8" s="1"/>
  <c r="G11" i="7" l="1"/>
  <c r="B5" i="10"/>
  <c r="C5" i="10"/>
  <c r="B2" i="10"/>
  <c r="C2" i="10"/>
  <c r="B9" i="10" l="1"/>
  <c r="B13" i="10" s="1"/>
  <c r="B15" i="10" s="1"/>
  <c r="C9" i="10"/>
  <c r="C13" i="10" l="1"/>
  <c r="C15" i="10" l="1"/>
  <c r="P49" i="2" l="1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6" i="2"/>
  <c r="P25" i="2"/>
  <c r="P24" i="2"/>
  <c r="P23" i="2"/>
  <c r="P19" i="2"/>
  <c r="P18" i="2"/>
  <c r="P17" i="2"/>
  <c r="P13" i="2"/>
  <c r="P12" i="2"/>
  <c r="P11" i="2"/>
  <c r="P10" i="2"/>
  <c r="P9" i="2"/>
  <c r="P8" i="2"/>
  <c r="P7" i="2"/>
  <c r="P6" i="2"/>
  <c r="P5" i="2"/>
  <c r="P4" i="2"/>
  <c r="P3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6" i="2"/>
  <c r="G25" i="2"/>
  <c r="G24" i="2"/>
  <c r="G23" i="2"/>
  <c r="G19" i="2"/>
  <c r="G18" i="2"/>
  <c r="G17" i="2"/>
  <c r="G13" i="2"/>
  <c r="G11" i="2"/>
  <c r="G10" i="2"/>
  <c r="G9" i="2"/>
  <c r="G8" i="2"/>
  <c r="G7" i="2"/>
  <c r="G6" i="2"/>
  <c r="G5" i="2"/>
  <c r="G4" i="2"/>
  <c r="G3" i="2"/>
  <c r="D24" i="2"/>
  <c r="D25" i="2"/>
  <c r="D26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23" i="2"/>
  <c r="D4" i="2"/>
  <c r="D5" i="2"/>
  <c r="D6" i="2"/>
  <c r="D7" i="2"/>
  <c r="D8" i="2"/>
  <c r="D9" i="2"/>
  <c r="D10" i="2"/>
  <c r="D11" i="2"/>
  <c r="D13" i="2"/>
  <c r="D17" i="2"/>
  <c r="D18" i="2"/>
  <c r="D19" i="2"/>
  <c r="D3" i="2"/>
  <c r="F28" i="8" l="1"/>
  <c r="P55" i="2" l="1"/>
  <c r="F29" i="8"/>
  <c r="J28" i="8"/>
  <c r="P51" i="2"/>
  <c r="P54" i="2"/>
  <c r="P53" i="2"/>
  <c r="P52" i="2"/>
  <c r="P50" i="2"/>
  <c r="P16" i="2"/>
  <c r="P14" i="2"/>
  <c r="P15" i="2"/>
  <c r="O56" i="2"/>
  <c r="R56" i="2" s="1"/>
  <c r="N56" i="2"/>
  <c r="Q56" i="2" s="1"/>
  <c r="O57" i="2" l="1"/>
  <c r="R57" i="2" s="1"/>
  <c r="F30" i="8"/>
  <c r="F31" i="8"/>
  <c r="J30" i="8"/>
  <c r="J29" i="8"/>
  <c r="P21" i="2"/>
  <c r="P20" i="2"/>
  <c r="N57" i="2"/>
  <c r="Q57" i="2" s="1"/>
  <c r="P56" i="2"/>
  <c r="G12" i="2"/>
  <c r="D55" i="2"/>
  <c r="D54" i="2"/>
  <c r="G21" i="8" l="1"/>
  <c r="P57" i="2"/>
  <c r="N61" i="2"/>
  <c r="F6" i="9" s="1"/>
  <c r="O61" i="2"/>
  <c r="H6" i="9" s="1"/>
  <c r="G17" i="8"/>
  <c r="G13" i="8"/>
  <c r="G23" i="8"/>
  <c r="G18" i="8"/>
  <c r="G14" i="8"/>
  <c r="G31" i="8"/>
  <c r="G16" i="8"/>
  <c r="G12" i="8"/>
  <c r="G8" i="8"/>
  <c r="G9" i="8"/>
  <c r="G24" i="8"/>
  <c r="G26" i="8"/>
  <c r="G11" i="8"/>
  <c r="G3" i="8"/>
  <c r="G6" i="8"/>
  <c r="G5" i="8"/>
  <c r="G25" i="8"/>
  <c r="G22" i="8"/>
  <c r="G7" i="8"/>
  <c r="G2" i="8"/>
  <c r="G15" i="8"/>
  <c r="G4" i="8"/>
  <c r="G19" i="8"/>
  <c r="G20" i="8"/>
  <c r="G10" i="8"/>
  <c r="G27" i="8"/>
  <c r="J31" i="8"/>
  <c r="G28" i="8"/>
  <c r="G14" i="2"/>
  <c r="G15" i="2"/>
  <c r="G50" i="2"/>
  <c r="G51" i="2"/>
  <c r="G52" i="2"/>
  <c r="G53" i="2"/>
  <c r="G54" i="2"/>
  <c r="G55" i="2"/>
  <c r="D14" i="2"/>
  <c r="D16" i="2"/>
  <c r="D12" i="2"/>
  <c r="D51" i="2"/>
  <c r="D53" i="2"/>
  <c r="D15" i="2"/>
  <c r="D50" i="2"/>
  <c r="D52" i="2"/>
  <c r="C56" i="2"/>
  <c r="C57" i="2" s="1"/>
  <c r="C61" i="2" s="1"/>
  <c r="B56" i="2"/>
  <c r="G20" i="2" l="1"/>
  <c r="G56" i="2"/>
  <c r="G16" i="2"/>
  <c r="D21" i="2"/>
  <c r="D20" i="2"/>
  <c r="B57" i="2"/>
  <c r="D56" i="2"/>
  <c r="D57" i="2" l="1"/>
  <c r="B61" i="2"/>
  <c r="B6" i="9" s="1"/>
  <c r="G21" i="2"/>
  <c r="G57" i="2"/>
</calcChain>
</file>

<file path=xl/sharedStrings.xml><?xml version="1.0" encoding="utf-8"?>
<sst xmlns="http://schemas.openxmlformats.org/spreadsheetml/2006/main" count="479" uniqueCount="373">
  <si>
    <t>Risultato di amministrazione (A)</t>
  </si>
  <si>
    <t>Parte accantonata (B)</t>
  </si>
  <si>
    <t>Parte vincolata (C)</t>
  </si>
  <si>
    <t>Parte destinata a investimenti (D)</t>
  </si>
  <si>
    <t>Parte disponibile (E=A-B-C-D)</t>
  </si>
  <si>
    <t>Saldo di cassa</t>
  </si>
  <si>
    <t>Residui attivi</t>
  </si>
  <si>
    <t>Residui passivi</t>
  </si>
  <si>
    <t>FPV per spese correnti</t>
  </si>
  <si>
    <t>Fondo crediti di dubbia esigibilità</t>
  </si>
  <si>
    <t>Fondo anticipazioni liquidità DL35/2013</t>
  </si>
  <si>
    <t>Fondo perdite società partecipate</t>
  </si>
  <si>
    <t>Fondo contenzioso</t>
  </si>
  <si>
    <t>Altri accantonamenti</t>
  </si>
  <si>
    <t>Vincoli da trasferimenti</t>
  </si>
  <si>
    <t>Vincoli da leggi e principi contabili</t>
  </si>
  <si>
    <t>Vincoli da contrazione di mutui</t>
  </si>
  <si>
    <t>Vincoli attribuiti dall'ente</t>
  </si>
  <si>
    <t>Altri vincoli</t>
  </si>
  <si>
    <t xml:space="preserve">  100 Entrate correnti di natura tributaria, contributiva e perequativa </t>
  </si>
  <si>
    <t xml:space="preserve">  200 Trasferimenti correnti </t>
  </si>
  <si>
    <t xml:space="preserve">  300 Entrate extratributarie </t>
  </si>
  <si>
    <t xml:space="preserve">  401 Tributi in conto capitale</t>
  </si>
  <si>
    <t xml:space="preserve">  402 Contributi agli investimenti </t>
  </si>
  <si>
    <t xml:space="preserve">  403 Altri trasferimenti in conto capitale </t>
  </si>
  <si>
    <t xml:space="preserve">  404 Entrate da alienazione di beni materiali e immateriali </t>
  </si>
  <si>
    <t xml:space="preserve">  405 Altre entrate in conto capitale </t>
  </si>
  <si>
    <t xml:space="preserve">  501 Alienazione di attività finanziarie </t>
  </si>
  <si>
    <t xml:space="preserve">  502_3 Riscossione di crediti </t>
  </si>
  <si>
    <t xml:space="preserve">  504 Altre entrate per riduzione di attività finanziarie </t>
  </si>
  <si>
    <t xml:space="preserve"> - Entrate correnti </t>
  </si>
  <si>
    <t xml:space="preserve"> - Entrate in conto capitale</t>
  </si>
  <si>
    <t xml:space="preserve"> - Entrate da riduzione attività finanziarie </t>
  </si>
  <si>
    <t xml:space="preserve"> - Accensione di prestiti </t>
  </si>
  <si>
    <t xml:space="preserve"> - Anticipazioni da istituto tesoriere/cassiere </t>
  </si>
  <si>
    <t xml:space="preserve"> - Entrate per conto terzi e partite di giro</t>
  </si>
  <si>
    <t>Totale Entrate</t>
  </si>
  <si>
    <t>Entrate nette</t>
  </si>
  <si>
    <t xml:space="preserve">101 REDDITI DA LAVORO DIPENDENTE </t>
  </si>
  <si>
    <t xml:space="preserve">102 IMPOSTE E TASSE A CARICO DELL'ENTE </t>
  </si>
  <si>
    <t xml:space="preserve">103 ACQUISTO DI BENI E SERVIZI </t>
  </si>
  <si>
    <t xml:space="preserve">104 TRASFERIMENTI CORRENTI </t>
  </si>
  <si>
    <t xml:space="preserve">107 INTERESSI PASSIVI </t>
  </si>
  <si>
    <t xml:space="preserve">108 ALTRE SPESE PER REDDITI DA CAPITALE </t>
  </si>
  <si>
    <t xml:space="preserve">109 RIMBORSI E POSTE CORRETTIVE DELLE ENTRATE </t>
  </si>
  <si>
    <t xml:space="preserve">110 ALTRE SPESE CORRENTI </t>
  </si>
  <si>
    <t>201 TRIBUTI IN CONTO CAPITALE A CARICO DELL?ENTE</t>
  </si>
  <si>
    <t xml:space="preserve">202 INVESTIMENTI FISSI LORDI E ACQUISTO DI TERRENI </t>
  </si>
  <si>
    <t xml:space="preserve">203 CONTRIBUTI AGLI INVESTIMENTI </t>
  </si>
  <si>
    <t xml:space="preserve">204ALTRI TRASFERIMENTI IN CONTO CAPITALE </t>
  </si>
  <si>
    <t xml:space="preserve">205ALTRE SPESE IN CONTO CAPITALE </t>
  </si>
  <si>
    <t xml:space="preserve">301 ACQUISIZIONI DI ATTIVITA' FINANZIARIE </t>
  </si>
  <si>
    <t xml:space="preserve">303 CONCESSIONE CREDITI DI MEDIO-LUNGO TERMINE </t>
  </si>
  <si>
    <t xml:space="preserve">304 ALTRE SPESE PER INCREMENTO DI ATTIVITA' FINANZIARIE </t>
  </si>
  <si>
    <t xml:space="preserve">401 RIMBORSO DI TITOLI OBBLIGAZIONARI </t>
  </si>
  <si>
    <t xml:space="preserve">402 RIMBORSO PRESTITI A BREVE TERMINE </t>
  </si>
  <si>
    <t xml:space="preserve">403 RIMBORSO MUTUI E ALTRI FINANZIAMENTI A MEDIO LUNGO TERMINE </t>
  </si>
  <si>
    <t xml:space="preserve">404 RIMBORSO DI ALTRE FORME DI INDEBITAMENTO </t>
  </si>
  <si>
    <t xml:space="preserve">405 FONDI PER RIMBORSO PRESTITI </t>
  </si>
  <si>
    <t xml:space="preserve">501 CHIUSURA ANTICIPAZIONI RICEVUTE DA ISTITUTO TESORIERE/CASSIERE </t>
  </si>
  <si>
    <t xml:space="preserve">701 USCITE PER PARTITE DI GIRO </t>
  </si>
  <si>
    <t xml:space="preserve">702 USCITE PER CONTO TERZI </t>
  </si>
  <si>
    <t>1 Spese correnti</t>
  </si>
  <si>
    <t>2 Spese in conto capitale</t>
  </si>
  <si>
    <t>3 Spese per incremento attività finanziaria</t>
  </si>
  <si>
    <t>4 Rimborso prestiti</t>
  </si>
  <si>
    <t>5 Chiusura anticipazioni ricevute tesoriere/cassiere</t>
  </si>
  <si>
    <t>7 Conto terzi e partite di giro</t>
  </si>
  <si>
    <t>Totale Uscite</t>
  </si>
  <si>
    <t>Uscite nette</t>
  </si>
  <si>
    <t>Saldo corrente</t>
  </si>
  <si>
    <t>Saldo in conto capitale</t>
  </si>
  <si>
    <t>Acc</t>
  </si>
  <si>
    <t>Risc</t>
  </si>
  <si>
    <t>Imp</t>
  </si>
  <si>
    <t>Pag</t>
  </si>
  <si>
    <t>Rigidità strutturale di bilancio</t>
  </si>
  <si>
    <t>1.1</t>
  </si>
  <si>
    <t>Incidenza spese rigide (ripiano disavanzo,personale e debito) su entrate correnti</t>
  </si>
  <si>
    <t>Entrate correnti</t>
  </si>
  <si>
    <t>2.1</t>
  </si>
  <si>
    <t>Incidenza degli accertamenti di parte corrente sulle previsioni iniziali di parte corrente</t>
  </si>
  <si>
    <t>2.2</t>
  </si>
  <si>
    <t>Incidenza degli accertamenti di parte corrente sulle previsioni definitive di parte corrente</t>
  </si>
  <si>
    <t>2.3</t>
  </si>
  <si>
    <t>Incidenza degli accertamenti delle entrate proprie sulle previsioni iniziali di parte corrente</t>
  </si>
  <si>
    <t>2.4</t>
  </si>
  <si>
    <t>Incidenza degli accertamenti delle entrate proprie sulle previsioni definitive di parte corrente</t>
  </si>
  <si>
    <t>2.5</t>
  </si>
  <si>
    <t>Incidenza degli incassi correnti sulle previsioni iniziali di parte corrente</t>
  </si>
  <si>
    <t>2.6</t>
  </si>
  <si>
    <t>Incidenza degli incassi correnti sulle previsioni definitive di parte corrente</t>
  </si>
  <si>
    <t>2.7</t>
  </si>
  <si>
    <t>Incidenza degli incassi delle entrate proprie sulle previsioni iniziali di parte corrente</t>
  </si>
  <si>
    <t>2.8</t>
  </si>
  <si>
    <t>Incidenza degli incassi delle entrate proprie sulle previsioni definitive di parte corrente</t>
  </si>
  <si>
    <t>Anticipazioni dell'Istituto tesoriere</t>
  </si>
  <si>
    <t>3.1</t>
  </si>
  <si>
    <t>Utilizzo medio Anticipazioni di tesoreria</t>
  </si>
  <si>
    <t>3.2</t>
  </si>
  <si>
    <t>Anticipazione chiuse solo contabilmente</t>
  </si>
  <si>
    <t>Spese di personale</t>
  </si>
  <si>
    <t>4.1</t>
  </si>
  <si>
    <t>Incidenza della spesa di personale sulla spesa corrente</t>
  </si>
  <si>
    <t>4.2</t>
  </si>
  <si>
    <t>Incidenza del salario accessorio ed incentivante rispetto al totale della spesa di personale</t>
  </si>
  <si>
    <t>4.3</t>
  </si>
  <si>
    <t>Incidenza spesa personale flessibile rispetto al totale della spesa di personale</t>
  </si>
  <si>
    <t>4.4</t>
  </si>
  <si>
    <t>Spesa di personale procapite</t>
  </si>
  <si>
    <t>Esternalizzazione dei servizi</t>
  </si>
  <si>
    <t>5.1</t>
  </si>
  <si>
    <t>Indicatore di esternalizzazione dei servizi</t>
  </si>
  <si>
    <t>Interessi passivi</t>
  </si>
  <si>
    <t>6.1</t>
  </si>
  <si>
    <t>Incidenza degli interessi passivi sulla spesa corrente</t>
  </si>
  <si>
    <t>6.2</t>
  </si>
  <si>
    <t>Incidenza degli interessi passivi sulle anticipazioni sul totale della spesa per interessi passivi</t>
  </si>
  <si>
    <t>6.3</t>
  </si>
  <si>
    <t>Incidenza interessi di mora sul totale della spesa per interessi passivi</t>
  </si>
  <si>
    <t>Investimenti</t>
  </si>
  <si>
    <t>7.1</t>
  </si>
  <si>
    <t>Incidenza investimenti sul totale della spesa corrente e in conto capitale</t>
  </si>
  <si>
    <t>7.2</t>
  </si>
  <si>
    <t>Investimenti diretti procapite</t>
  </si>
  <si>
    <t>7.3</t>
  </si>
  <si>
    <t>Contributi agli investimenti procapite</t>
  </si>
  <si>
    <t>7.4</t>
  </si>
  <si>
    <t>Investimenti complessivi procapite</t>
  </si>
  <si>
    <t>7.5</t>
  </si>
  <si>
    <t>Quota investimenti complessivi finanziati dal risparmio corrente</t>
  </si>
  <si>
    <t>7.6</t>
  </si>
  <si>
    <t>Quota investimenti complessivi finanziati dal saldo positivo delle partite finanziarie</t>
  </si>
  <si>
    <t>7.7</t>
  </si>
  <si>
    <t>Quota investimenti complessivi finanziati da debito</t>
  </si>
  <si>
    <t>Analisi dei residui</t>
  </si>
  <si>
    <t>8.1</t>
  </si>
  <si>
    <t>Incidenza nuovi residui passivi di parte corrente su stock residui passivi correnti</t>
  </si>
  <si>
    <t>8.2</t>
  </si>
  <si>
    <t>Incidenza nuovi residui passivi in c/capitale su stock residui passivi in conto capitale al 31/12</t>
  </si>
  <si>
    <t>8.3</t>
  </si>
  <si>
    <t>Incidenza nuovi residui passivi per incremento attività finanziarie su stock residui passivi per incremento attività finanziarie al 31/12</t>
  </si>
  <si>
    <t>8.4</t>
  </si>
  <si>
    <t>Incidenza nuovi residui attivi di parte corrente su stock residui attivi di parte corrente</t>
  </si>
  <si>
    <t>8.5</t>
  </si>
  <si>
    <t>Incidenza nuovi residui attivi in c/capitale su stock residui attivi in c/capitale</t>
  </si>
  <si>
    <t>8.6</t>
  </si>
  <si>
    <t>Incidenza nuovi residui attivi per riduzione di attività finanziarie su stock residui attivi per riduzione di attività finanziarie</t>
  </si>
  <si>
    <t>Smaltimento debiti non finanziari</t>
  </si>
  <si>
    <t>9.1</t>
  </si>
  <si>
    <t>Smaltimento debiti commerciali nati nell'esercizio</t>
  </si>
  <si>
    <t>9.2</t>
  </si>
  <si>
    <t>Smaltimento debiti commerciali nati negli esercizi precedenti</t>
  </si>
  <si>
    <t>9.3</t>
  </si>
  <si>
    <t>Smaltimento debiti verso altre amministrazioni pubbliche nati nell'esercizio</t>
  </si>
  <si>
    <t>9.4</t>
  </si>
  <si>
    <t>Smaltimento debiti verso altre amministrazioni pubbliche nati negli esercizi precedenti</t>
  </si>
  <si>
    <t>9.5</t>
  </si>
  <si>
    <t>Indicatore annuale di tempestività dei pagamenti</t>
  </si>
  <si>
    <t>Debiti finanziari</t>
  </si>
  <si>
    <t>10.1</t>
  </si>
  <si>
    <t>Incidenza estinzioni anticipate debiti finanziari</t>
  </si>
  <si>
    <t>10.2</t>
  </si>
  <si>
    <t>Incidenza estinzioni ordinarie debiti finanziari</t>
  </si>
  <si>
    <t>10.3</t>
  </si>
  <si>
    <t>Sostenibilità debiti finanziari</t>
  </si>
  <si>
    <t>10.4</t>
  </si>
  <si>
    <t>Indebitamento procapite</t>
  </si>
  <si>
    <t>Composizione dell'avanzo di amministrazione</t>
  </si>
  <si>
    <t>11.1</t>
  </si>
  <si>
    <t>Incidenza quota libera di parte corrente nell'avanzo</t>
  </si>
  <si>
    <t>11.2</t>
  </si>
  <si>
    <t>Incidenza quota libera in c/capitale nell'avanzo</t>
  </si>
  <si>
    <t>11.3</t>
  </si>
  <si>
    <t>Incidenza quota accantonata nell'avanzo</t>
  </si>
  <si>
    <t>11.4</t>
  </si>
  <si>
    <t>Incidenza quota vincolata nell'avanzo</t>
  </si>
  <si>
    <t>Disavanzo di amministrazione</t>
  </si>
  <si>
    <t>12.1</t>
  </si>
  <si>
    <t>Quota disavanzo ripianato nell'esercizio</t>
  </si>
  <si>
    <t>12.2</t>
  </si>
  <si>
    <t>Incremento del disavanzo rispetto all'esercizio precedente</t>
  </si>
  <si>
    <t>12.3</t>
  </si>
  <si>
    <t>Sostenibilità patrimoniale del disavanzo</t>
  </si>
  <si>
    <t>12.4</t>
  </si>
  <si>
    <t>Sostenibilità disavanzo effettivamente a carico dell'esercizio</t>
  </si>
  <si>
    <t>Debiti fuori bilancio</t>
  </si>
  <si>
    <t>13.1</t>
  </si>
  <si>
    <t>Debiti riconosciuti e finanziati</t>
  </si>
  <si>
    <t>13.2</t>
  </si>
  <si>
    <t>Debiti in corso di riconoscimento</t>
  </si>
  <si>
    <t>13.3</t>
  </si>
  <si>
    <t>Debiti riconosciuti e in corso di finanziamento</t>
  </si>
  <si>
    <t>Fondo pluriennale vincolato</t>
  </si>
  <si>
    <t>14.1</t>
  </si>
  <si>
    <t>Utilizzo del FPV</t>
  </si>
  <si>
    <t>Partite di giro e conto terzi</t>
  </si>
  <si>
    <t>15.1</t>
  </si>
  <si>
    <t>Incidenza partite di giro e conto terzi in entrata</t>
  </si>
  <si>
    <t>15.2</t>
  </si>
  <si>
    <t>Incidenza partite di giro e conto terzi in uscita</t>
  </si>
  <si>
    <t>Complessiva</t>
  </si>
  <si>
    <t>Crediti esigibili nell'esercizio</t>
  </si>
  <si>
    <t>Crediti esigibili negli esercizi precedenti</t>
  </si>
  <si>
    <t>Istruzione e diritto allo studio</t>
  </si>
  <si>
    <t>Trasporti e diritto alla mobilità</t>
  </si>
  <si>
    <t>Diritti sociali, politiche sociali e famiglia</t>
  </si>
  <si>
    <t>Capacità di pagamento</t>
  </si>
  <si>
    <t>Debiti da finanziamento (D1)</t>
  </si>
  <si>
    <t>Piano degli indicatori</t>
  </si>
  <si>
    <t>Soglia</t>
  </si>
  <si>
    <t>Crediti verso lo Stato e altre AP per Fondo dotazione (A)</t>
  </si>
  <si>
    <t>Immobilizzazioni immateriali (B1)</t>
  </si>
  <si>
    <t>Immobilizzazioni materiali (B2)</t>
  </si>
  <si>
    <t>Crediti (C2)</t>
  </si>
  <si>
    <t>Disponibilità liquide (C4)</t>
  </si>
  <si>
    <t>Ratei e risconti attivi (D)</t>
  </si>
  <si>
    <t>TOTALE ATTIVO</t>
  </si>
  <si>
    <t>Fondo di dotazione (A1)</t>
  </si>
  <si>
    <t>Riserve (A2)</t>
  </si>
  <si>
    <t>Risultato economico dell'esercizio (A3)</t>
  </si>
  <si>
    <t>Fondo rischi ed oneri (B)</t>
  </si>
  <si>
    <t>Debiti verso fornitori (D2)</t>
  </si>
  <si>
    <t>Debiti per trasferimenti e contributi (D4)</t>
  </si>
  <si>
    <t>Altri debiti (D5)</t>
  </si>
  <si>
    <t>Ratei e risconti passivi (E)</t>
  </si>
  <si>
    <t>TOTALE PASSIVO</t>
  </si>
  <si>
    <t>Immobilizzazioni finanziarie - partecipazioni (B3.1)</t>
  </si>
  <si>
    <t>Immobilizzazioni finanziarie - crediti (B3.2)</t>
  </si>
  <si>
    <t>Immobilizzazioni finanziarie - altri titoli (B3.3)</t>
  </si>
  <si>
    <t>Rimanenze (C1)</t>
  </si>
  <si>
    <t>Attività finanziarie che non costituiscono utilizzi (C3)</t>
  </si>
  <si>
    <t>Var. %</t>
  </si>
  <si>
    <t>%Risc</t>
  </si>
  <si>
    <t>Proventi da tributi</t>
  </si>
  <si>
    <t>Proventi da fondi perequativi</t>
  </si>
  <si>
    <t>Proventi da trasferimenti e contributi</t>
  </si>
  <si>
    <t>Ricavi delle vendite e prestazioni e proventi da servizi pubblici</t>
  </si>
  <si>
    <t>Variazioni nelle rimanenze di prodotti in corso di lavorazione, etc. (+/-)</t>
  </si>
  <si>
    <t>Variazione dei lavori in corso su ordinazione</t>
  </si>
  <si>
    <t>Incrementi di immobilizzazioni per lavori interni</t>
  </si>
  <si>
    <t>Altri ricavi e proventi diversi</t>
  </si>
  <si>
    <t>Acquisto di materie prime e/o beni di consumo</t>
  </si>
  <si>
    <t>Prestazioni di servizi</t>
  </si>
  <si>
    <t>Utilizzo beni di terzi</t>
  </si>
  <si>
    <t>Trasferimenti e contributi</t>
  </si>
  <si>
    <t>Personale</t>
  </si>
  <si>
    <t>Ammortamenti e svalutazioni</t>
  </si>
  <si>
    <t>Variazioni nelle rimanenze di materie prime e/o beni di consumo (+/-)</t>
  </si>
  <si>
    <t>Accantonamenti per rischi</t>
  </si>
  <si>
    <t>Oneri diversi di gestione</t>
  </si>
  <si>
    <t>Proventi finanziari</t>
  </si>
  <si>
    <t>Oneri finanziari</t>
  </si>
  <si>
    <t>Rettifiche di valore</t>
  </si>
  <si>
    <t>Proventi straordinari</t>
  </si>
  <si>
    <t>Oneri straordinari</t>
  </si>
  <si>
    <t>Imposte</t>
  </si>
  <si>
    <t>Risultato dell'esercizio</t>
  </si>
  <si>
    <t>(+)</t>
  </si>
  <si>
    <t>(-)</t>
  </si>
  <si>
    <t>(=)</t>
  </si>
  <si>
    <t xml:space="preserve">302 CONCESSIONE CREDITI DI BREVE TERMINE </t>
  </si>
  <si>
    <t>COMPONENTI POSITIVI DELLA GESTIONE</t>
  </si>
  <si>
    <t>COMPONENTI NEGATIVI DELLA GESTIONE</t>
  </si>
  <si>
    <t>Diff.</t>
  </si>
  <si>
    <t>PATRIMONIO NETTO</t>
  </si>
  <si>
    <t>Incidenza spesa (al netto servizi per conto terzi)</t>
  </si>
  <si>
    <t>% Risc.</t>
  </si>
  <si>
    <t>101 Redditi da lavoro dipendente</t>
  </si>
  <si>
    <t>102 Imposte e tasse a carico dell'ente</t>
  </si>
  <si>
    <t>103 Acquisto di beni e servizi</t>
  </si>
  <si>
    <t>104 Trasferimenti correnti</t>
  </si>
  <si>
    <t>107 Interessi passivi</t>
  </si>
  <si>
    <t>108 Altre spese per redditi da capitale</t>
  </si>
  <si>
    <t>109 Rimborsi e poste correttive delle entrate</t>
  </si>
  <si>
    <t>110 Altre spese correnti</t>
  </si>
  <si>
    <t>202 Investimenti fissi lordi e acquisto di terreni</t>
  </si>
  <si>
    <t>203 Contributi agli investimenti</t>
  </si>
  <si>
    <t>204 Altri trasferimenti in conto capitale</t>
  </si>
  <si>
    <t>205 Altre spese in conto capitale</t>
  </si>
  <si>
    <t xml:space="preserve"> - Spese correnti </t>
  </si>
  <si>
    <t xml:space="preserve"> - Spese in conto capitale</t>
  </si>
  <si>
    <t>301 Acquisizioni di attività finanziarie</t>
  </si>
  <si>
    <t>302 Concessione crediti di breve termine</t>
  </si>
  <si>
    <t>303 Concessione crediti di medio-lungo termine</t>
  </si>
  <si>
    <t>304 Altre spese per incremento di attività finanziarie</t>
  </si>
  <si>
    <t xml:space="preserve"> - Spese per incremento attività finanziarie </t>
  </si>
  <si>
    <t>401 Rimborso di titoli obbligazionari</t>
  </si>
  <si>
    <t>402 Rimborso prestiti a breve termine</t>
  </si>
  <si>
    <t>403 Rimborso mutui e finanziamenti a medio-lungo termine</t>
  </si>
  <si>
    <t>404 Rimborso di altre forme di indebitamento</t>
  </si>
  <si>
    <t>405 Fondi per rimborso prestiti</t>
  </si>
  <si>
    <t xml:space="preserve"> - Rimborso prestiti </t>
  </si>
  <si>
    <t xml:space="preserve"> - Chiusura anticipazioni ricevute da tesoriere/cassiere </t>
  </si>
  <si>
    <t xml:space="preserve"> - Uscite per conto terzi e partite di giro</t>
  </si>
  <si>
    <t>Comp.% netta</t>
  </si>
  <si>
    <t xml:space="preserve">Saldo corrente </t>
  </si>
  <si>
    <t xml:space="preserve">Saldo finale </t>
  </si>
  <si>
    <t>Saldo netto</t>
  </si>
  <si>
    <t>Saldo riduzione/incremento attività finanziarie</t>
  </si>
  <si>
    <t>Capacità di riscossione</t>
  </si>
  <si>
    <t>Spesa per il personale (pro capite)</t>
  </si>
  <si>
    <t>Investimenti (pro capite)</t>
  </si>
  <si>
    <t>Entrate natura tributaria, contributiva e perequativa (Titolo 1)</t>
  </si>
  <si>
    <t>Saldo della gestione</t>
  </si>
  <si>
    <t>(Proventi - Oneri) finanziari</t>
  </si>
  <si>
    <t>(Proventi- Oneri) straordinari</t>
  </si>
  <si>
    <t>Saldo prima delle imposte</t>
  </si>
  <si>
    <t>Parametro</t>
  </si>
  <si>
    <t>Indicatore</t>
  </si>
  <si>
    <t>P.1</t>
  </si>
  <si>
    <t>P.2</t>
  </si>
  <si>
    <t>P.3</t>
  </si>
  <si>
    <t>P.4</t>
  </si>
  <si>
    <t>P.5</t>
  </si>
  <si>
    <t>P.6</t>
  </si>
  <si>
    <t>P.7</t>
  </si>
  <si>
    <t>P.8</t>
  </si>
  <si>
    <t>Incidenza spese rigide (ripiano disavanzo, personale e debito) su entrate correnti</t>
  </si>
  <si>
    <t>Descrizione</t>
  </si>
  <si>
    <t>13.2/3</t>
  </si>
  <si>
    <t>Anticipazione di tesoreria chiuse solo contabilmente</t>
  </si>
  <si>
    <t>Sostenibilità dei debiti finanziari</t>
  </si>
  <si>
    <t>Debiti in corso di riconoscimento o di finanziamento</t>
  </si>
  <si>
    <t>Effettiva capacità di riscossione (totale Entrate)</t>
  </si>
  <si>
    <t>&gt; 48</t>
  </si>
  <si>
    <t>&lt;22</t>
  </si>
  <si>
    <t>&gt;0</t>
  </si>
  <si>
    <t>&gt;16</t>
  </si>
  <si>
    <t>&gt;1,2</t>
  </si>
  <si>
    <t>&gt;1</t>
  </si>
  <si>
    <t>&gt;0,6</t>
  </si>
  <si>
    <t>&lt;47</t>
  </si>
  <si>
    <t>Totale Entrate nette</t>
  </si>
  <si>
    <t>% Pag.</t>
  </si>
  <si>
    <t>Risc. - Pag.</t>
  </si>
  <si>
    <t xml:space="preserve">  -- di cui proventi da tributi</t>
  </si>
  <si>
    <t xml:space="preserve">  -- di cui proventi da trasferimenti</t>
  </si>
  <si>
    <t xml:space="preserve">  -- di cui prestazioni di servizi</t>
  </si>
  <si>
    <t xml:space="preserve">  -- di cui personale</t>
  </si>
  <si>
    <t xml:space="preserve">  -- di cui ammortamenti e svalutazioni</t>
  </si>
  <si>
    <t>Ricavi e proventi</t>
  </si>
  <si>
    <t>Costi</t>
  </si>
  <si>
    <t>Entrate finali</t>
  </si>
  <si>
    <t>Uscite finali</t>
  </si>
  <si>
    <t>Sviluppo sostenibile, tutela territ. e ambiente</t>
  </si>
  <si>
    <t>Saldo naturale</t>
  </si>
  <si>
    <t>Saldo migratorio</t>
  </si>
  <si>
    <t>Verifica</t>
  </si>
  <si>
    <t>Fondo a copertura residui perenti</t>
  </si>
  <si>
    <t>105 TRASFERIMENTI DI TRIBUTI</t>
  </si>
  <si>
    <t>106 FONDI PEREQUATIVI</t>
  </si>
  <si>
    <t>12.5</t>
  </si>
  <si>
    <t>Quota disavanzo derivante da debito autorizzato e non contratto</t>
  </si>
  <si>
    <t xml:space="preserve">Tutela della salute </t>
  </si>
  <si>
    <t>FPV per spese in conto capitale (*)</t>
  </si>
  <si>
    <t>(*) include FPV per incremento attività finanziarie</t>
  </si>
  <si>
    <t>Media Regioni</t>
  </si>
  <si>
    <t xml:space="preserve">     di cui da tributi destinati al finanziamento della sanità</t>
  </si>
  <si>
    <t xml:space="preserve">    di cui enti finanziati dal ssn</t>
  </si>
  <si>
    <t xml:space="preserve">    di cui altre amministrazioni pubbliche</t>
  </si>
  <si>
    <t xml:space="preserve">     di cui da trasferimenti e contributi da amm.ni pubbliche</t>
  </si>
  <si>
    <t>Anno</t>
  </si>
  <si>
    <t>Regione</t>
  </si>
  <si>
    <t>Popolazione al 1° gennaio</t>
  </si>
  <si>
    <t>Rapporto Fcde/Residui attivi (scala dx)</t>
  </si>
  <si>
    <t>Saldo entrate/uscite finali</t>
  </si>
  <si>
    <t>Saldo entrate/uscite nette</t>
  </si>
  <si>
    <t>Capacità riscossione entrate finali</t>
  </si>
  <si>
    <t>Capacità pagamento uscite finali</t>
  </si>
  <si>
    <t>Riscossioni 2019</t>
  </si>
  <si>
    <t>Pagamenti 2019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</si>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</sst>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-* #,##0_-;\-* #,##0_-;_-* &quot;-&quot;??_-;_-@_-"/>
    <numFmt numFmtId="165" formatCode="0.0"/>
    <numFmt numFmtId="166" formatCode="#,##0_ ;\-#,##0\ "/>
    <numFmt numFmtId="167" formatCode="#,##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b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ont="0" applyBorder="0" applyProtection="0"/>
  </cellStyleXfs>
  <cellXfs count="115">
    <xf numFmtId="0" fontId="0" fillId="0" borderId="0" xfId="0"/>
    <xf numFmtId="3" fontId="0" fillId="0" borderId="0" xfId="0" applyNumberFormat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1" fillId="0" borderId="0" xfId="0" applyFont="1"/>
    <xf numFmtId="0" fontId="5" fillId="0" borderId="0" xfId="2" applyFont="1" applyFill="1" applyBorder="1" applyAlignment="1" applyProtection="1">
      <alignment vertical="center" readingOrder="1"/>
    </xf>
    <xf numFmtId="165" fontId="0" fillId="0" borderId="0" xfId="0" applyNumberFormat="1"/>
    <xf numFmtId="2" fontId="0" fillId="0" borderId="0" xfId="0" applyNumberFormat="1"/>
    <xf numFmtId="0" fontId="0" fillId="3" borderId="0" xfId="0" applyFill="1"/>
    <xf numFmtId="0" fontId="0" fillId="3" borderId="0" xfId="0" applyFill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5" fillId="0" borderId="1" xfId="2" applyFont="1" applyFill="1" applyBorder="1" applyAlignment="1" applyProtection="1">
      <alignment vertical="center" readingOrder="1"/>
    </xf>
    <xf numFmtId="164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0" xfId="0" applyNumberFormat="1" applyBorder="1"/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2" xfId="0" applyNumberFormat="1" applyBorder="1"/>
    <xf numFmtId="0" fontId="0" fillId="0" borderId="4" xfId="0" applyBorder="1" applyAlignment="1">
      <alignment horizontal="center"/>
    </xf>
    <xf numFmtId="164" fontId="0" fillId="0" borderId="4" xfId="0" applyNumberFormat="1" applyBorder="1"/>
    <xf numFmtId="164" fontId="0" fillId="0" borderId="5" xfId="0" applyNumberFormat="1" applyBorder="1"/>
    <xf numFmtId="0" fontId="0" fillId="0" borderId="0" xfId="0" quotePrefix="1" applyAlignment="1">
      <alignment horizontal="center"/>
    </xf>
    <xf numFmtId="164" fontId="0" fillId="0" borderId="0" xfId="1" applyNumberFormat="1" applyFont="1"/>
    <xf numFmtId="164" fontId="0" fillId="0" borderId="0" xfId="0" applyNumberFormat="1"/>
    <xf numFmtId="164" fontId="0" fillId="2" borderId="0" xfId="1" applyNumberFormat="1" applyFont="1" applyFill="1"/>
    <xf numFmtId="2" fontId="0" fillId="0" borderId="0" xfId="0" applyNumberFormat="1" applyFill="1"/>
    <xf numFmtId="0" fontId="0" fillId="0" borderId="0" xfId="0" applyFill="1"/>
    <xf numFmtId="0" fontId="0" fillId="0" borderId="0" xfId="0" applyBorder="1"/>
    <xf numFmtId="0" fontId="0" fillId="0" borderId="0" xfId="0" quotePrefix="1" applyBorder="1" applyAlignment="1">
      <alignment horizontal="center"/>
    </xf>
    <xf numFmtId="3" fontId="0" fillId="0" borderId="0" xfId="0" applyNumberFormat="1" applyBorder="1"/>
    <xf numFmtId="0" fontId="1" fillId="0" borderId="1" xfId="0" applyFont="1" applyFill="1" applyBorder="1"/>
    <xf numFmtId="0" fontId="1" fillId="0" borderId="1" xfId="0" quotePrefix="1" applyFont="1" applyBorder="1" applyAlignment="1">
      <alignment horizontal="center"/>
    </xf>
    <xf numFmtId="3" fontId="2" fillId="0" borderId="1" xfId="0" applyNumberFormat="1" applyFont="1" applyBorder="1"/>
    <xf numFmtId="0" fontId="2" fillId="0" borderId="1" xfId="0" applyFont="1" applyBorder="1"/>
    <xf numFmtId="0" fontId="1" fillId="0" borderId="0" xfId="0" applyFont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6" xfId="0" applyBorder="1"/>
    <xf numFmtId="0" fontId="1" fillId="0" borderId="6" xfId="0" applyFont="1" applyBorder="1" applyAlignment="1">
      <alignment horizontal="center" vertical="center"/>
    </xf>
    <xf numFmtId="164" fontId="1" fillId="0" borderId="0" xfId="0" applyNumberFormat="1" applyFont="1"/>
    <xf numFmtId="165" fontId="1" fillId="0" borderId="0" xfId="0" applyNumberFormat="1" applyFont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1" fillId="0" borderId="0" xfId="1" applyNumberFormat="1" applyFont="1"/>
    <xf numFmtId="0" fontId="6" fillId="0" borderId="0" xfId="0" applyFont="1"/>
    <xf numFmtId="164" fontId="6" fillId="0" borderId="0" xfId="0" applyNumberFormat="1" applyFont="1"/>
    <xf numFmtId="165" fontId="6" fillId="0" borderId="0" xfId="0" applyNumberFormat="1" applyFont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164" fontId="2" fillId="0" borderId="1" xfId="0" applyNumberFormat="1" applyFont="1" applyBorder="1"/>
    <xf numFmtId="165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7" fillId="4" borderId="0" xfId="0" applyFont="1" applyFill="1"/>
    <xf numFmtId="164" fontId="0" fillId="4" borderId="0" xfId="0" applyNumberFormat="1" applyFill="1"/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Border="1" applyAlignment="1">
      <alignment horizontal="center"/>
    </xf>
    <xf numFmtId="0" fontId="8" fillId="4" borderId="0" xfId="2" applyFont="1" applyFill="1" applyBorder="1" applyAlignment="1" applyProtection="1">
      <alignment vertical="center" readingOrder="1"/>
    </xf>
    <xf numFmtId="164" fontId="0" fillId="4" borderId="0" xfId="0" applyNumberFormat="1" applyFont="1" applyFill="1"/>
    <xf numFmtId="165" fontId="0" fillId="4" borderId="0" xfId="0" applyNumberFormat="1" applyFont="1" applyFill="1" applyAlignment="1">
      <alignment horizontal="center"/>
    </xf>
    <xf numFmtId="0" fontId="0" fillId="4" borderId="0" xfId="0" applyFont="1" applyFill="1"/>
    <xf numFmtId="0" fontId="0" fillId="0" borderId="0" xfId="0" applyFill="1" applyAlignment="1">
      <alignment horizontal="center"/>
    </xf>
    <xf numFmtId="166" fontId="0" fillId="4" borderId="0" xfId="0" applyNumberFormat="1" applyFont="1" applyFill="1"/>
    <xf numFmtId="166" fontId="3" fillId="4" borderId="0" xfId="1" applyNumberFormat="1" applyFont="1" applyFill="1"/>
    <xf numFmtId="166" fontId="6" fillId="0" borderId="0" xfId="0" applyNumberFormat="1" applyFont="1"/>
    <xf numFmtId="166" fontId="2" fillId="0" borderId="1" xfId="0" applyNumberFormat="1" applyFont="1" applyBorder="1"/>
    <xf numFmtId="0" fontId="0" fillId="5" borderId="0" xfId="0" applyFill="1"/>
    <xf numFmtId="0" fontId="1" fillId="0" borderId="6" xfId="0" applyFont="1" applyBorder="1" applyAlignment="1">
      <alignment horizontal="center"/>
    </xf>
    <xf numFmtId="0" fontId="9" fillId="0" borderId="1" xfId="0" applyFont="1" applyBorder="1"/>
    <xf numFmtId="0" fontId="0" fillId="4" borderId="0" xfId="0" applyFill="1"/>
    <xf numFmtId="0" fontId="1" fillId="0" borderId="0" xfId="0" applyFont="1" applyBorder="1"/>
    <xf numFmtId="0" fontId="1" fillId="0" borderId="6" xfId="0" applyFont="1" applyBorder="1"/>
    <xf numFmtId="0" fontId="1" fillId="0" borderId="6" xfId="0" applyFont="1" applyBorder="1" applyAlignment="1">
      <alignment vertical="center"/>
    </xf>
    <xf numFmtId="166" fontId="0" fillId="4" borderId="0" xfId="0" applyNumberFormat="1" applyFill="1" applyAlignment="1">
      <alignment horizontal="center" vertical="center"/>
    </xf>
    <xf numFmtId="166" fontId="0" fillId="6" borderId="0" xfId="0" applyNumberFormat="1" applyFill="1" applyAlignment="1">
      <alignment horizontal="center" vertical="center"/>
    </xf>
    <xf numFmtId="0" fontId="0" fillId="4" borderId="0" xfId="0" applyFill="1" applyAlignment="1">
      <alignment vertical="center" wrapText="1"/>
    </xf>
    <xf numFmtId="0" fontId="0" fillId="6" borderId="0" xfId="0" applyFill="1" applyAlignment="1">
      <alignment vertical="center" wrapText="1"/>
    </xf>
    <xf numFmtId="0" fontId="10" fillId="4" borderId="0" xfId="0" applyFont="1" applyFill="1" applyAlignment="1">
      <alignment vertical="center"/>
    </xf>
    <xf numFmtId="0" fontId="10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166" fontId="1" fillId="4" borderId="0" xfId="0" applyNumberFormat="1" applyFont="1" applyFill="1" applyAlignment="1">
      <alignment horizontal="center" vertical="center"/>
    </xf>
    <xf numFmtId="166" fontId="1" fillId="6" borderId="0" xfId="1" applyNumberFormat="1" applyFont="1" applyFill="1" applyAlignment="1">
      <alignment horizontal="center" vertical="center"/>
    </xf>
    <xf numFmtId="166" fontId="9" fillId="4" borderId="0" xfId="0" applyNumberFormat="1" applyFont="1" applyFill="1" applyAlignment="1">
      <alignment horizontal="center" vertical="center"/>
    </xf>
    <xf numFmtId="166" fontId="9" fillId="6" borderId="0" xfId="0" applyNumberFormat="1" applyFont="1" applyFill="1" applyAlignment="1">
      <alignment horizontal="center" vertical="center"/>
    </xf>
    <xf numFmtId="166" fontId="9" fillId="4" borderId="0" xfId="1" applyNumberFormat="1" applyFont="1" applyFill="1" applyAlignment="1">
      <alignment horizontal="center" vertical="center"/>
    </xf>
    <xf numFmtId="166" fontId="9" fillId="6" borderId="0" xfId="1" applyNumberFormat="1" applyFont="1" applyFill="1" applyAlignment="1">
      <alignment horizontal="center" vertical="center"/>
    </xf>
    <xf numFmtId="166" fontId="1" fillId="6" borderId="0" xfId="0" applyNumberFormat="1" applyFont="1" applyFill="1" applyAlignment="1">
      <alignment horizontal="center" vertical="center"/>
    </xf>
    <xf numFmtId="166" fontId="6" fillId="4" borderId="0" xfId="0" quotePrefix="1" applyNumberFormat="1" applyFont="1" applyFill="1" applyAlignment="1">
      <alignment horizontal="center" vertical="center"/>
    </xf>
    <xf numFmtId="166" fontId="6" fillId="6" borderId="0" xfId="1" quotePrefix="1" applyNumberFormat="1" applyFont="1" applyFill="1" applyAlignment="1">
      <alignment horizontal="center" vertical="center"/>
    </xf>
    <xf numFmtId="166" fontId="6" fillId="6" borderId="0" xfId="0" quotePrefix="1" applyNumberFormat="1" applyFont="1" applyFill="1" applyAlignment="1">
      <alignment horizontal="center" vertical="center"/>
    </xf>
    <xf numFmtId="166" fontId="6" fillId="4" borderId="0" xfId="1" quotePrefix="1" applyNumberFormat="1" applyFont="1" applyFill="1" applyAlignment="1">
      <alignment horizontal="center" vertical="center"/>
    </xf>
    <xf numFmtId="0" fontId="10" fillId="4" borderId="0" xfId="0" applyFont="1" applyFill="1" applyAlignment="1">
      <alignment vertical="center" wrapText="1"/>
    </xf>
    <xf numFmtId="3" fontId="1" fillId="0" borderId="1" xfId="0" applyNumberFormat="1" applyFont="1" applyFill="1" applyBorder="1"/>
    <xf numFmtId="3" fontId="0" fillId="0" borderId="0" xfId="0" applyNumberFormat="1" applyFill="1"/>
    <xf numFmtId="0" fontId="1" fillId="0" borderId="6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4" fontId="0" fillId="0" borderId="0" xfId="0" applyNumberFormat="1"/>
    <xf numFmtId="0" fontId="0" fillId="0" borderId="0" xfId="0" applyFill="1" applyBorder="1"/>
    <xf numFmtId="164" fontId="0" fillId="0" borderId="0" xfId="1" applyNumberFormat="1" applyFont="1" applyFill="1"/>
    <xf numFmtId="0" fontId="0" fillId="0" borderId="6" xfId="0" applyBorder="1" applyAlignment="1">
      <alignment horizontal="center" vertical="center" wrapText="1"/>
    </xf>
    <xf numFmtId="167" fontId="0" fillId="0" borderId="0" xfId="0" applyNumberFormat="1" applyFill="1" applyAlignment="1">
      <alignment horizontal="center"/>
    </xf>
    <xf numFmtId="0" fontId="0" fillId="0" borderId="1" xfId="0" applyFill="1" applyBorder="1"/>
    <xf numFmtId="3" fontId="0" fillId="0" borderId="1" xfId="0" applyNumberFormat="1" applyFill="1" applyBorder="1"/>
    <xf numFmtId="0" fontId="0" fillId="0" borderId="1" xfId="0" applyBorder="1" applyAlignment="1">
      <alignment wrapText="1"/>
    </xf>
    <xf numFmtId="0" fontId="0" fillId="0" borderId="2" xfId="0" applyBorder="1"/>
    <xf numFmtId="167" fontId="0" fillId="4" borderId="0" xfId="0" applyNumberFormat="1" applyFill="1" applyAlignment="1">
      <alignment horizont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3">
    <cellStyle name="Migliaia" xfId="1" builtinId="3"/>
    <cellStyle name="Normal" xfId="2"/>
    <cellStyle name="Normale" xfId="0" builtinId="0"/>
  </cellStyles>
  <dxfs count="72"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06717062543143"/>
          <c:y val="5.4234059497589075E-2"/>
          <c:w val="0.80361249792401179"/>
          <c:h val="0.7644066799342385"/>
        </c:manualLayout>
      </c:layout>
      <c:lineChart>
        <c:grouping val="standard"/>
        <c:varyColors val="0"/>
        <c:ser>
          <c:idx val="0"/>
          <c:order val="0"/>
          <c:tx>
            <c:strRef>
              <c:f>Risultato_amministrazione!$A$3</c:f>
              <c:strCache>
                <c:ptCount val="1"/>
                <c:pt idx="0">
                  <c:v>Residui attivi</c:v>
                </c:pt>
              </c:strCache>
            </c:strRef>
          </c:tx>
          <c:marker>
            <c:symbol val="triangle"/>
            <c:size val="5"/>
          </c:marker>
          <c:cat>
            <c:numRef>
              <c:f>Risultato_amministrazione!$B$1:$F$1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Risultato_amministrazione!$B$3:$F$3</c:f>
              <c:numCache>
                <c:formatCode>#,##0</c:formatCode>
                <c:ptCount val="5"/>
                <c:pt idx="0">
                  <c:v>842408770.84000003</c:v>
                </c:pt>
                <c:pt idx="1">
                  <c:v>968709855.82000005</c:v>
                </c:pt>
                <c:pt idx="2">
                  <c:v>1155640812.02</c:v>
                </c:pt>
                <c:pt idx="3">
                  <c:v>959450937.11000001</c:v>
                </c:pt>
                <c:pt idx="4">
                  <c:v>1055057576.87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815-456D-8408-112A4369BD40}"/>
            </c:ext>
          </c:extLst>
        </c:ser>
        <c:ser>
          <c:idx val="1"/>
          <c:order val="1"/>
          <c:tx>
            <c:strRef>
              <c:f>Risultato_amministrazione!$A$4</c:f>
              <c:strCache>
                <c:ptCount val="1"/>
                <c:pt idx="0">
                  <c:v>Residui passivi</c:v>
                </c:pt>
              </c:strCache>
            </c:strRef>
          </c:tx>
          <c:marker>
            <c:symbol val="square"/>
            <c:size val="5"/>
          </c:marker>
          <c:cat>
            <c:numRef>
              <c:f>Risultato_amministrazione!$B$1:$F$1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Risultato_amministrazione!$B$4:$F$4</c:f>
              <c:numCache>
                <c:formatCode>#,##0</c:formatCode>
                <c:ptCount val="5"/>
                <c:pt idx="0">
                  <c:v>429505504.94999999</c:v>
                </c:pt>
                <c:pt idx="1">
                  <c:v>785806600.04999995</c:v>
                </c:pt>
                <c:pt idx="2">
                  <c:v>965919170.12</c:v>
                </c:pt>
                <c:pt idx="3">
                  <c:v>585484877.88</c:v>
                </c:pt>
                <c:pt idx="4">
                  <c:v>900050113.78999996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815-456D-8408-112A4369B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238640"/>
        <c:axId val="441239728"/>
      </c:lineChart>
      <c:catAx>
        <c:axId val="44123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41239728"/>
        <c:crosses val="autoZero"/>
        <c:auto val="1"/>
        <c:lblAlgn val="ctr"/>
        <c:lblOffset val="100"/>
        <c:noMultiLvlLbl val="0"/>
      </c:catAx>
      <c:valAx>
        <c:axId val="441239728"/>
        <c:scaling>
          <c:orientation val="minMax"/>
          <c:max val="1200000000"/>
          <c:min val="400000000"/>
        </c:scaling>
        <c:delete val="0"/>
        <c:axPos val="l"/>
        <c:numFmt formatCode="#,##0" sourceLinked="1"/>
        <c:majorTickMark val="none"/>
        <c:minorTickMark val="none"/>
        <c:tickLblPos val="nextTo"/>
        <c:crossAx val="441238640"/>
        <c:crosses val="autoZero"/>
        <c:crossBetween val="between"/>
      </c:valAx>
      <c:spPr>
        <a:noFill/>
        <a:ln>
          <a:noFill/>
        </a:ln>
      </c:spPr>
    </c:plotArea>
    <c:legend>
      <c:legendPos val="b"/>
      <c:layout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247043861785319E-2"/>
          <c:y val="1.4773776546629733E-2"/>
          <c:w val="0.95679921453118832"/>
          <c:h val="0.798793668796940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Piano_indicatori!$B$31</c:f>
              <c:strCache>
                <c:ptCount val="1"/>
                <c:pt idx="0">
                  <c:v>Investimenti complessivi procapite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Piano_indicatori!$D$31:$H$31</c:f>
              <c:numCache>
                <c:formatCode>0.00</c:formatCode>
                <c:ptCount val="5"/>
                <c:pt idx="0">
                  <c:v>592.14</c:v>
                </c:pt>
                <c:pt idx="1">
                  <c:v>661.57</c:v>
                </c:pt>
                <c:pt idx="2">
                  <c:v>673.11</c:v>
                </c:pt>
                <c:pt idx="3">
                  <c:v>663.52</c:v>
                </c:pt>
                <c:pt idx="4">
                  <c:v>691.04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33-4A6E-8076-E1B5B866D10D}"/>
            </c:ext>
          </c:extLst>
        </c:ser>
        <c:ser>
          <c:idx val="1"/>
          <c:order val="1"/>
          <c:tx>
            <c:strRef>
              <c:f>Piano_indicatori!$B$91</c:f>
              <c:strCache>
                <c:ptCount val="1"/>
                <c:pt idx="0">
                  <c:v>Media Regioni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Piano_indicatori!$D$93:$H$93</c:f>
              <c:numCache>
                <c:formatCode>0.00</c:formatCode>
                <c:ptCount val="5"/>
                <c:pt idx="0">
                  <c:v>251.09759762080674</c:v>
                </c:pt>
                <c:pt idx="1">
                  <c:v>226.20399780332346</c:v>
                </c:pt>
                <c:pt idx="2">
                  <c:v>238.9835900012705</c:v>
                </c:pt>
                <c:pt idx="3">
                  <c:v>254.8769995879359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533-4A6E-8076-E1B5B866D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6249552"/>
        <c:axId val="716253360"/>
      </c:barChart>
      <c:catAx>
        <c:axId val="716249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716253360"/>
        <c:crosses val="autoZero"/>
        <c:auto val="1"/>
        <c:lblAlgn val="ctr"/>
        <c:lblOffset val="100"/>
        <c:noMultiLvlLbl val="0"/>
      </c:catAx>
      <c:valAx>
        <c:axId val="716253360"/>
        <c:scaling>
          <c:orientation val="minMax"/>
        </c:scaling>
        <c:delete val="1"/>
        <c:axPos val="l"/>
        <c:numFmt formatCode="0" sourceLinked="0"/>
        <c:majorTickMark val="none"/>
        <c:minorTickMark val="none"/>
        <c:tickLblPos val="none"/>
        <c:crossAx val="716249552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2604501756868032"/>
          <c:y val="0.91535004107865958"/>
          <c:w val="0.3636191867769108"/>
          <c:h val="8.4649958921340043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741E-2"/>
          <c:y val="3.6934441366574568E-3"/>
          <c:w val="0.95679921453118832"/>
          <c:h val="0.798793668796940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Piano_indicatori!$B$47</c:f>
              <c:strCache>
                <c:ptCount val="1"/>
                <c:pt idx="0">
                  <c:v>Indicatore annuale di tempestività dei pagamenti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Piano_indicatori!$D$47:$H$47</c:f>
              <c:numCache>
                <c:formatCode>0.00</c:formatCode>
                <c:ptCount val="5"/>
                <c:pt idx="0">
                  <c:v>-10</c:v>
                </c:pt>
                <c:pt idx="1">
                  <c:v>-13</c:v>
                </c:pt>
                <c:pt idx="2">
                  <c:v>-10</c:v>
                </c:pt>
                <c:pt idx="3">
                  <c:v>-13.67</c:v>
                </c:pt>
                <c:pt idx="4">
                  <c:v>-20.18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44-41B9-BDCF-288E48435941}"/>
            </c:ext>
          </c:extLst>
        </c:ser>
        <c:ser>
          <c:idx val="1"/>
          <c:order val="1"/>
          <c:tx>
            <c:strRef>
              <c:f>Piano_indicatori!$B$91</c:f>
              <c:strCache>
                <c:ptCount val="1"/>
                <c:pt idx="0">
                  <c:v>Media Regioni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Piano_indicatori!$D$94:$H$94</c:f>
              <c:numCache>
                <c:formatCode>0.00</c:formatCode>
                <c:ptCount val="5"/>
                <c:pt idx="0">
                  <c:v>5.1523529411764697</c:v>
                </c:pt>
                <c:pt idx="1">
                  <c:v>-0.42166666666666625</c:v>
                </c:pt>
                <c:pt idx="2">
                  <c:v>-3.3627777777777768</c:v>
                </c:pt>
                <c:pt idx="3">
                  <c:v>-6.1844444444444466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44-41B9-BDCF-288E48435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6252272"/>
        <c:axId val="716246288"/>
      </c:barChart>
      <c:catAx>
        <c:axId val="716252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716246288"/>
        <c:crosses val="autoZero"/>
        <c:auto val="1"/>
        <c:lblAlgn val="ctr"/>
        <c:lblOffset val="100"/>
        <c:noMultiLvlLbl val="0"/>
      </c:catAx>
      <c:valAx>
        <c:axId val="716246288"/>
        <c:scaling>
          <c:orientation val="minMax"/>
          <c:min val="-22"/>
        </c:scaling>
        <c:delete val="1"/>
        <c:axPos val="l"/>
        <c:numFmt formatCode="0" sourceLinked="0"/>
        <c:majorTickMark val="out"/>
        <c:minorTickMark val="none"/>
        <c:tickLblPos val="nextTo"/>
        <c:crossAx val="716252272"/>
        <c:crosses val="autoZero"/>
        <c:crossBetween val="between"/>
        <c:majorUnit val="5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741E-2"/>
          <c:y val="3.6934441366574568E-3"/>
          <c:w val="0.95679921453118832"/>
          <c:h val="0.798793668796940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Piano_indicatori!$B$52</c:f>
              <c:strCache>
                <c:ptCount val="1"/>
                <c:pt idx="0">
                  <c:v>Indebitamento procapite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Piano_indicatori!$D$52:$H$52</c:f>
              <c:numCache>
                <c:formatCode>0.00</c:formatCode>
                <c:ptCount val="5"/>
                <c:pt idx="0">
                  <c:v>426.7</c:v>
                </c:pt>
                <c:pt idx="1">
                  <c:v>330.16</c:v>
                </c:pt>
                <c:pt idx="2">
                  <c:v>303.89999999999998</c:v>
                </c:pt>
                <c:pt idx="3">
                  <c:v>280.38</c:v>
                </c:pt>
                <c:pt idx="4">
                  <c:v>262.61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10-4DD5-8C34-963CC30C4CFD}"/>
            </c:ext>
          </c:extLst>
        </c:ser>
        <c:ser>
          <c:idx val="1"/>
          <c:order val="1"/>
          <c:tx>
            <c:strRef>
              <c:f>Piano_indicatori!$B$91</c:f>
              <c:strCache>
                <c:ptCount val="1"/>
                <c:pt idx="0">
                  <c:v>Media Regioni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Piano_indicatori!$D$95:$H$95</c:f>
              <c:numCache>
                <c:formatCode>0.00</c:formatCode>
                <c:ptCount val="5"/>
                <c:pt idx="0">
                  <c:v>1497.6574370098967</c:v>
                </c:pt>
                <c:pt idx="1">
                  <c:v>1511.4496314108096</c:v>
                </c:pt>
                <c:pt idx="2">
                  <c:v>1479.4297544978085</c:v>
                </c:pt>
                <c:pt idx="3">
                  <c:v>1400.855257564868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910-4DD5-8C34-963CC30C4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6240848"/>
        <c:axId val="716251184"/>
      </c:barChart>
      <c:catAx>
        <c:axId val="716240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716251184"/>
        <c:crosses val="autoZero"/>
        <c:auto val="1"/>
        <c:lblAlgn val="ctr"/>
        <c:lblOffset val="100"/>
        <c:noMultiLvlLbl val="0"/>
      </c:catAx>
      <c:valAx>
        <c:axId val="716251184"/>
        <c:scaling>
          <c:orientation val="minMax"/>
          <c:max val="1700"/>
          <c:min val="0"/>
        </c:scaling>
        <c:delete val="1"/>
        <c:axPos val="l"/>
        <c:numFmt formatCode="0" sourceLinked="0"/>
        <c:majorTickMark val="none"/>
        <c:minorTickMark val="none"/>
        <c:tickLblPos val="none"/>
        <c:crossAx val="716240848"/>
        <c:crosses val="autoZero"/>
        <c:crossBetween val="between"/>
        <c:majorUnit val="10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37752097937642"/>
          <c:y val="7.7745360071207401E-3"/>
          <c:w val="0.7904190377010355"/>
          <c:h val="0.9494655159537152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Popolazione!$A$1</c:f>
              <c:strCache>
                <c:ptCount val="1"/>
                <c:pt idx="0">
                  <c:v>Anno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Popolazione!$A$2:$A$8</c:f>
              <c:numCache>
                <c:formatCode>General</c:formatCode>
                <c:ptCount val="7"/>
                <c:pt idx="0">
                  <c:v>2021</c:v>
                </c:pt>
                <c:pt idx="1">
                  <c:v>2020</c:v>
                </c:pt>
                <c:pt idx="2">
                  <c:v>2019</c:v>
                </c:pt>
                <c:pt idx="3">
                  <c:v>2018</c:v>
                </c:pt>
                <c:pt idx="4">
                  <c:v>2017</c:v>
                </c:pt>
                <c:pt idx="5">
                  <c:v>2016</c:v>
                </c:pt>
                <c:pt idx="6">
                  <c:v>2015</c:v>
                </c:pt>
              </c:numCache>
            </c:numRef>
          </c:cat>
          <c:val>
            <c:numRef>
              <c:f>Popolazione!$B$2:$B$8</c:f>
              <c:numCache>
                <c:formatCode>#,##0</c:formatCode>
                <c:ptCount val="7"/>
                <c:pt idx="0">
                  <c:v>1201510</c:v>
                </c:pt>
                <c:pt idx="1">
                  <c:v>1206216</c:v>
                </c:pt>
                <c:pt idx="2">
                  <c:v>1210414</c:v>
                </c:pt>
                <c:pt idx="3">
                  <c:v>1211155</c:v>
                </c:pt>
                <c:pt idx="4">
                  <c:v>1212809</c:v>
                </c:pt>
                <c:pt idx="5">
                  <c:v>1216208</c:v>
                </c:pt>
                <c:pt idx="6">
                  <c:v>1221664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94-47EF-9023-381B80469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6243024"/>
        <c:axId val="716242480"/>
      </c:barChart>
      <c:catAx>
        <c:axId val="7162430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0"/>
            </a:pPr>
            <a:endParaRPr lang="it-IT"/>
          </a:p>
        </c:txPr>
        <c:crossAx val="716242480"/>
        <c:crosses val="autoZero"/>
        <c:auto val="1"/>
        <c:lblAlgn val="ctr"/>
        <c:lblOffset val="100"/>
        <c:noMultiLvlLbl val="0"/>
      </c:catAx>
      <c:valAx>
        <c:axId val="716242480"/>
        <c:scaling>
          <c:orientation val="minMax"/>
          <c:max val="1250000"/>
          <c:min val="0"/>
        </c:scaling>
        <c:delete val="0"/>
        <c:axPos val="b"/>
        <c:numFmt formatCode="#,##0" sourceLinked="1"/>
        <c:majorTickMark val="none"/>
        <c:minorTickMark val="none"/>
        <c:tickLblPos val="none"/>
        <c:crossAx val="716243024"/>
        <c:crosses val="autoZero"/>
        <c:crossBetween val="between"/>
        <c:majorUnit val="1000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Risultato_amministrazione!$A$8</c:f>
              <c:strCache>
                <c:ptCount val="1"/>
                <c:pt idx="0">
                  <c:v>Fondo crediti di dubbia esigibilità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Risultato_amministrazione!$B$1:$F$1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Risultato_amministrazione!$B$8:$F$8</c:f>
              <c:numCache>
                <c:formatCode>#,##0</c:formatCode>
                <c:ptCount val="5"/>
                <c:pt idx="0">
                  <c:v>27500000</c:v>
                </c:pt>
                <c:pt idx="1">
                  <c:v>38600000</c:v>
                </c:pt>
                <c:pt idx="2">
                  <c:v>40450000</c:v>
                </c:pt>
                <c:pt idx="3">
                  <c:v>42050000</c:v>
                </c:pt>
                <c:pt idx="4">
                  <c:v>40350000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570-4566-BAA9-AA8B82BC92A7}"/>
            </c:ext>
          </c:extLst>
        </c:ser>
        <c:ser>
          <c:idx val="0"/>
          <c:order val="1"/>
          <c:tx>
            <c:strRef>
              <c:f>Risultato_amministrazione!$A$52</c:f>
              <c:strCache>
                <c:ptCount val="1"/>
                <c:pt idx="0">
                  <c:v>Altri accantonamenti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numRef>
              <c:f>Risultato_amministrazione!$B$1:$F$1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Risultato_amministrazione!$B$52:$F$52</c:f>
              <c:numCache>
                <c:formatCode>#,##0</c:formatCode>
                <c:ptCount val="5"/>
                <c:pt idx="0">
                  <c:v>296214033.89999998</c:v>
                </c:pt>
                <c:pt idx="1">
                  <c:v>356421577.68000001</c:v>
                </c:pt>
                <c:pt idx="2">
                  <c:v>363454520.55000001</c:v>
                </c:pt>
                <c:pt idx="3">
                  <c:v>530076854.96999997</c:v>
                </c:pt>
                <c:pt idx="4">
                  <c:v>1189065424.79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6026608"/>
        <c:axId val="706023888"/>
      </c:barChart>
      <c:lineChart>
        <c:grouping val="standard"/>
        <c:varyColors val="0"/>
        <c:ser>
          <c:idx val="2"/>
          <c:order val="2"/>
          <c:tx>
            <c:strRef>
              <c:f>Risultato_amministrazione!$A$24</c:f>
              <c:strCache>
                <c:ptCount val="1"/>
                <c:pt idx="0">
                  <c:v>Rapporto Fcde/Residui attivi (scala dx)</c:v>
                </c:pt>
              </c:strCache>
            </c:strRef>
          </c:tx>
          <c:spPr>
            <a:ln w="444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7811860940695283E-2"/>
                  <c:y val="2.91262135922330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7811860940695321E-2"/>
                  <c:y val="3.8834951456310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4723926380368103E-2"/>
                  <c:y val="1.94174757281553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Risultato_amministrazione!$B$1:$F$1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Risultato_amministrazione!$B$24:$F$24</c:f>
              <c:numCache>
                <c:formatCode>0.0</c:formatCode>
                <c:ptCount val="5"/>
                <c:pt idx="0">
                  <c:v>3.264448442598554</c:v>
                </c:pt>
                <c:pt idx="1">
                  <c:v>3.9846812508504534</c:v>
                </c:pt>
                <c:pt idx="2">
                  <c:v>3.5002225240986</c:v>
                </c:pt>
                <c:pt idx="3">
                  <c:v>4.382714985579196</c:v>
                </c:pt>
                <c:pt idx="4">
                  <c:v>3.8244358302894561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570-4566-BAA9-AA8B82BC9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693376"/>
        <c:axId val="706025520"/>
      </c:lineChart>
      <c:catAx>
        <c:axId val="706026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06023888"/>
        <c:crosses val="autoZero"/>
        <c:auto val="1"/>
        <c:lblAlgn val="ctr"/>
        <c:lblOffset val="100"/>
        <c:noMultiLvlLbl val="0"/>
      </c:catAx>
      <c:valAx>
        <c:axId val="70602388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06026608"/>
        <c:crosses val="autoZero"/>
        <c:crossBetween val="between"/>
      </c:valAx>
      <c:valAx>
        <c:axId val="706025520"/>
        <c:scaling>
          <c:orientation val="minMax"/>
          <c:max val="4.5"/>
          <c:min val="3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40693376"/>
        <c:crosses val="max"/>
        <c:crossBetween val="between"/>
        <c:majorUnit val="0.5"/>
      </c:valAx>
      <c:catAx>
        <c:axId val="440693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602552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941014006986892E-2"/>
          <c:y val="1.9227205294990463E-2"/>
          <c:w val="0.89735185162890851"/>
          <c:h val="0.9612494959869146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Conto_economico!$A$28</c:f>
              <c:strCache>
                <c:ptCount val="1"/>
                <c:pt idx="0">
                  <c:v>Risultato dell'esercizio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4452-41DC-B25A-48B8A55670DF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</c:spPr>
          </c:dPt>
          <c:dPt>
            <c:idx val="3"/>
            <c:invertIfNegative val="0"/>
            <c:bubble3D val="0"/>
            <c:spPr>
              <a:solidFill>
                <a:srgbClr val="0070C0"/>
              </a:solidFill>
            </c:spPr>
          </c:dPt>
          <c:dLbls>
            <c:dLbl>
              <c:idx val="1"/>
              <c:layout>
                <c:manualLayout>
                  <c:x val="3.9446412014477662E-2"/>
                  <c:y val="-4.02333534500093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0070C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1402411393915835E-3"/>
                  <c:y val="-1.5871582738940975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0070C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1963655837855647E-2"/>
                  <c:y val="3.86473429951695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3EF-4EE1-84EC-90209335CF2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rgbClr val="FF000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Conto_economico!$C$1:$F$1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Conto_economico!$C$28:$F$28</c:f>
              <c:numCache>
                <c:formatCode>#,##0</c:formatCode>
                <c:ptCount val="4"/>
                <c:pt idx="0">
                  <c:v>-305767094.88000077</c:v>
                </c:pt>
                <c:pt idx="1">
                  <c:v>-25758920.780000787</c:v>
                </c:pt>
                <c:pt idx="2">
                  <c:v>273235347.53000087</c:v>
                </c:pt>
                <c:pt idx="3">
                  <c:v>279834259.95999926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452-41DC-B25A-48B8A5567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0695552"/>
        <c:axId val="655911408"/>
      </c:barChart>
      <c:catAx>
        <c:axId val="440695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1"/>
            </a:pPr>
            <a:endParaRPr lang="it-IT"/>
          </a:p>
        </c:txPr>
        <c:crossAx val="655911408"/>
        <c:crosses val="autoZero"/>
        <c:auto val="1"/>
        <c:lblAlgn val="ctr"/>
        <c:lblOffset val="100"/>
        <c:noMultiLvlLbl val="0"/>
      </c:catAx>
      <c:valAx>
        <c:axId val="65591140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one"/>
        <c:crossAx val="44069555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Stato_patrimoniale!$A$20</c:f>
              <c:strCache>
                <c:ptCount val="1"/>
                <c:pt idx="0">
                  <c:v>Debiti da finanziamento (D1)</c:v>
                </c:pt>
              </c:strCache>
            </c:strRef>
          </c:tx>
          <c:invertIfNegative val="0"/>
          <c:cat>
            <c:numRef>
              <c:f>Stato_patrimoniale!$B$1:$F$1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Stato_patrimoniale!$B$20:$F$20</c:f>
              <c:numCache>
                <c:formatCode>#,##0</c:formatCode>
                <c:ptCount val="5"/>
                <c:pt idx="0">
                  <c:v>409432961.13</c:v>
                </c:pt>
                <c:pt idx="1">
                  <c:v>369311364.04999995</c:v>
                </c:pt>
                <c:pt idx="2">
                  <c:v>389600407.09000003</c:v>
                </c:pt>
                <c:pt idx="3">
                  <c:v>340718323.19</c:v>
                </c:pt>
                <c:pt idx="4">
                  <c:v>318109136.56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78-494A-A3FF-551A6B06C6B4}"/>
            </c:ext>
          </c:extLst>
        </c:ser>
        <c:ser>
          <c:idx val="1"/>
          <c:order val="1"/>
          <c:tx>
            <c:strRef>
              <c:f>Stato_patrimoniale!$A$21</c:f>
              <c:strCache>
                <c:ptCount val="1"/>
                <c:pt idx="0">
                  <c:v>Debiti verso fornitori (D2)</c:v>
                </c:pt>
              </c:strCache>
            </c:strRef>
          </c:tx>
          <c:invertIfNegative val="0"/>
          <c:cat>
            <c:numRef>
              <c:f>Stato_patrimoniale!$B$1:$F$1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Stato_patrimoniale!$B$21:$F$21</c:f>
              <c:numCache>
                <c:formatCode>#,##0</c:formatCode>
                <c:ptCount val="5"/>
                <c:pt idx="0">
                  <c:v>97900735.409999996</c:v>
                </c:pt>
                <c:pt idx="1">
                  <c:v>106931117.77</c:v>
                </c:pt>
                <c:pt idx="2">
                  <c:v>116852802.16</c:v>
                </c:pt>
                <c:pt idx="3">
                  <c:v>110976497.72</c:v>
                </c:pt>
                <c:pt idx="4">
                  <c:v>121796680.84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78-494A-A3FF-551A6B06C6B4}"/>
            </c:ext>
          </c:extLst>
        </c:ser>
        <c:ser>
          <c:idx val="2"/>
          <c:order val="2"/>
          <c:tx>
            <c:strRef>
              <c:f>Stato_patrimoniale!$A$22</c:f>
              <c:strCache>
                <c:ptCount val="1"/>
                <c:pt idx="0">
                  <c:v>Debiti per trasferimenti e contributi (D4)</c:v>
                </c:pt>
              </c:strCache>
            </c:strRef>
          </c:tx>
          <c:invertIfNegative val="0"/>
          <c:cat>
            <c:numRef>
              <c:f>Stato_patrimoniale!$B$1:$F$1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Stato_patrimoniale!$B$22:$F$22</c:f>
              <c:numCache>
                <c:formatCode>#,##0</c:formatCode>
                <c:ptCount val="5"/>
                <c:pt idx="0">
                  <c:v>300057891.06999999</c:v>
                </c:pt>
                <c:pt idx="1">
                  <c:v>637050519.04999995</c:v>
                </c:pt>
                <c:pt idx="2">
                  <c:v>784654838.90999997</c:v>
                </c:pt>
                <c:pt idx="3">
                  <c:v>418521245.33000004</c:v>
                </c:pt>
                <c:pt idx="4">
                  <c:v>713373478.23000002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978-494A-A3FF-551A6B06C6B4}"/>
            </c:ext>
          </c:extLst>
        </c:ser>
        <c:ser>
          <c:idx val="3"/>
          <c:order val="3"/>
          <c:tx>
            <c:strRef>
              <c:f>Stato_patrimoniale!$A$25</c:f>
              <c:strCache>
                <c:ptCount val="1"/>
                <c:pt idx="0">
                  <c:v>Altri debiti (D5)</c:v>
                </c:pt>
              </c:strCache>
            </c:strRef>
          </c:tx>
          <c:invertIfNegative val="0"/>
          <c:cat>
            <c:numRef>
              <c:f>Stato_patrimoniale!$B$1:$F$1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Stato_patrimoniale!$B$25:$F$25</c:f>
              <c:numCache>
                <c:formatCode>#,##0</c:formatCode>
                <c:ptCount val="5"/>
                <c:pt idx="0">
                  <c:v>24206503.710000001</c:v>
                </c:pt>
                <c:pt idx="1">
                  <c:v>41824963.149999999</c:v>
                </c:pt>
                <c:pt idx="2">
                  <c:v>64369793.32</c:v>
                </c:pt>
                <c:pt idx="3">
                  <c:v>56026368.829999998</c:v>
                </c:pt>
                <c:pt idx="4">
                  <c:v>65120379.670000002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978-494A-A3FF-551A6B06C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55913040"/>
        <c:axId val="716253904"/>
      </c:barChart>
      <c:catAx>
        <c:axId val="655913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16253904"/>
        <c:crosses val="autoZero"/>
        <c:auto val="1"/>
        <c:lblAlgn val="ctr"/>
        <c:lblOffset val="100"/>
        <c:noMultiLvlLbl val="0"/>
      </c:catAx>
      <c:valAx>
        <c:axId val="716253904"/>
        <c:scaling>
          <c:orientation val="minMax"/>
          <c:max val="1400000000"/>
        </c:scaling>
        <c:delete val="0"/>
        <c:axPos val="l"/>
        <c:numFmt formatCode="#,##0" sourceLinked="1"/>
        <c:majorTickMark val="none"/>
        <c:minorTickMark val="none"/>
        <c:tickLblPos val="nextTo"/>
        <c:crossAx val="655913040"/>
        <c:crosses val="autoZero"/>
        <c:crossBetween val="between"/>
      </c:valAx>
      <c:spPr>
        <a:noFill/>
        <a:ln>
          <a:noFill/>
        </a:ln>
      </c:spPr>
    </c:plotArea>
    <c:legend>
      <c:legendPos val="b"/>
      <c:layout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140016946700559E-2"/>
          <c:y val="1.2121212121212118E-2"/>
          <c:w val="0.85332768443314888"/>
          <c:h val="0.832514197089000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Stato_patrimoniale!$A$16</c:f>
              <c:strCache>
                <c:ptCount val="1"/>
                <c:pt idx="0">
                  <c:v>Fondo di dotazione (A1)</c:v>
                </c:pt>
              </c:strCache>
            </c:strRef>
          </c:tx>
          <c:invertIfNegative val="0"/>
          <c:cat>
            <c:numRef>
              <c:f>Stato_patrimoniale!$B$1:$F$1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Stato_patrimoniale!$B$16:$F$16</c:f>
              <c:numCache>
                <c:formatCode>#,##0</c:formatCode>
                <c:ptCount val="5"/>
                <c:pt idx="0">
                  <c:v>3186961738.2600002</c:v>
                </c:pt>
                <c:pt idx="1">
                  <c:v>3092686058.98</c:v>
                </c:pt>
                <c:pt idx="2">
                  <c:v>3028350585.5700002</c:v>
                </c:pt>
                <c:pt idx="3">
                  <c:v>1766813128.1900001</c:v>
                </c:pt>
                <c:pt idx="4">
                  <c:v>1766813128.1900001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74-44E8-A59E-6B7D2C2D3CAD}"/>
            </c:ext>
          </c:extLst>
        </c:ser>
        <c:ser>
          <c:idx val="1"/>
          <c:order val="1"/>
          <c:tx>
            <c:strRef>
              <c:f>Stato_patrimoniale!$A$17</c:f>
              <c:strCache>
                <c:ptCount val="1"/>
                <c:pt idx="0">
                  <c:v>Riserve (A2)</c:v>
                </c:pt>
              </c:strCache>
            </c:strRef>
          </c:tx>
          <c:invertIfNegative val="0"/>
          <c:cat>
            <c:numRef>
              <c:f>Stato_patrimoniale!$B$1:$F$1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Stato_patrimoniale!$B$17:$F$17</c:f>
              <c:numCache>
                <c:formatCode>#,##0</c:formatCode>
                <c:ptCount val="5"/>
                <c:pt idx="0">
                  <c:v>1331961253.02</c:v>
                </c:pt>
                <c:pt idx="1">
                  <c:v>1426419289.45</c:v>
                </c:pt>
                <c:pt idx="2">
                  <c:v>763062246.97000003</c:v>
                </c:pt>
                <c:pt idx="3">
                  <c:v>3163822195.3899999</c:v>
                </c:pt>
                <c:pt idx="4">
                  <c:v>3457743358.4699998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374-44E8-A59E-6B7D2C2D3CAD}"/>
            </c:ext>
          </c:extLst>
        </c:ser>
        <c:ser>
          <c:idx val="2"/>
          <c:order val="2"/>
          <c:tx>
            <c:strRef>
              <c:f>Stato_patrimoniale!$A$18</c:f>
              <c:strCache>
                <c:ptCount val="1"/>
                <c:pt idx="0">
                  <c:v>Risultato economico dell'esercizio (A3)</c:v>
                </c:pt>
              </c:strCache>
            </c:strRef>
          </c:tx>
          <c:invertIfNegative val="0"/>
          <c:cat>
            <c:numRef>
              <c:f>Stato_patrimoniale!$B$1:$F$1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Stato_patrimoniale!$B$18:$F$18</c:f>
              <c:numCache>
                <c:formatCode>#,##0</c:formatCode>
                <c:ptCount val="5"/>
                <c:pt idx="0">
                  <c:v>0</c:v>
                </c:pt>
                <c:pt idx="1">
                  <c:v>-305767094.88</c:v>
                </c:pt>
                <c:pt idx="2">
                  <c:v>-25758920.780000001</c:v>
                </c:pt>
                <c:pt idx="3">
                  <c:v>273235347.52999997</c:v>
                </c:pt>
                <c:pt idx="4">
                  <c:v>279834259.95999998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374-44E8-A59E-6B7D2C2D3C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16244112"/>
        <c:axId val="716248464"/>
      </c:barChart>
      <c:catAx>
        <c:axId val="716244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it-IT"/>
          </a:p>
        </c:txPr>
        <c:crossAx val="716248464"/>
        <c:crosses val="autoZero"/>
        <c:auto val="1"/>
        <c:lblAlgn val="ctr"/>
        <c:lblOffset val="100"/>
        <c:noMultiLvlLbl val="0"/>
      </c:catAx>
      <c:valAx>
        <c:axId val="716248464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crossAx val="716244112"/>
        <c:crosses val="autoZero"/>
        <c:crossBetween val="between"/>
        <c:majorUnit val="1000000000"/>
      </c:valAx>
      <c:spPr>
        <a:noFill/>
        <a:ln>
          <a:noFill/>
        </a:ln>
      </c:spPr>
    </c:plotArea>
    <c:legend>
      <c:legendPos val="b"/>
      <c:layout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133228191836882E-2"/>
          <c:y val="3.0301278829508296E-2"/>
          <c:w val="0.91226637907374442"/>
          <c:h val="0.68340956050706358"/>
        </c:manualLayout>
      </c:layout>
      <c:lineChart>
        <c:grouping val="standard"/>
        <c:varyColors val="0"/>
        <c:ser>
          <c:idx val="0"/>
          <c:order val="0"/>
          <c:tx>
            <c:strRef>
              <c:f>Piano_indicatori!$A$73</c:f>
              <c:strCache>
                <c:ptCount val="1"/>
                <c:pt idx="0">
                  <c:v>Entrate natura tributaria, contributiva e perequativa (Titolo 1)</c:v>
                </c:pt>
              </c:strCache>
            </c:strRef>
          </c:tx>
          <c:marker>
            <c:symbol val="triangle"/>
            <c:size val="5"/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Piano_indicatori!$D$74:$H$74</c:f>
              <c:numCache>
                <c:formatCode>0.00</c:formatCode>
                <c:ptCount val="5"/>
                <c:pt idx="0">
                  <c:v>97.1</c:v>
                </c:pt>
                <c:pt idx="1">
                  <c:v>97.03</c:v>
                </c:pt>
                <c:pt idx="2">
                  <c:v>93.02</c:v>
                </c:pt>
                <c:pt idx="3">
                  <c:v>96.95</c:v>
                </c:pt>
                <c:pt idx="4">
                  <c:v>95.18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3F0-4554-BA49-E20421A575FC}"/>
            </c:ext>
          </c:extLst>
        </c:ser>
        <c:ser>
          <c:idx val="1"/>
          <c:order val="1"/>
          <c:tx>
            <c:strRef>
              <c:f>Piano_indicatori!$A$77</c:f>
              <c:strCache>
                <c:ptCount val="1"/>
                <c:pt idx="0">
                  <c:v>Totale Entrate</c:v>
                </c:pt>
              </c:strCache>
            </c:strRef>
          </c:tx>
          <c:marker>
            <c:symbol val="square"/>
            <c:size val="5"/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Piano_indicatori!$D$77:$H$77</c:f>
              <c:numCache>
                <c:formatCode>0.00</c:formatCode>
                <c:ptCount val="5"/>
                <c:pt idx="0">
                  <c:v>89.173544184876604</c:v>
                </c:pt>
                <c:pt idx="1">
                  <c:v>87.44626159324423</c:v>
                </c:pt>
                <c:pt idx="2">
                  <c:v>85.847817303566984</c:v>
                </c:pt>
                <c:pt idx="3">
                  <c:v>88.542267545339897</c:v>
                </c:pt>
                <c:pt idx="4">
                  <c:v>87.630643068904888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3F0-4554-BA49-E20421A575FC}"/>
            </c:ext>
          </c:extLst>
        </c:ser>
        <c:ser>
          <c:idx val="2"/>
          <c:order val="2"/>
          <c:tx>
            <c:strRef>
              <c:f>Piano_indicatori!$A$78</c:f>
              <c:strCache>
                <c:ptCount val="1"/>
                <c:pt idx="0">
                  <c:v>Totale Entrate nette</c:v>
                </c:pt>
              </c:strCache>
            </c:strRef>
          </c:tx>
          <c:marker>
            <c:symbol val="diamond"/>
            <c:size val="7"/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Piano_indicatori!$D$78:$H$78</c:f>
              <c:numCache>
                <c:formatCode>0.00</c:formatCode>
                <c:ptCount val="5"/>
                <c:pt idx="0">
                  <c:v>89.055776321662293</c:v>
                </c:pt>
                <c:pt idx="1">
                  <c:v>87.441376498980887</c:v>
                </c:pt>
                <c:pt idx="2">
                  <c:v>85.962176269485226</c:v>
                </c:pt>
                <c:pt idx="3">
                  <c:v>88.692911117994626</c:v>
                </c:pt>
                <c:pt idx="4">
                  <c:v>87.795228500067495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3F0-4554-BA49-E20421A57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245744"/>
        <c:axId val="716252816"/>
      </c:lineChart>
      <c:catAx>
        <c:axId val="716245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16252816"/>
        <c:crosses val="autoZero"/>
        <c:auto val="1"/>
        <c:lblAlgn val="ctr"/>
        <c:lblOffset val="100"/>
        <c:noMultiLvlLbl val="0"/>
      </c:catAx>
      <c:valAx>
        <c:axId val="716252816"/>
        <c:scaling>
          <c:orientation val="minMax"/>
          <c:min val="85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716245744"/>
        <c:crosses val="autoZero"/>
        <c:crossBetween val="between"/>
        <c:majorUnit val="5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5626467744163592E-2"/>
          <c:y val="0.8204319539844801"/>
          <c:w val="0.9617796744479159"/>
          <c:h val="0.1795680460155260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78781011404414E-2"/>
          <c:y val="4.1350142172088745E-2"/>
          <c:w val="0.9029842635309353"/>
          <c:h val="0.644953360047296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Piano_indicatori!$B$80</c:f>
              <c:strCache>
                <c:ptCount val="1"/>
                <c:pt idx="0">
                  <c:v>Istruzione e diritto allo studio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Piano_indicatori!$D$80:$H$80</c:f>
              <c:numCache>
                <c:formatCode>0.00</c:formatCode>
                <c:ptCount val="5"/>
                <c:pt idx="0">
                  <c:v>1.5160703456640388</c:v>
                </c:pt>
                <c:pt idx="1">
                  <c:v>1.4297302778341106</c:v>
                </c:pt>
                <c:pt idx="2">
                  <c:v>1.4937506350980592</c:v>
                </c:pt>
                <c:pt idx="3">
                  <c:v>1.4455868879161151</c:v>
                </c:pt>
                <c:pt idx="4">
                  <c:v>1.6966309096135981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AA-4FC4-8050-8C2A7299C75D}"/>
            </c:ext>
          </c:extLst>
        </c:ser>
        <c:ser>
          <c:idx val="1"/>
          <c:order val="1"/>
          <c:tx>
            <c:strRef>
              <c:f>Piano_indicatori!$B$81</c:f>
              <c:strCache>
                <c:ptCount val="1"/>
                <c:pt idx="0">
                  <c:v>Sviluppo sostenibile, tutela territ. e ambiente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Piano_indicatori!$D$81:$H$81</c:f>
              <c:numCache>
                <c:formatCode>0.00</c:formatCode>
                <c:ptCount val="5"/>
                <c:pt idx="0">
                  <c:v>3.0220335556903177</c:v>
                </c:pt>
                <c:pt idx="1">
                  <c:v>3.8328939363212329</c:v>
                </c:pt>
                <c:pt idx="2">
                  <c:v>3.7292958032720249</c:v>
                </c:pt>
                <c:pt idx="3">
                  <c:v>3.9499134683905117</c:v>
                </c:pt>
                <c:pt idx="4">
                  <c:v>4.2718379582953707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AA-4FC4-8050-8C2A7299C75D}"/>
            </c:ext>
          </c:extLst>
        </c:ser>
        <c:ser>
          <c:idx val="2"/>
          <c:order val="2"/>
          <c:tx>
            <c:strRef>
              <c:f>Piano_indicatori!$B$82</c:f>
              <c:strCache>
                <c:ptCount val="1"/>
                <c:pt idx="0">
                  <c:v>Trasporti e diritto alla mobilità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Piano_indicatori!$D$82:$H$82</c:f>
              <c:numCache>
                <c:formatCode>0.00</c:formatCode>
                <c:ptCount val="5"/>
                <c:pt idx="0">
                  <c:v>8.1261370527592476</c:v>
                </c:pt>
                <c:pt idx="1">
                  <c:v>8.6899209085378217</c:v>
                </c:pt>
                <c:pt idx="2">
                  <c:v>8.8405649832334099</c:v>
                </c:pt>
                <c:pt idx="3">
                  <c:v>9.538837422376055</c:v>
                </c:pt>
                <c:pt idx="4">
                  <c:v>9.7236741151962143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AA-4FC4-8050-8C2A7299C75D}"/>
            </c:ext>
          </c:extLst>
        </c:ser>
        <c:ser>
          <c:idx val="3"/>
          <c:order val="3"/>
          <c:tx>
            <c:strRef>
              <c:f>Piano_indicatori!$B$83</c:f>
              <c:strCache>
                <c:ptCount val="1"/>
                <c:pt idx="0">
                  <c:v>Diritti sociali, politiche sociali e famiglia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Piano_indicatori!$D$83:$H$83</c:f>
              <c:numCache>
                <c:formatCode>0.00</c:formatCode>
                <c:ptCount val="5"/>
                <c:pt idx="0">
                  <c:v>3.3353547604608855</c:v>
                </c:pt>
                <c:pt idx="1">
                  <c:v>3.2853376597039143</c:v>
                </c:pt>
                <c:pt idx="2">
                  <c:v>3.3736408901534398</c:v>
                </c:pt>
                <c:pt idx="3">
                  <c:v>3.5325257049781129</c:v>
                </c:pt>
                <c:pt idx="4">
                  <c:v>4.0652221663380184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3AA-4FC4-8050-8C2A7299C75D}"/>
            </c:ext>
          </c:extLst>
        </c:ser>
        <c:ser>
          <c:idx val="4"/>
          <c:order val="4"/>
          <c:tx>
            <c:strRef>
              <c:f>Piano_indicatori!$B$84</c:f>
              <c:strCache>
                <c:ptCount val="1"/>
                <c:pt idx="0">
                  <c:v>Tutela della salute 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Piano_indicatori!$D$84:$H$84</c:f>
              <c:numCache>
                <c:formatCode>0.00</c:formatCode>
                <c:ptCount val="5"/>
                <c:pt idx="0">
                  <c:v>33.858904386496867</c:v>
                </c:pt>
                <c:pt idx="1">
                  <c:v>35.418779152301759</c:v>
                </c:pt>
                <c:pt idx="2">
                  <c:v>34.732242658266436</c:v>
                </c:pt>
                <c:pt idx="3">
                  <c:v>36.974447724727675</c:v>
                </c:pt>
                <c:pt idx="4">
                  <c:v>39.631592563821336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16254992"/>
        <c:axId val="716254448"/>
      </c:barChart>
      <c:catAx>
        <c:axId val="716254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it-IT"/>
          </a:p>
        </c:txPr>
        <c:crossAx val="716254448"/>
        <c:crosses val="autoZero"/>
        <c:auto val="1"/>
        <c:lblAlgn val="ctr"/>
        <c:lblOffset val="100"/>
        <c:noMultiLvlLbl val="0"/>
      </c:catAx>
      <c:valAx>
        <c:axId val="716254448"/>
        <c:scaling>
          <c:orientation val="minMax"/>
          <c:max val="60"/>
          <c:min val="0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it-IT"/>
          </a:p>
        </c:txPr>
        <c:crossAx val="716254992"/>
        <c:crosses val="autoZero"/>
        <c:crossBetween val="between"/>
        <c:majorUnit val="2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4972222222222232E-2"/>
          <c:y val="0.7808438359249632"/>
          <c:w val="0.45563394884009523"/>
          <c:h val="0.21915616407503691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133073571989068E-2"/>
          <c:y val="3.03012788295083E-2"/>
          <c:w val="0.9122665336936"/>
          <c:h val="0.71915787122354546"/>
        </c:manualLayout>
      </c:layout>
      <c:lineChart>
        <c:grouping val="standard"/>
        <c:varyColors val="0"/>
        <c:ser>
          <c:idx val="0"/>
          <c:order val="0"/>
          <c:tx>
            <c:strRef>
              <c:f>Piano_indicatori!$B$86</c:f>
              <c:strCache>
                <c:ptCount val="1"/>
                <c:pt idx="0">
                  <c:v>Istruzione e diritto allo studio</c:v>
                </c:pt>
              </c:strCache>
            </c:strRef>
          </c:tx>
          <c:marker>
            <c:symbol val="triangle"/>
            <c:size val="5"/>
            <c:spPr>
              <a:solidFill>
                <a:srgbClr val="4BACC6">
                  <a:lumMod val="40000"/>
                  <a:lumOff val="60000"/>
                </a:srgbClr>
              </a:solidFill>
            </c:spPr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Piano_indicatori!$D$86:$H$86</c:f>
              <c:numCache>
                <c:formatCode>0.00</c:formatCode>
                <c:ptCount val="5"/>
                <c:pt idx="0">
                  <c:v>94.702607845045492</c:v>
                </c:pt>
                <c:pt idx="1">
                  <c:v>80.27</c:v>
                </c:pt>
                <c:pt idx="2">
                  <c:v>68.37</c:v>
                </c:pt>
                <c:pt idx="3">
                  <c:v>76.959999999999994</c:v>
                </c:pt>
                <c:pt idx="4">
                  <c:v>88.82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73A-469B-84B2-5562AE3617E1}"/>
            </c:ext>
          </c:extLst>
        </c:ser>
        <c:ser>
          <c:idx val="1"/>
          <c:order val="1"/>
          <c:tx>
            <c:strRef>
              <c:f>Piano_indicatori!$B$87</c:f>
              <c:strCache>
                <c:ptCount val="1"/>
                <c:pt idx="0">
                  <c:v>Sviluppo sostenibile, tutela territ. e ambiente</c:v>
                </c:pt>
              </c:strCache>
            </c:strRef>
          </c:tx>
          <c:marker>
            <c:symbol val="square"/>
            <c:size val="5"/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Piano_indicatori!$D$87:$H$87</c:f>
              <c:numCache>
                <c:formatCode>0.00</c:formatCode>
                <c:ptCount val="5"/>
                <c:pt idx="0">
                  <c:v>79.73731187354133</c:v>
                </c:pt>
                <c:pt idx="1">
                  <c:v>83.56</c:v>
                </c:pt>
                <c:pt idx="2">
                  <c:v>79.510000000000005</c:v>
                </c:pt>
                <c:pt idx="3">
                  <c:v>78.56</c:v>
                </c:pt>
                <c:pt idx="4">
                  <c:v>80.53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73A-469B-84B2-5562AE3617E1}"/>
            </c:ext>
          </c:extLst>
        </c:ser>
        <c:ser>
          <c:idx val="2"/>
          <c:order val="2"/>
          <c:tx>
            <c:strRef>
              <c:f>Piano_indicatori!$B$88</c:f>
              <c:strCache>
                <c:ptCount val="1"/>
                <c:pt idx="0">
                  <c:v>Trasporti e diritto alla mobilità</c:v>
                </c:pt>
              </c:strCache>
            </c:strRef>
          </c:tx>
          <c:marker>
            <c:symbol val="diamond"/>
            <c:size val="5"/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Piano_indicatori!$D$88:$H$88</c:f>
              <c:numCache>
                <c:formatCode>0.00</c:formatCode>
                <c:ptCount val="5"/>
                <c:pt idx="0">
                  <c:v>86.148722209890067</c:v>
                </c:pt>
                <c:pt idx="1">
                  <c:v>84.1</c:v>
                </c:pt>
                <c:pt idx="2">
                  <c:v>72.34</c:v>
                </c:pt>
                <c:pt idx="3">
                  <c:v>82.8</c:v>
                </c:pt>
                <c:pt idx="4">
                  <c:v>78.58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73A-469B-84B2-5562AE3617E1}"/>
            </c:ext>
          </c:extLst>
        </c:ser>
        <c:ser>
          <c:idx val="3"/>
          <c:order val="3"/>
          <c:tx>
            <c:strRef>
              <c:f>Piano_indicatori!$B$89</c:f>
              <c:strCache>
                <c:ptCount val="1"/>
                <c:pt idx="0">
                  <c:v>Diritti sociali, politiche sociali e famiglia</c:v>
                </c:pt>
              </c:strCache>
            </c:strRef>
          </c:tx>
          <c:marker>
            <c:symbol val="circle"/>
            <c:size val="5"/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Piano_indicatori!$D$89:$H$89</c:f>
              <c:numCache>
                <c:formatCode>0.00</c:formatCode>
                <c:ptCount val="5"/>
                <c:pt idx="0">
                  <c:v>95.85419921924229</c:v>
                </c:pt>
                <c:pt idx="1">
                  <c:v>96.01</c:v>
                </c:pt>
                <c:pt idx="2">
                  <c:v>96.72</c:v>
                </c:pt>
                <c:pt idx="3">
                  <c:v>96.11</c:v>
                </c:pt>
                <c:pt idx="4">
                  <c:v>94.74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73A-469B-84B2-5562AE3617E1}"/>
            </c:ext>
          </c:extLst>
        </c:ser>
        <c:ser>
          <c:idx val="4"/>
          <c:order val="4"/>
          <c:tx>
            <c:strRef>
              <c:f>Piano_indicatori!$B$90</c:f>
              <c:strCache>
                <c:ptCount val="1"/>
                <c:pt idx="0">
                  <c:v>Tutela della salute </c:v>
                </c:pt>
              </c:strCache>
            </c:strRef>
          </c:tx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Piano_indicatori!$D$90:$H$90</c:f>
              <c:numCache>
                <c:formatCode>0.00</c:formatCode>
                <c:ptCount val="5"/>
                <c:pt idx="0">
                  <c:v>97.355229265915114</c:v>
                </c:pt>
                <c:pt idx="1">
                  <c:v>89.39</c:v>
                </c:pt>
                <c:pt idx="2">
                  <c:v>96.34</c:v>
                </c:pt>
                <c:pt idx="3">
                  <c:v>94.96</c:v>
                </c:pt>
                <c:pt idx="4">
                  <c:v>93.51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256080"/>
        <c:axId val="716247920"/>
      </c:lineChart>
      <c:catAx>
        <c:axId val="71625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716247920"/>
        <c:crosses val="autoZero"/>
        <c:auto val="1"/>
        <c:lblAlgn val="ctr"/>
        <c:lblOffset val="100"/>
        <c:noMultiLvlLbl val="0"/>
      </c:catAx>
      <c:valAx>
        <c:axId val="716247920"/>
        <c:scaling>
          <c:orientation val="minMax"/>
          <c:max val="100"/>
          <c:min val="60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716256080"/>
        <c:crosses val="autoZero"/>
        <c:crossBetween val="between"/>
        <c:majorUnit val="1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7.9534903497887523E-3"/>
          <c:y val="0.85234684760149848"/>
          <c:w val="0.96716740304369175"/>
          <c:h val="0.14765315239850338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717E-2"/>
          <c:y val="0"/>
          <c:w val="0.95679921453118766"/>
          <c:h val="0.802487112933598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Piano_indicatori!$B$20</c:f>
              <c:strCache>
                <c:ptCount val="1"/>
                <c:pt idx="0">
                  <c:v>Spesa di personale procapite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Piano_indicatori!$D$20:$H$20</c:f>
              <c:numCache>
                <c:formatCode>0.00</c:formatCode>
                <c:ptCount val="5"/>
                <c:pt idx="0">
                  <c:v>151.5</c:v>
                </c:pt>
                <c:pt idx="1">
                  <c:v>167.08</c:v>
                </c:pt>
                <c:pt idx="2">
                  <c:v>173.17</c:v>
                </c:pt>
                <c:pt idx="3">
                  <c:v>173.07</c:v>
                </c:pt>
                <c:pt idx="4">
                  <c:v>158.02000000000001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31-4E19-98D9-D92F9A6181BB}"/>
            </c:ext>
          </c:extLst>
        </c:ser>
        <c:ser>
          <c:idx val="1"/>
          <c:order val="1"/>
          <c:tx>
            <c:strRef>
              <c:f>Piano_indicatori!$B$91</c:f>
              <c:strCache>
                <c:ptCount val="1"/>
                <c:pt idx="0">
                  <c:v>Media Regioni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Piano_indicatori!$D$92:$H$92</c:f>
              <c:numCache>
                <c:formatCode>0.00</c:formatCode>
                <c:ptCount val="5"/>
                <c:pt idx="0">
                  <c:v>93.080814543787938</c:v>
                </c:pt>
                <c:pt idx="1">
                  <c:v>88.060780079821342</c:v>
                </c:pt>
                <c:pt idx="2">
                  <c:v>89.823506154392092</c:v>
                </c:pt>
                <c:pt idx="3">
                  <c:v>92.549410739486376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31-4E19-98D9-D92F9A618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6249008"/>
        <c:axId val="716251728"/>
      </c:barChart>
      <c:catAx>
        <c:axId val="716249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716251728"/>
        <c:crosses val="autoZero"/>
        <c:auto val="1"/>
        <c:lblAlgn val="ctr"/>
        <c:lblOffset val="100"/>
        <c:noMultiLvlLbl val="0"/>
      </c:catAx>
      <c:valAx>
        <c:axId val="716251728"/>
        <c:scaling>
          <c:orientation val="minMax"/>
        </c:scaling>
        <c:delete val="1"/>
        <c:axPos val="l"/>
        <c:numFmt formatCode="0" sourceLinked="0"/>
        <c:majorTickMark val="none"/>
        <c:minorTickMark val="none"/>
        <c:tickLblPos val="none"/>
        <c:crossAx val="716249008"/>
        <c:crosses val="autoZero"/>
        <c:crossBetween val="between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1171574</xdr:colOff>
      <xdr:row>26</xdr:row>
      <xdr:rowOff>142874</xdr:rowOff>
    </xdr:from>
    <xdr:to>
      <xdr:col>9</xdr:col>
      <xdr:colOff>247650</xdr:colOff>
      <xdr:row>49</xdr:row>
      <xdr:rowOff>95249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1962150</xdr:colOff>
      <xdr:row>53</xdr:row>
      <xdr:rowOff>9525</xdr:rowOff>
    </xdr:from>
    <xdr:to>
      <xdr:col>9</xdr:col>
      <xdr:colOff>590550</xdr:colOff>
      <xdr:row>73</xdr:row>
      <xdr:rowOff>123825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28</xdr:row>
      <xdr:rowOff>133349</xdr:rowOff>
    </xdr:from>
    <xdr:to>
      <xdr:col>9</xdr:col>
      <xdr:colOff>514349</xdr:colOff>
      <xdr:row>45</xdr:row>
      <xdr:rowOff>180974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419098</xdr:colOff>
      <xdr:row>30</xdr:row>
      <xdr:rowOff>38100</xdr:rowOff>
    </xdr:from>
    <xdr:to>
      <xdr:col>6</xdr:col>
      <xdr:colOff>638175</xdr:colOff>
      <xdr:row>50</xdr:row>
      <xdr:rowOff>133350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400050</xdr:colOff>
      <xdr:row>53</xdr:row>
      <xdr:rowOff>85725</xdr:rowOff>
    </xdr:from>
    <xdr:to>
      <xdr:col>6</xdr:col>
      <xdr:colOff>514350</xdr:colOff>
      <xdr:row>75</xdr:row>
      <xdr:rowOff>85725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181</xdr:row>
      <xdr:rowOff>28576</xdr:rowOff>
    </xdr:from>
    <xdr:to>
      <xdr:col>2</xdr:col>
      <xdr:colOff>752475</xdr:colOff>
      <xdr:row>199</xdr:row>
      <xdr:rowOff>180976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552449</xdr:colOff>
      <xdr:row>201</xdr:row>
      <xdr:rowOff>123823</xdr:rowOff>
    </xdr:from>
    <xdr:to>
      <xdr:col>3</xdr:col>
      <xdr:colOff>85724</xdr:colOff>
      <xdr:row>219</xdr:row>
      <xdr:rowOff>104775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221</xdr:row>
      <xdr:rowOff>0</xdr:rowOff>
    </xdr:from>
    <xdr:to>
      <xdr:col>3</xdr:col>
      <xdr:colOff>123825</xdr:colOff>
      <xdr:row>239</xdr:row>
      <xdr:rowOff>152400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97</xdr:row>
      <xdr:rowOff>161924</xdr:rowOff>
    </xdr:from>
    <xdr:to>
      <xdr:col>3</xdr:col>
      <xdr:colOff>123825</xdr:colOff>
      <xdr:row>115</xdr:row>
      <xdr:rowOff>171449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118</xdr:row>
      <xdr:rowOff>142875</xdr:rowOff>
    </xdr:from>
    <xdr:to>
      <xdr:col>3</xdr:col>
      <xdr:colOff>123825</xdr:colOff>
      <xdr:row>136</xdr:row>
      <xdr:rowOff>152400</xdr:rowOff>
    </xdr:to>
    <xdr:graphicFrame macro="">
      <xdr:nvGraphicFramePr>
        <xdr:cNvPr id="10" name="Gra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139</xdr:row>
      <xdr:rowOff>0</xdr:rowOff>
    </xdr:from>
    <xdr:to>
      <xdr:col>3</xdr:col>
      <xdr:colOff>123825</xdr:colOff>
      <xdr:row>157</xdr:row>
      <xdr:rowOff>9525</xdr:rowOff>
    </xdr:to>
    <xdr:graphicFrame macro="">
      <xdr:nvGraphicFramePr>
        <xdr:cNvPr id="12" name="Gra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160</xdr:row>
      <xdr:rowOff>0</xdr:rowOff>
    </xdr:from>
    <xdr:to>
      <xdr:col>3</xdr:col>
      <xdr:colOff>123825</xdr:colOff>
      <xdr:row>178</xdr:row>
      <xdr:rowOff>9525</xdr:rowOff>
    </xdr:to>
    <xdr:graphicFrame macro="">
      <xdr:nvGraphicFramePr>
        <xdr:cNvPr id="13" name="Gra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57148</xdr:colOff>
      <xdr:row>9</xdr:row>
      <xdr:rowOff>19049</xdr:rowOff>
    </xdr:from>
    <xdr:to>
      <xdr:col>9</xdr:col>
      <xdr:colOff>419100</xdr:colOff>
      <xdr:row>26</xdr:row>
      <xdr:rowOff>47625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"/>
  <sheetViews>
    <sheetView workbookViewId="0">
      <pane xSplit="1" ySplit="2" topLeftCell="G9" activePane="bottomRight" state="frozen"/>
      <selection pane="topRight" activeCell="B1" sqref="B1"/>
      <selection pane="bottomLeft" activeCell="A3" sqref="A3"/>
      <selection pane="bottomRight" activeCell="N3" sqref="N3:O55"/>
    </sheetView>
  </sheetViews>
  <sheetFormatPr defaultRowHeight="14.4" x14ac:dyDescent="0.3"/>
  <cols>
    <col min="1" max="1" width="60.6640625" bestFit="1" customWidth="1"/>
    <col min="2" max="3" width="15.33203125" bestFit="1" customWidth="1"/>
    <col min="4" max="4" width="7.109375" customWidth="1"/>
    <col min="5" max="6" width="15.33203125" bestFit="1" customWidth="1"/>
    <col min="7" max="7" width="7.109375" customWidth="1"/>
    <col min="8" max="9" width="15.33203125" bestFit="1" customWidth="1"/>
    <col min="10" max="10" width="7.109375" customWidth="1"/>
    <col min="11" max="12" width="15.33203125" bestFit="1" customWidth="1"/>
    <col min="13" max="13" width="7.109375" customWidth="1"/>
    <col min="14" max="15" width="15.33203125" bestFit="1" customWidth="1"/>
    <col min="16" max="16" width="7.109375" customWidth="1"/>
  </cols>
  <sheetData>
    <row r="1" spans="1:18" x14ac:dyDescent="0.3">
      <c r="B1" s="111">
        <v>2016</v>
      </c>
      <c r="C1" s="111"/>
      <c r="D1" s="112"/>
      <c r="E1" s="113">
        <v>2017</v>
      </c>
      <c r="F1" s="111"/>
      <c r="G1" s="112"/>
      <c r="H1" s="113">
        <v>2018</v>
      </c>
      <c r="I1" s="111"/>
      <c r="J1" s="112"/>
      <c r="K1" s="113">
        <v>2019</v>
      </c>
      <c r="L1" s="111"/>
      <c r="M1" s="112"/>
      <c r="N1" s="113">
        <v>2020</v>
      </c>
      <c r="O1" s="111"/>
      <c r="P1" s="112"/>
      <c r="Q1" s="110" t="s">
        <v>232</v>
      </c>
      <c r="R1" s="110"/>
    </row>
    <row r="2" spans="1:18" x14ac:dyDescent="0.3">
      <c r="B2" s="17" t="s">
        <v>72</v>
      </c>
      <c r="C2" s="17" t="s">
        <v>73</v>
      </c>
      <c r="D2" s="18" t="s">
        <v>233</v>
      </c>
      <c r="E2" s="23" t="s">
        <v>72</v>
      </c>
      <c r="F2" s="17" t="s">
        <v>73</v>
      </c>
      <c r="G2" s="18" t="s">
        <v>233</v>
      </c>
      <c r="H2" s="23" t="s">
        <v>72</v>
      </c>
      <c r="I2" s="17" t="s">
        <v>73</v>
      </c>
      <c r="J2" s="18" t="s">
        <v>233</v>
      </c>
      <c r="K2" s="23" t="s">
        <v>72</v>
      </c>
      <c r="L2" s="17" t="s">
        <v>73</v>
      </c>
      <c r="M2" s="18" t="s">
        <v>233</v>
      </c>
      <c r="N2" s="23" t="s">
        <v>72</v>
      </c>
      <c r="O2" s="17" t="s">
        <v>73</v>
      </c>
      <c r="P2" s="18" t="s">
        <v>233</v>
      </c>
      <c r="Q2" s="12" t="s">
        <v>72</v>
      </c>
      <c r="R2" s="12" t="s">
        <v>73</v>
      </c>
    </row>
    <row r="3" spans="1:18" x14ac:dyDescent="0.3">
      <c r="A3" t="s">
        <v>19</v>
      </c>
      <c r="B3" s="28">
        <v>5685726067.4099998</v>
      </c>
      <c r="C3" s="28">
        <v>5520555966.2700005</v>
      </c>
      <c r="D3" s="20">
        <f>IF(B3&gt;0,C3/B3*100,"-")</f>
        <v>97.095004240764652</v>
      </c>
      <c r="E3" s="28">
        <v>5956807153.1700001</v>
      </c>
      <c r="F3" s="28">
        <v>5782753873.1400003</v>
      </c>
      <c r="G3" s="20">
        <f>IF(E3&gt;0,F3/E3*100,"-")</f>
        <v>97.0780776420238</v>
      </c>
      <c r="H3" s="28">
        <v>6085601855.1199999</v>
      </c>
      <c r="I3" s="28">
        <v>5648497902.3100004</v>
      </c>
      <c r="J3" s="20">
        <f>IF(H3&gt;0,I3/H3*100,"-")</f>
        <v>92.817407986652128</v>
      </c>
      <c r="K3" s="28">
        <v>6066398960.6800003</v>
      </c>
      <c r="L3" s="28">
        <v>5868021495.7399998</v>
      </c>
      <c r="M3" s="20">
        <f>IF(K3&gt;0,L3/K3*100,"-")</f>
        <v>96.729897485710964</v>
      </c>
      <c r="N3" s="28">
        <v>6333790486.5299997</v>
      </c>
      <c r="O3" s="28">
        <v>6018940973.2799997</v>
      </c>
      <c r="P3" s="20">
        <f>IF(N3&gt;0,O3/N3*100,"-")</f>
        <v>95.02905070953031</v>
      </c>
      <c r="Q3" s="13">
        <f t="shared" ref="Q3:R18" si="0">IF(K3&gt;0,N3/K3*100-100,"-")</f>
        <v>4.4077471261472425</v>
      </c>
      <c r="R3" s="13">
        <f t="shared" si="0"/>
        <v>2.5718971488015683</v>
      </c>
    </row>
    <row r="4" spans="1:18" x14ac:dyDescent="0.3">
      <c r="A4" t="s">
        <v>20</v>
      </c>
      <c r="B4" s="28">
        <v>355689957.22000003</v>
      </c>
      <c r="C4" s="28">
        <v>346031412.12</v>
      </c>
      <c r="D4" s="20">
        <f t="shared" ref="D4:D21" si="1">IF(B4&gt;0,C4/B4*100,"-")</f>
        <v>97.284560639414934</v>
      </c>
      <c r="E4" s="28">
        <v>450636943.63999999</v>
      </c>
      <c r="F4" s="28">
        <v>324376463.89999998</v>
      </c>
      <c r="G4" s="20">
        <f t="shared" ref="G4:G21" si="2">IF(E4&gt;0,F4/E4*100,"-")</f>
        <v>71.981773460441005</v>
      </c>
      <c r="H4" s="28">
        <v>359676663.47000003</v>
      </c>
      <c r="I4" s="28">
        <v>273441267.48000002</v>
      </c>
      <c r="J4" s="20">
        <f t="shared" ref="J4:J13" si="3">IF(H4&gt;0,I4/H4*100,"-")</f>
        <v>76.024189293228147</v>
      </c>
      <c r="K4" s="28">
        <v>355784151.38999999</v>
      </c>
      <c r="L4" s="28">
        <v>311397508.49000001</v>
      </c>
      <c r="M4" s="20">
        <f t="shared" ref="M4:M21" si="4">IF(K4&gt;0,L4/K4*100,"-")</f>
        <v>87.524277647953838</v>
      </c>
      <c r="N4" s="28">
        <v>603331725.44000006</v>
      </c>
      <c r="O4" s="28">
        <v>530055864</v>
      </c>
      <c r="P4" s="20">
        <f t="shared" ref="P4:P21" si="5">IF(N4&gt;0,O4/N4*100,"-")</f>
        <v>87.854797228413418</v>
      </c>
      <c r="Q4" s="13">
        <f t="shared" si="0"/>
        <v>69.57802169738747</v>
      </c>
      <c r="R4" s="13">
        <f t="shared" si="0"/>
        <v>70.218402379099899</v>
      </c>
    </row>
    <row r="5" spans="1:18" x14ac:dyDescent="0.3">
      <c r="A5" t="s">
        <v>21</v>
      </c>
      <c r="B5" s="28">
        <v>353795022.67000002</v>
      </c>
      <c r="C5" s="28">
        <v>259357733.06</v>
      </c>
      <c r="D5" s="20">
        <f t="shared" si="1"/>
        <v>73.307343642851137</v>
      </c>
      <c r="E5" s="28">
        <v>159050481.19999999</v>
      </c>
      <c r="F5" s="28">
        <v>60379790.759999998</v>
      </c>
      <c r="G5" s="20">
        <f t="shared" si="2"/>
        <v>37.962658336176105</v>
      </c>
      <c r="H5" s="28">
        <v>212969396.21000001</v>
      </c>
      <c r="I5" s="28">
        <v>203601240.36000001</v>
      </c>
      <c r="J5" s="20">
        <f t="shared" si="3"/>
        <v>95.601172742790496</v>
      </c>
      <c r="K5" s="28">
        <v>207500097.28</v>
      </c>
      <c r="L5" s="28">
        <v>193568355.44</v>
      </c>
      <c r="M5" s="20">
        <f t="shared" si="4"/>
        <v>93.285910694682457</v>
      </c>
      <c r="N5" s="28">
        <v>172541211.59999999</v>
      </c>
      <c r="O5" s="28">
        <v>161159083.86000001</v>
      </c>
      <c r="P5" s="20">
        <f t="shared" si="5"/>
        <v>93.403241095589948</v>
      </c>
      <c r="Q5" s="13">
        <f t="shared" si="0"/>
        <v>-16.847647850895513</v>
      </c>
      <c r="R5" s="13">
        <f t="shared" si="0"/>
        <v>-16.743062938325068</v>
      </c>
    </row>
    <row r="6" spans="1:18" x14ac:dyDescent="0.3">
      <c r="A6" t="s">
        <v>22</v>
      </c>
      <c r="B6" s="28">
        <v>0</v>
      </c>
      <c r="C6" s="28">
        <v>0</v>
      </c>
      <c r="D6" s="20" t="str">
        <f t="shared" si="1"/>
        <v>-</v>
      </c>
      <c r="E6" s="28">
        <v>0</v>
      </c>
      <c r="F6" s="28">
        <v>0</v>
      </c>
      <c r="G6" s="20" t="str">
        <f t="shared" si="2"/>
        <v>-</v>
      </c>
      <c r="H6" s="28">
        <v>0</v>
      </c>
      <c r="I6" s="28">
        <v>0</v>
      </c>
      <c r="J6" s="20" t="str">
        <f t="shared" si="3"/>
        <v>-</v>
      </c>
      <c r="K6" s="28">
        <v>0</v>
      </c>
      <c r="L6" s="28">
        <v>0</v>
      </c>
      <c r="M6" s="20" t="str">
        <f t="shared" si="4"/>
        <v>-</v>
      </c>
      <c r="N6" s="28">
        <v>0</v>
      </c>
      <c r="O6" s="28">
        <v>0</v>
      </c>
      <c r="P6" s="20" t="str">
        <f t="shared" si="5"/>
        <v>-</v>
      </c>
      <c r="Q6" s="13" t="str">
        <f t="shared" si="0"/>
        <v>-</v>
      </c>
      <c r="R6" s="13" t="str">
        <f t="shared" si="0"/>
        <v>-</v>
      </c>
    </row>
    <row r="7" spans="1:18" x14ac:dyDescent="0.3">
      <c r="A7" t="s">
        <v>23</v>
      </c>
      <c r="B7" s="28">
        <v>132835005.42</v>
      </c>
      <c r="C7" s="28">
        <v>70374056.930000007</v>
      </c>
      <c r="D7" s="20">
        <f t="shared" si="1"/>
        <v>52.978547866573358</v>
      </c>
      <c r="E7" s="28">
        <v>70673384.150000006</v>
      </c>
      <c r="F7" s="28">
        <v>36311178.700000003</v>
      </c>
      <c r="G7" s="20">
        <f t="shared" si="2"/>
        <v>51.37885943445373</v>
      </c>
      <c r="H7" s="28">
        <v>104154623.38</v>
      </c>
      <c r="I7" s="28">
        <v>33498839.43</v>
      </c>
      <c r="J7" s="20">
        <f t="shared" si="3"/>
        <v>32.162604350055688</v>
      </c>
      <c r="K7" s="28">
        <v>155307917.61000001</v>
      </c>
      <c r="L7" s="28">
        <v>63548266.469999999</v>
      </c>
      <c r="M7" s="20">
        <f t="shared" si="4"/>
        <v>40.917596119972849</v>
      </c>
      <c r="N7" s="28">
        <v>157131559.59999999</v>
      </c>
      <c r="O7" s="28">
        <v>64352352.270000003</v>
      </c>
      <c r="P7" s="20">
        <f t="shared" si="5"/>
        <v>40.954441255351739</v>
      </c>
      <c r="Q7" s="13">
        <f t="shared" si="0"/>
        <v>1.1742105734618065</v>
      </c>
      <c r="R7" s="13">
        <f t="shared" si="0"/>
        <v>1.2653150820087262</v>
      </c>
    </row>
    <row r="8" spans="1:18" x14ac:dyDescent="0.3">
      <c r="A8" t="s">
        <v>24</v>
      </c>
      <c r="B8" s="28">
        <v>0</v>
      </c>
      <c r="C8" s="28">
        <v>0</v>
      </c>
      <c r="D8" s="20" t="str">
        <f t="shared" si="1"/>
        <v>-</v>
      </c>
      <c r="E8" s="28">
        <v>395820.13</v>
      </c>
      <c r="F8" s="28">
        <v>0</v>
      </c>
      <c r="G8" s="20">
        <f t="shared" si="2"/>
        <v>0</v>
      </c>
      <c r="H8" s="28">
        <v>0</v>
      </c>
      <c r="I8" s="28">
        <v>0</v>
      </c>
      <c r="J8" s="20" t="str">
        <f t="shared" si="3"/>
        <v>-</v>
      </c>
      <c r="K8" s="28">
        <v>98212.2</v>
      </c>
      <c r="L8" s="28">
        <v>98212.2</v>
      </c>
      <c r="M8" s="20">
        <f t="shared" si="4"/>
        <v>100</v>
      </c>
      <c r="N8" s="28">
        <v>0</v>
      </c>
      <c r="O8" s="28">
        <v>0</v>
      </c>
      <c r="P8" s="20" t="str">
        <f t="shared" si="5"/>
        <v>-</v>
      </c>
      <c r="Q8" s="13">
        <f t="shared" si="0"/>
        <v>-100</v>
      </c>
      <c r="R8" s="13">
        <f t="shared" si="0"/>
        <v>-100</v>
      </c>
    </row>
    <row r="9" spans="1:18" x14ac:dyDescent="0.3">
      <c r="A9" t="s">
        <v>25</v>
      </c>
      <c r="B9" s="28">
        <v>246294.83</v>
      </c>
      <c r="C9" s="28">
        <v>124376.35</v>
      </c>
      <c r="D9" s="20">
        <f t="shared" si="1"/>
        <v>50.498969060779721</v>
      </c>
      <c r="E9" s="28">
        <v>422506.1</v>
      </c>
      <c r="F9" s="28">
        <v>422506.1</v>
      </c>
      <c r="G9" s="20">
        <f t="shared" si="2"/>
        <v>100</v>
      </c>
      <c r="H9" s="28">
        <v>225959.72</v>
      </c>
      <c r="I9" s="28">
        <v>165744.25</v>
      </c>
      <c r="J9" s="20">
        <f t="shared" si="3"/>
        <v>73.351237114296296</v>
      </c>
      <c r="K9" s="28">
        <v>1573415.43</v>
      </c>
      <c r="L9" s="28">
        <v>1565130.11</v>
      </c>
      <c r="M9" s="20">
        <f t="shared" si="4"/>
        <v>99.473418155051405</v>
      </c>
      <c r="N9" s="28">
        <v>3070934.91</v>
      </c>
      <c r="O9" s="28">
        <v>3070934.91</v>
      </c>
      <c r="P9" s="20">
        <f t="shared" si="5"/>
        <v>100</v>
      </c>
      <c r="Q9" s="13">
        <f t="shared" si="0"/>
        <v>95.176356571004277</v>
      </c>
      <c r="R9" s="13">
        <f t="shared" si="0"/>
        <v>96.209560494622394</v>
      </c>
    </row>
    <row r="10" spans="1:18" x14ac:dyDescent="0.3">
      <c r="A10" t="s">
        <v>26</v>
      </c>
      <c r="B10" s="28">
        <v>10728794.550000001</v>
      </c>
      <c r="C10" s="28">
        <v>10448021.279999999</v>
      </c>
      <c r="D10" s="20">
        <f t="shared" si="1"/>
        <v>97.382993320531043</v>
      </c>
      <c r="E10" s="28">
        <v>9938035.3499999996</v>
      </c>
      <c r="F10" s="28">
        <v>9817013.1899999995</v>
      </c>
      <c r="G10" s="20">
        <f t="shared" si="2"/>
        <v>98.782232546596845</v>
      </c>
      <c r="H10" s="28">
        <v>296348.11</v>
      </c>
      <c r="I10" s="28">
        <v>287145.42</v>
      </c>
      <c r="J10" s="20">
        <f t="shared" si="3"/>
        <v>96.894635164030575</v>
      </c>
      <c r="K10" s="28">
        <v>12177569.75</v>
      </c>
      <c r="L10" s="28">
        <v>12155799.460000001</v>
      </c>
      <c r="M10" s="20">
        <f t="shared" si="4"/>
        <v>99.821226316523465</v>
      </c>
      <c r="N10" s="28">
        <v>1436806.17</v>
      </c>
      <c r="O10" s="28">
        <v>1430851.13</v>
      </c>
      <c r="P10" s="20">
        <f t="shared" si="5"/>
        <v>99.585536300975093</v>
      </c>
      <c r="Q10" s="13">
        <f t="shared" si="0"/>
        <v>-88.201207634224389</v>
      </c>
      <c r="R10" s="13">
        <f t="shared" si="0"/>
        <v>-88.229066013236121</v>
      </c>
    </row>
    <row r="11" spans="1:18" x14ac:dyDescent="0.3">
      <c r="A11" t="s">
        <v>27</v>
      </c>
      <c r="B11" s="28">
        <v>16636.310000000001</v>
      </c>
      <c r="C11" s="28">
        <v>16636.310000000001</v>
      </c>
      <c r="D11" s="20">
        <f t="shared" si="1"/>
        <v>100</v>
      </c>
      <c r="E11" s="28">
        <v>3673608.52</v>
      </c>
      <c r="F11" s="28">
        <v>3673608.52</v>
      </c>
      <c r="G11" s="20">
        <f t="shared" si="2"/>
        <v>100</v>
      </c>
      <c r="H11" s="28">
        <v>165528.5</v>
      </c>
      <c r="I11" s="28">
        <v>164528.5</v>
      </c>
      <c r="J11" s="20">
        <f t="shared" si="3"/>
        <v>99.395874426458292</v>
      </c>
      <c r="K11" s="28">
        <v>32802263.27</v>
      </c>
      <c r="L11" s="28">
        <v>32802263.27</v>
      </c>
      <c r="M11" s="20">
        <f t="shared" si="4"/>
        <v>100</v>
      </c>
      <c r="N11" s="28">
        <v>37407.949999999997</v>
      </c>
      <c r="O11" s="28">
        <v>37407.949999999997</v>
      </c>
      <c r="P11" s="20">
        <f t="shared" si="5"/>
        <v>100</v>
      </c>
      <c r="Q11" s="13">
        <f t="shared" si="0"/>
        <v>-99.885959241006972</v>
      </c>
      <c r="R11" s="13">
        <f t="shared" si="0"/>
        <v>-99.885959241006972</v>
      </c>
    </row>
    <row r="12" spans="1:18" x14ac:dyDescent="0.3">
      <c r="A12" t="s">
        <v>28</v>
      </c>
      <c r="B12" s="28">
        <f>8077976.6+51289666.1</f>
        <v>59367642.700000003</v>
      </c>
      <c r="C12" s="28">
        <f>8046356.26+40831895.1</f>
        <v>48878251.359999999</v>
      </c>
      <c r="D12" s="20">
        <f t="shared" si="1"/>
        <v>82.331467339867942</v>
      </c>
      <c r="E12" s="28">
        <f>8623739.69+2567272.02</f>
        <v>11191011.709999999</v>
      </c>
      <c r="F12" s="28">
        <f>6573636.01+1955107.72</f>
        <v>8528743.7300000004</v>
      </c>
      <c r="G12" s="20">
        <f t="shared" si="2"/>
        <v>76.210658616136868</v>
      </c>
      <c r="H12" s="28">
        <f>11893091.08+120518888.73</f>
        <v>132411979.81</v>
      </c>
      <c r="I12" s="28">
        <f>11847039.16+120186610.67</f>
        <v>132033649.83</v>
      </c>
      <c r="J12" s="20">
        <f t="shared" si="3"/>
        <v>99.714278133638004</v>
      </c>
      <c r="K12" s="28">
        <f>8953916.59+61485356.45</f>
        <v>70439273.040000007</v>
      </c>
      <c r="L12" s="28">
        <f>8928101.59+61239556.71</f>
        <v>70167658.299999997</v>
      </c>
      <c r="M12" s="20">
        <f t="shared" si="4"/>
        <v>99.614398717820706</v>
      </c>
      <c r="N12" s="28">
        <f>11743174.67+12941574.37</f>
        <v>24684749.039999999</v>
      </c>
      <c r="O12" s="28">
        <f>10316551.67+11762784.87</f>
        <v>22079336.539999999</v>
      </c>
      <c r="P12" s="20">
        <f t="shared" si="5"/>
        <v>89.44525425080036</v>
      </c>
      <c r="Q12" s="13">
        <f t="shared" si="0"/>
        <v>-64.955985525315697</v>
      </c>
      <c r="R12" s="13">
        <f t="shared" si="0"/>
        <v>-68.533456759237467</v>
      </c>
    </row>
    <row r="13" spans="1:18" x14ac:dyDescent="0.3">
      <c r="A13" t="s">
        <v>29</v>
      </c>
      <c r="B13" s="28">
        <v>85444878.370000005</v>
      </c>
      <c r="C13" s="28">
        <v>84849265.730000004</v>
      </c>
      <c r="D13" s="20">
        <f t="shared" si="1"/>
        <v>99.302927628475473</v>
      </c>
      <c r="E13" s="28">
        <v>105312266.01000001</v>
      </c>
      <c r="F13" s="28">
        <v>69540893.849999994</v>
      </c>
      <c r="G13" s="20">
        <f t="shared" si="2"/>
        <v>66.033042953796752</v>
      </c>
      <c r="H13" s="28">
        <v>128945334.37</v>
      </c>
      <c r="I13" s="28">
        <v>97534756.530000001</v>
      </c>
      <c r="J13" s="20">
        <f t="shared" si="3"/>
        <v>75.640392113863186</v>
      </c>
      <c r="K13" s="28">
        <v>130142282.95999999</v>
      </c>
      <c r="L13" s="28">
        <v>128281722.56</v>
      </c>
      <c r="M13" s="20">
        <f t="shared" si="4"/>
        <v>98.570364406031018</v>
      </c>
      <c r="N13" s="28">
        <v>104161379.8</v>
      </c>
      <c r="O13" s="28">
        <v>99616379.75</v>
      </c>
      <c r="P13" s="20">
        <f t="shared" si="5"/>
        <v>95.636578491253815</v>
      </c>
      <c r="Q13" s="13">
        <f t="shared" si="0"/>
        <v>-19.963460428910238</v>
      </c>
      <c r="R13" s="13">
        <f t="shared" si="0"/>
        <v>-22.345617316288084</v>
      </c>
    </row>
    <row r="14" spans="1:18" x14ac:dyDescent="0.3">
      <c r="A14" t="s">
        <v>30</v>
      </c>
      <c r="B14" s="28">
        <f t="shared" ref="B14:C14" si="6">SUM(B3:B5)</f>
        <v>6395211047.3000002</v>
      </c>
      <c r="C14" s="28">
        <f t="shared" si="6"/>
        <v>6125945111.4500008</v>
      </c>
      <c r="D14" s="20">
        <f>IF(B14&gt;0,C14/B14*100,"-")</f>
        <v>95.789569197037196</v>
      </c>
      <c r="E14" s="28">
        <f t="shared" ref="E14:F14" si="7">SUM(E3:E5)</f>
        <v>6566494578.0100002</v>
      </c>
      <c r="F14" s="28">
        <f t="shared" si="7"/>
        <v>6167510127.8000002</v>
      </c>
      <c r="G14" s="20">
        <f>IF(E14&gt;0,F14/E14*100,"-")</f>
        <v>93.923935435108305</v>
      </c>
      <c r="H14" s="28">
        <f t="shared" ref="H14:I14" si="8">SUM(H3:H5)</f>
        <v>6658247914.8000002</v>
      </c>
      <c r="I14" s="28">
        <f t="shared" si="8"/>
        <v>6125540410.1500006</v>
      </c>
      <c r="J14" s="20">
        <f>IF(H14&gt;0,I14/H14*100,"-")</f>
        <v>91.999284023866196</v>
      </c>
      <c r="K14" s="28">
        <f t="shared" ref="K14:L14" si="9">SUM(K3:K5)</f>
        <v>6629683209.3500004</v>
      </c>
      <c r="L14" s="28">
        <f t="shared" si="9"/>
        <v>6372987359.6699991</v>
      </c>
      <c r="M14" s="20">
        <f>IF(K14&gt;0,L14/K14*100,"-")</f>
        <v>96.128082721690575</v>
      </c>
      <c r="N14" s="28">
        <f t="shared" ref="N14:O14" si="10">SUM(N3:N5)</f>
        <v>7109663423.5699997</v>
      </c>
      <c r="O14" s="28">
        <f t="shared" si="10"/>
        <v>6710155921.1399994</v>
      </c>
      <c r="P14" s="20">
        <f>IF(N14&gt;0,O14/N14*100,"-")</f>
        <v>94.380781780674027</v>
      </c>
      <c r="Q14" s="13">
        <f t="shared" si="0"/>
        <v>7.2398665073931738</v>
      </c>
      <c r="R14" s="13">
        <f t="shared" si="0"/>
        <v>5.2905888940514103</v>
      </c>
    </row>
    <row r="15" spans="1:18" x14ac:dyDescent="0.3">
      <c r="A15" t="s">
        <v>31</v>
      </c>
      <c r="B15" s="27">
        <f t="shared" ref="B15:C15" si="11">SUM(B6:B10)</f>
        <v>143810094.80000001</v>
      </c>
      <c r="C15" s="27">
        <f t="shared" si="11"/>
        <v>80946454.560000002</v>
      </c>
      <c r="D15" s="20">
        <f>IF(B15&gt;0,C15/B15*100,"-")</f>
        <v>56.287046241485406</v>
      </c>
      <c r="E15" s="27">
        <f t="shared" ref="E15:F15" si="12">SUM(E6:E10)</f>
        <v>81429745.729999989</v>
      </c>
      <c r="F15" s="27">
        <f t="shared" si="12"/>
        <v>46550697.990000002</v>
      </c>
      <c r="G15" s="20">
        <f>IF(E15&gt;0,F15/E15*100,"-")</f>
        <v>57.166699432354974</v>
      </c>
      <c r="H15" s="27">
        <f t="shared" ref="H15:I15" si="13">SUM(H6:H10)</f>
        <v>104676931.20999999</v>
      </c>
      <c r="I15" s="27">
        <f t="shared" si="13"/>
        <v>33951729.100000001</v>
      </c>
      <c r="J15" s="20">
        <f>IF(H15&gt;0,I15/H15*100,"-")</f>
        <v>32.434776896436688</v>
      </c>
      <c r="K15" s="27">
        <f t="shared" ref="K15:L15" si="14">SUM(K6:K10)</f>
        <v>169157114.99000001</v>
      </c>
      <c r="L15" s="27">
        <f t="shared" si="14"/>
        <v>77367408.24000001</v>
      </c>
      <c r="M15" s="20">
        <f>IF(K15&gt;0,L15/K15*100,"-")</f>
        <v>45.737010970288601</v>
      </c>
      <c r="N15" s="27">
        <f t="shared" ref="N15:O15" si="15">SUM(N6:N10)</f>
        <v>161639300.67999998</v>
      </c>
      <c r="O15" s="27">
        <f t="shared" si="15"/>
        <v>68854138.310000002</v>
      </c>
      <c r="P15" s="20">
        <f>IF(N15&gt;0,O15/N15*100,"-")</f>
        <v>42.597399283675259</v>
      </c>
      <c r="Q15" s="13">
        <f t="shared" si="0"/>
        <v>-4.4442791013812553</v>
      </c>
      <c r="R15" s="13">
        <f t="shared" si="0"/>
        <v>-11.0036902148656</v>
      </c>
    </row>
    <row r="16" spans="1:18" x14ac:dyDescent="0.3">
      <c r="A16" t="s">
        <v>32</v>
      </c>
      <c r="B16" s="28">
        <f t="shared" ref="B16:C16" si="16">SUM(B11:B13)</f>
        <v>144829157.38</v>
      </c>
      <c r="C16" s="28">
        <f t="shared" si="16"/>
        <v>133744153.40000001</v>
      </c>
      <c r="D16" s="20">
        <f t="shared" si="1"/>
        <v>92.346151713832484</v>
      </c>
      <c r="E16" s="28">
        <f t="shared" ref="E16:F16" si="17">SUM(E11:E13)</f>
        <v>120176886.24000001</v>
      </c>
      <c r="F16" s="28">
        <f t="shared" si="17"/>
        <v>81743246.099999994</v>
      </c>
      <c r="G16" s="20">
        <f t="shared" si="2"/>
        <v>68.019108047743998</v>
      </c>
      <c r="H16" s="28">
        <f t="shared" ref="H16:I16" si="18">SUM(H11:H13)</f>
        <v>261522842.68000001</v>
      </c>
      <c r="I16" s="28">
        <f t="shared" si="18"/>
        <v>229732934.86000001</v>
      </c>
      <c r="J16" s="20">
        <f t="shared" ref="J16:J21" si="19">IF(H16&gt;0,I16/H16*100,"-")</f>
        <v>87.84430931760015</v>
      </c>
      <c r="K16" s="28">
        <f t="shared" ref="K16:L16" si="20">SUM(K11:K13)</f>
        <v>233383819.26999998</v>
      </c>
      <c r="L16" s="28">
        <f t="shared" si="20"/>
        <v>231251644.13</v>
      </c>
      <c r="M16" s="20">
        <f t="shared" ref="M16:M33" si="21">IF(K16&gt;0,L16/K16*100,"-")</f>
        <v>99.086408326562989</v>
      </c>
      <c r="N16" s="28">
        <f t="shared" ref="N16:O16" si="22">SUM(N11:N13)</f>
        <v>128883536.78999999</v>
      </c>
      <c r="O16" s="28">
        <f t="shared" si="22"/>
        <v>121733124.23999999</v>
      </c>
      <c r="P16" s="20">
        <f t="shared" si="5"/>
        <v>94.452035746310472</v>
      </c>
      <c r="Q16" s="13">
        <f t="shared" si="0"/>
        <v>-44.776147209719106</v>
      </c>
      <c r="R16" s="13">
        <f t="shared" si="0"/>
        <v>-47.359023241552947</v>
      </c>
    </row>
    <row r="17" spans="1:18" x14ac:dyDescent="0.3">
      <c r="A17" t="s">
        <v>33</v>
      </c>
      <c r="B17" s="28">
        <v>0</v>
      </c>
      <c r="C17" s="28">
        <v>0</v>
      </c>
      <c r="D17" s="20" t="str">
        <f t="shared" si="1"/>
        <v>-</v>
      </c>
      <c r="E17" s="28">
        <v>26001545.57</v>
      </c>
      <c r="F17" s="28">
        <v>26001545.57</v>
      </c>
      <c r="G17" s="20">
        <f t="shared" si="2"/>
        <v>100</v>
      </c>
      <c r="H17" s="28">
        <v>46984189.780000001</v>
      </c>
      <c r="I17" s="28">
        <v>42319878.509999998</v>
      </c>
      <c r="J17" s="20">
        <f t="shared" si="19"/>
        <v>90.072594011218882</v>
      </c>
      <c r="K17" s="28">
        <v>57352407.289999999</v>
      </c>
      <c r="L17" s="28">
        <v>0</v>
      </c>
      <c r="M17" s="20">
        <f t="shared" si="21"/>
        <v>0</v>
      </c>
      <c r="N17" s="28">
        <v>53238905.630000003</v>
      </c>
      <c r="O17" s="28">
        <v>53238905.630000003</v>
      </c>
      <c r="P17" s="20">
        <f t="shared" si="5"/>
        <v>100</v>
      </c>
      <c r="Q17" s="13">
        <f t="shared" si="0"/>
        <v>-7.1723260702907368</v>
      </c>
      <c r="R17" s="13" t="str">
        <f t="shared" si="0"/>
        <v>-</v>
      </c>
    </row>
    <row r="18" spans="1:18" x14ac:dyDescent="0.3">
      <c r="A18" t="s">
        <v>34</v>
      </c>
      <c r="B18" s="28">
        <v>0</v>
      </c>
      <c r="C18" s="28">
        <v>0</v>
      </c>
      <c r="D18" s="20" t="str">
        <f t="shared" si="1"/>
        <v>-</v>
      </c>
      <c r="E18" s="28">
        <v>0</v>
      </c>
      <c r="F18" s="28">
        <v>0</v>
      </c>
      <c r="G18" s="20" t="str">
        <f t="shared" si="2"/>
        <v>-</v>
      </c>
      <c r="H18" s="28">
        <v>0</v>
      </c>
      <c r="I18" s="28">
        <v>0</v>
      </c>
      <c r="J18" s="20" t="str">
        <f t="shared" si="19"/>
        <v>-</v>
      </c>
      <c r="K18" s="28">
        <v>0</v>
      </c>
      <c r="L18" s="28">
        <v>0</v>
      </c>
      <c r="M18" s="20" t="str">
        <f t="shared" si="21"/>
        <v>-</v>
      </c>
      <c r="N18" s="28">
        <v>0</v>
      </c>
      <c r="O18" s="28">
        <v>0</v>
      </c>
      <c r="P18" s="20" t="str">
        <f t="shared" si="5"/>
        <v>-</v>
      </c>
      <c r="Q18" s="13" t="str">
        <f t="shared" si="0"/>
        <v>-</v>
      </c>
      <c r="R18" s="13" t="str">
        <f t="shared" si="0"/>
        <v>-</v>
      </c>
    </row>
    <row r="19" spans="1:18" x14ac:dyDescent="0.3">
      <c r="A19" t="s">
        <v>35</v>
      </c>
      <c r="B19" s="28">
        <v>90163088.170000002</v>
      </c>
      <c r="C19" s="28">
        <v>90073761.349999994</v>
      </c>
      <c r="D19" s="20">
        <f t="shared" si="1"/>
        <v>99.900927506130245</v>
      </c>
      <c r="E19" s="28">
        <v>127084347.38</v>
      </c>
      <c r="F19" s="28">
        <v>112256974.73</v>
      </c>
      <c r="G19" s="20">
        <f t="shared" si="2"/>
        <v>88.332652324472292</v>
      </c>
      <c r="H19" s="28">
        <v>143089613.41999999</v>
      </c>
      <c r="I19" s="28">
        <v>115480367.63</v>
      </c>
      <c r="J19" s="20">
        <f t="shared" si="19"/>
        <v>80.704926702848311</v>
      </c>
      <c r="K19" s="28">
        <v>153018728.69</v>
      </c>
      <c r="L19" s="28">
        <v>124526860.45999999</v>
      </c>
      <c r="M19" s="20">
        <f t="shared" si="21"/>
        <v>81.380143153769396</v>
      </c>
      <c r="N19" s="28">
        <v>150146449.25999999</v>
      </c>
      <c r="O19" s="28">
        <v>120800901.97</v>
      </c>
      <c r="P19" s="20">
        <f t="shared" si="5"/>
        <v>80.455383770558569</v>
      </c>
      <c r="Q19" s="13">
        <f t="shared" ref="Q19:R60" si="23">IF(K19&gt;0,N19/K19*100-100,"-")</f>
        <v>-1.8770770444831868</v>
      </c>
      <c r="R19" s="13">
        <f t="shared" si="23"/>
        <v>-2.992092209051421</v>
      </c>
    </row>
    <row r="20" spans="1:18" x14ac:dyDescent="0.3">
      <c r="A20" t="s">
        <v>36</v>
      </c>
      <c r="B20" s="28">
        <f t="shared" ref="B20:C20" si="24">B14+B15+B16+B17+B18+B19</f>
        <v>6774013387.6500006</v>
      </c>
      <c r="C20" s="28">
        <f t="shared" si="24"/>
        <v>6430709480.7600012</v>
      </c>
      <c r="D20" s="20">
        <f t="shared" si="1"/>
        <v>94.932045639061002</v>
      </c>
      <c r="E20" s="28">
        <f t="shared" ref="E20:F20" si="25">E14+E15+E16+E17+E18+E19</f>
        <v>6921187102.9299994</v>
      </c>
      <c r="F20" s="28">
        <f t="shared" si="25"/>
        <v>6434062592.1899996</v>
      </c>
      <c r="G20" s="20">
        <f t="shared" si="2"/>
        <v>92.961835831113689</v>
      </c>
      <c r="H20" s="28">
        <f t="shared" ref="H20:I20" si="26">H14+H15+H16+H17+H18+H19</f>
        <v>7214521491.8900003</v>
      </c>
      <c r="I20" s="28">
        <f t="shared" si="26"/>
        <v>6547025320.250001</v>
      </c>
      <c r="J20" s="20">
        <f t="shared" si="19"/>
        <v>90.74788019703945</v>
      </c>
      <c r="K20" s="28">
        <f t="shared" ref="K20:L20" si="27">K14+K15+K16+K17+K18+K19</f>
        <v>7242595279.5900002</v>
      </c>
      <c r="L20" s="28">
        <f t="shared" si="27"/>
        <v>6806133272.499999</v>
      </c>
      <c r="M20" s="20">
        <f t="shared" si="21"/>
        <v>93.973679458246508</v>
      </c>
      <c r="N20" s="28">
        <f t="shared" ref="N20:O20" si="28">N14+N15+N16+N17+N18+N19</f>
        <v>7603571615.9300003</v>
      </c>
      <c r="O20" s="28">
        <f t="shared" si="28"/>
        <v>7074782991.29</v>
      </c>
      <c r="P20" s="20">
        <f t="shared" si="5"/>
        <v>93.045523191599173</v>
      </c>
      <c r="Q20" s="13">
        <f t="shared" si="23"/>
        <v>4.9840743877715994</v>
      </c>
      <c r="R20" s="13">
        <f t="shared" si="23"/>
        <v>3.9471710005367129</v>
      </c>
    </row>
    <row r="21" spans="1:18" x14ac:dyDescent="0.3">
      <c r="A21" t="s">
        <v>37</v>
      </c>
      <c r="B21" s="28">
        <f t="shared" ref="B21:C21" si="29">B20-B19</f>
        <v>6683850299.4800005</v>
      </c>
      <c r="C21" s="28">
        <f t="shared" si="29"/>
        <v>6340635719.4100008</v>
      </c>
      <c r="D21" s="20">
        <f t="shared" si="1"/>
        <v>94.865016948439106</v>
      </c>
      <c r="E21" s="28">
        <f t="shared" ref="E21:F21" si="30">E20-E19</f>
        <v>6794102755.5499992</v>
      </c>
      <c r="F21" s="28">
        <f t="shared" si="30"/>
        <v>6321805617.46</v>
      </c>
      <c r="G21" s="20">
        <f t="shared" si="2"/>
        <v>93.048425155121677</v>
      </c>
      <c r="H21" s="28">
        <f t="shared" ref="H21:I21" si="31">H20-H19</f>
        <v>7071431878.4700003</v>
      </c>
      <c r="I21" s="28">
        <f t="shared" si="31"/>
        <v>6431544952.6200008</v>
      </c>
      <c r="J21" s="20">
        <f t="shared" si="19"/>
        <v>90.951098209710153</v>
      </c>
      <c r="K21" s="28">
        <f t="shared" ref="K21:L21" si="32">K20-K19</f>
        <v>7089576550.9000006</v>
      </c>
      <c r="L21" s="28">
        <f t="shared" si="32"/>
        <v>6681606412.039999</v>
      </c>
      <c r="M21" s="20">
        <f t="shared" si="21"/>
        <v>94.245493564658517</v>
      </c>
      <c r="N21" s="28">
        <f t="shared" ref="N21:O21" si="33">N20-N19</f>
        <v>7453425166.6700001</v>
      </c>
      <c r="O21" s="28">
        <f t="shared" si="33"/>
        <v>6953982089.3199997</v>
      </c>
      <c r="P21" s="20">
        <f t="shared" si="5"/>
        <v>93.2991468193255</v>
      </c>
      <c r="Q21" s="13">
        <f t="shared" si="23"/>
        <v>5.1321628754232194</v>
      </c>
      <c r="R21" s="13">
        <f t="shared" si="23"/>
        <v>4.0764998786697646</v>
      </c>
    </row>
    <row r="22" spans="1:18" x14ac:dyDescent="0.3">
      <c r="B22" s="12" t="s">
        <v>74</v>
      </c>
      <c r="C22" s="12" t="s">
        <v>75</v>
      </c>
      <c r="D22" s="18"/>
      <c r="E22" s="12" t="s">
        <v>74</v>
      </c>
      <c r="F22" s="12" t="s">
        <v>75</v>
      </c>
      <c r="G22" s="18"/>
      <c r="H22" s="12" t="s">
        <v>74</v>
      </c>
      <c r="I22" s="12" t="s">
        <v>75</v>
      </c>
      <c r="J22" s="18"/>
      <c r="K22" s="12" t="s">
        <v>74</v>
      </c>
      <c r="L22" s="12" t="s">
        <v>75</v>
      </c>
      <c r="M22" s="18"/>
      <c r="N22" s="12" t="s">
        <v>74</v>
      </c>
      <c r="O22" s="12" t="s">
        <v>75</v>
      </c>
      <c r="P22" s="18"/>
    </row>
    <row r="23" spans="1:18" x14ac:dyDescent="0.3">
      <c r="A23" s="5" t="s">
        <v>38</v>
      </c>
      <c r="B23" s="27">
        <v>175493391.21000001</v>
      </c>
      <c r="C23" s="27">
        <v>173586694.88999999</v>
      </c>
      <c r="D23" s="20">
        <f>IF(B23&gt;0,C23/B23*100,"-")</f>
        <v>98.913522437025321</v>
      </c>
      <c r="E23" s="27">
        <v>191391447.56999999</v>
      </c>
      <c r="F23" s="100">
        <v>189349354.24000001</v>
      </c>
      <c r="G23" s="20">
        <f>IF(E23&gt;0,F23/E23*100,"-")</f>
        <v>98.933027909069395</v>
      </c>
      <c r="H23" s="27">
        <v>198014100.16</v>
      </c>
      <c r="I23" s="100">
        <v>188896563.55000001</v>
      </c>
      <c r="J23" s="20">
        <f>IF(H23&gt;0,I23/H23*100,"-")</f>
        <v>95.395511429422044</v>
      </c>
      <c r="K23" s="27">
        <v>197218774.63</v>
      </c>
      <c r="L23" s="100">
        <v>194186679.13</v>
      </c>
      <c r="M23" s="20">
        <f>IF(K23&gt;0,L23/K23*100,"-")</f>
        <v>98.46257258940561</v>
      </c>
      <c r="N23" s="27">
        <v>179519887.72</v>
      </c>
      <c r="O23" s="100">
        <v>175976661.05000001</v>
      </c>
      <c r="P23" s="20">
        <f>IF(N23&gt;0,O23/N23*100,"-")</f>
        <v>98.026276244375538</v>
      </c>
      <c r="Q23" s="13">
        <f t="shared" si="23"/>
        <v>-8.9742403801081849</v>
      </c>
      <c r="R23" s="13">
        <f t="shared" si="23"/>
        <v>-9.3775835508310763</v>
      </c>
    </row>
    <row r="24" spans="1:18" x14ac:dyDescent="0.3">
      <c r="A24" s="5" t="s">
        <v>39</v>
      </c>
      <c r="B24" s="27">
        <v>10766736.640000001</v>
      </c>
      <c r="C24" s="27">
        <v>10752736.640000001</v>
      </c>
      <c r="D24" s="20">
        <f t="shared" ref="D24:D57" si="34">IF(B24&gt;0,C24/B24*100,"-")</f>
        <v>99.869969885322647</v>
      </c>
      <c r="E24" s="27">
        <v>13967046.67</v>
      </c>
      <c r="F24" s="27">
        <v>13953046.67</v>
      </c>
      <c r="G24" s="20">
        <f t="shared" ref="G24:G57" si="35">IF(E24&gt;0,F24/E24*100,"-")</f>
        <v>99.899764063722429</v>
      </c>
      <c r="H24" s="27">
        <v>14514309.859999999</v>
      </c>
      <c r="I24" s="27">
        <v>14500309.859999999</v>
      </c>
      <c r="J24" s="20">
        <f t="shared" ref="J24:J26" si="36">IF(H24&gt;0,I24/H24*100,"-")</f>
        <v>99.903543467550023</v>
      </c>
      <c r="K24" s="27">
        <v>14715132.25</v>
      </c>
      <c r="L24" s="27">
        <v>14701132.25</v>
      </c>
      <c r="M24" s="20">
        <f t="shared" ref="M24:M57" si="37">IF(K24&gt;0,L24/K24*100,"-")</f>
        <v>99.904859842493082</v>
      </c>
      <c r="N24" s="27">
        <v>13901397.84</v>
      </c>
      <c r="O24" s="27">
        <v>13791025.84</v>
      </c>
      <c r="P24" s="20">
        <f t="shared" ref="P24:P57" si="38">IF(N24&gt;0,O24/N24*100,"-")</f>
        <v>99.206036678682665</v>
      </c>
      <c r="Q24" s="13">
        <f t="shared" si="23"/>
        <v>-5.5299157097280016</v>
      </c>
      <c r="R24" s="13">
        <f t="shared" si="23"/>
        <v>-6.1907232349399521</v>
      </c>
    </row>
    <row r="25" spans="1:18" x14ac:dyDescent="0.3">
      <c r="A25" s="5" t="s">
        <v>40</v>
      </c>
      <c r="B25" s="27">
        <v>258263530.96000001</v>
      </c>
      <c r="C25" s="27">
        <v>200069961.28999999</v>
      </c>
      <c r="D25" s="20">
        <f t="shared" si="34"/>
        <v>77.46736852327281</v>
      </c>
      <c r="E25" s="27">
        <v>450381557.88</v>
      </c>
      <c r="F25" s="27">
        <v>309397558.98000002</v>
      </c>
      <c r="G25" s="20">
        <f t="shared" si="35"/>
        <v>68.696764680235006</v>
      </c>
      <c r="H25" s="27">
        <v>430670128.20999998</v>
      </c>
      <c r="I25" s="27">
        <v>368847756.97000003</v>
      </c>
      <c r="J25" s="20">
        <f t="shared" si="36"/>
        <v>85.645075618094737</v>
      </c>
      <c r="K25" s="27">
        <v>431247581.69</v>
      </c>
      <c r="L25" s="27">
        <v>362850364.18000001</v>
      </c>
      <c r="M25" s="20">
        <f t="shared" si="37"/>
        <v>84.139686710367002</v>
      </c>
      <c r="N25" s="27">
        <v>440519692.06</v>
      </c>
      <c r="O25" s="27">
        <v>360232363.25999999</v>
      </c>
      <c r="P25" s="20">
        <f t="shared" si="38"/>
        <v>81.774406400641752</v>
      </c>
      <c r="Q25" s="13">
        <f t="shared" si="23"/>
        <v>2.1500666354264268</v>
      </c>
      <c r="R25" s="13">
        <f t="shared" si="23"/>
        <v>-0.72150979534399085</v>
      </c>
    </row>
    <row r="26" spans="1:18" x14ac:dyDescent="0.3">
      <c r="A26" s="5" t="s">
        <v>41</v>
      </c>
      <c r="B26" s="27">
        <v>5199922969.9399996</v>
      </c>
      <c r="C26" s="27">
        <v>5065897312.46</v>
      </c>
      <c r="D26" s="20">
        <f t="shared" si="34"/>
        <v>97.422545328944636</v>
      </c>
      <c r="E26" s="27">
        <v>5353488594.79</v>
      </c>
      <c r="F26" s="27">
        <v>5121272936.0799999</v>
      </c>
      <c r="G26" s="20">
        <f t="shared" si="35"/>
        <v>95.662348866569147</v>
      </c>
      <c r="H26" s="27">
        <v>5336231401.1000004</v>
      </c>
      <c r="I26" s="27">
        <v>4971286314.0600004</v>
      </c>
      <c r="J26" s="20">
        <f t="shared" si="36"/>
        <v>93.160995848778768</v>
      </c>
      <c r="K26" s="27">
        <v>4944555524</v>
      </c>
      <c r="L26" s="27">
        <v>4892690708.3100004</v>
      </c>
      <c r="M26" s="20">
        <f t="shared" si="37"/>
        <v>98.95107223615436</v>
      </c>
      <c r="N26" s="27">
        <v>4813035192.7200003</v>
      </c>
      <c r="O26" s="27">
        <v>4564005148.4499998</v>
      </c>
      <c r="P26" s="20">
        <f t="shared" si="38"/>
        <v>94.825925132509454</v>
      </c>
      <c r="Q26" s="13">
        <f t="shared" si="23"/>
        <v>-2.6599020001216189</v>
      </c>
      <c r="R26" s="13">
        <f t="shared" si="23"/>
        <v>-6.7178895919528259</v>
      </c>
    </row>
    <row r="27" spans="1:18" x14ac:dyDescent="0.3">
      <c r="A27" s="5" t="s">
        <v>350</v>
      </c>
      <c r="B27" s="27">
        <v>0</v>
      </c>
      <c r="C27" s="27">
        <v>0</v>
      </c>
      <c r="D27" s="20"/>
      <c r="E27" s="27">
        <v>0</v>
      </c>
      <c r="F27" s="27">
        <v>0</v>
      </c>
      <c r="G27" s="20"/>
      <c r="H27" s="27">
        <v>0</v>
      </c>
      <c r="I27" s="27">
        <v>0</v>
      </c>
      <c r="J27" s="20"/>
      <c r="K27" s="27">
        <v>0</v>
      </c>
      <c r="L27" s="27">
        <v>0</v>
      </c>
      <c r="M27" s="20"/>
      <c r="N27" s="27">
        <v>0</v>
      </c>
      <c r="O27" s="27">
        <v>0</v>
      </c>
      <c r="P27" s="20"/>
      <c r="Q27" s="13" t="str">
        <f t="shared" si="23"/>
        <v>-</v>
      </c>
      <c r="R27" s="13" t="str">
        <f t="shared" si="23"/>
        <v>-</v>
      </c>
    </row>
    <row r="28" spans="1:18" x14ac:dyDescent="0.3">
      <c r="A28" s="5" t="s">
        <v>351</v>
      </c>
      <c r="B28" s="27">
        <v>0</v>
      </c>
      <c r="C28" s="27">
        <v>0</v>
      </c>
      <c r="D28" s="20"/>
      <c r="E28" s="27">
        <v>0</v>
      </c>
      <c r="F28" s="27">
        <v>0</v>
      </c>
      <c r="G28" s="20"/>
      <c r="H28" s="27">
        <v>0</v>
      </c>
      <c r="I28" s="27">
        <v>0</v>
      </c>
      <c r="J28" s="20"/>
      <c r="K28" s="27">
        <v>0</v>
      </c>
      <c r="L28" s="27">
        <v>0</v>
      </c>
      <c r="M28" s="20"/>
      <c r="N28" s="27">
        <v>0</v>
      </c>
      <c r="O28" s="27">
        <v>0</v>
      </c>
      <c r="P28" s="20"/>
      <c r="Q28" s="13" t="str">
        <f t="shared" si="23"/>
        <v>-</v>
      </c>
      <c r="R28" s="13" t="str">
        <f t="shared" si="23"/>
        <v>-</v>
      </c>
    </row>
    <row r="29" spans="1:18" x14ac:dyDescent="0.3">
      <c r="A29" s="5" t="s">
        <v>42</v>
      </c>
      <c r="B29" s="27">
        <v>18173524.109999999</v>
      </c>
      <c r="C29" s="27">
        <v>15502347.060000001</v>
      </c>
      <c r="D29" s="20">
        <f t="shared" si="34"/>
        <v>85.301821298764054</v>
      </c>
      <c r="E29" s="27">
        <v>15935750.539999999</v>
      </c>
      <c r="F29" s="27">
        <v>15935750.52</v>
      </c>
      <c r="G29" s="20">
        <f t="shared" si="35"/>
        <v>99.999999874496027</v>
      </c>
      <c r="H29" s="27">
        <v>15722633.789999999</v>
      </c>
      <c r="I29" s="27">
        <v>15722633.789999999</v>
      </c>
      <c r="J29" s="20">
        <f t="shared" ref="J29:J57" si="39">IF(H29&gt;0,I29/H29*100,"-")</f>
        <v>100</v>
      </c>
      <c r="K29" s="27">
        <v>13948512.550000001</v>
      </c>
      <c r="L29" s="27">
        <v>13948512.550000001</v>
      </c>
      <c r="M29" s="20">
        <f t="shared" ref="M29:M62" si="40">IF(K29&gt;0,L29/K29*100,"-")</f>
        <v>100</v>
      </c>
      <c r="N29" s="27">
        <v>11501320.91</v>
      </c>
      <c r="O29" s="27">
        <v>11501320.91</v>
      </c>
      <c r="P29" s="20">
        <f t="shared" si="38"/>
        <v>100</v>
      </c>
      <c r="Q29" s="13">
        <f t="shared" si="23"/>
        <v>-17.544463119115889</v>
      </c>
      <c r="R29" s="13">
        <f t="shared" si="23"/>
        <v>-17.544463119115889</v>
      </c>
    </row>
    <row r="30" spans="1:18" x14ac:dyDescent="0.3">
      <c r="A30" s="5" t="s">
        <v>43</v>
      </c>
      <c r="B30" s="27">
        <v>45823.25</v>
      </c>
      <c r="C30" s="27">
        <v>45823.25</v>
      </c>
      <c r="D30" s="20">
        <f t="shared" si="34"/>
        <v>100</v>
      </c>
      <c r="E30" s="27">
        <v>239474.47</v>
      </c>
      <c r="F30" s="27">
        <v>239474.47</v>
      </c>
      <c r="G30" s="20">
        <f t="shared" si="35"/>
        <v>100</v>
      </c>
      <c r="H30" s="27">
        <v>48478.400000000001</v>
      </c>
      <c r="I30" s="27">
        <v>48478.400000000001</v>
      </c>
      <c r="J30" s="20">
        <f t="shared" si="39"/>
        <v>100</v>
      </c>
      <c r="K30" s="27">
        <v>0</v>
      </c>
      <c r="L30" s="27">
        <v>0</v>
      </c>
      <c r="M30" s="20" t="str">
        <f t="shared" si="40"/>
        <v>-</v>
      </c>
      <c r="N30" s="27">
        <v>0</v>
      </c>
      <c r="O30" s="27">
        <v>0</v>
      </c>
      <c r="P30" s="20" t="str">
        <f t="shared" si="38"/>
        <v>-</v>
      </c>
      <c r="Q30" s="13" t="str">
        <f t="shared" si="23"/>
        <v>-</v>
      </c>
      <c r="R30" s="13" t="str">
        <f t="shared" si="23"/>
        <v>-</v>
      </c>
    </row>
    <row r="31" spans="1:18" x14ac:dyDescent="0.3">
      <c r="A31" s="5" t="s">
        <v>44</v>
      </c>
      <c r="B31" s="27">
        <v>603733.71</v>
      </c>
      <c r="C31" s="27">
        <v>501229.65</v>
      </c>
      <c r="D31" s="20">
        <f t="shared" si="34"/>
        <v>83.021643764102564</v>
      </c>
      <c r="E31" s="27">
        <v>2595663.96</v>
      </c>
      <c r="F31" s="27">
        <v>1375187.81</v>
      </c>
      <c r="G31" s="20">
        <f t="shared" si="35"/>
        <v>52.980194323767549</v>
      </c>
      <c r="H31" s="27">
        <v>1824807.36</v>
      </c>
      <c r="I31" s="27">
        <v>1751026.68</v>
      </c>
      <c r="J31" s="20">
        <f t="shared" si="39"/>
        <v>95.956796228616696</v>
      </c>
      <c r="K31" s="27">
        <v>3662338.91</v>
      </c>
      <c r="L31" s="27">
        <v>3627401.45</v>
      </c>
      <c r="M31" s="20">
        <f t="shared" si="40"/>
        <v>99.046034218608128</v>
      </c>
      <c r="N31" s="27">
        <v>2051190.3</v>
      </c>
      <c r="O31" s="27">
        <v>2050828.14</v>
      </c>
      <c r="P31" s="20">
        <f t="shared" si="38"/>
        <v>99.982343910265172</v>
      </c>
      <c r="Q31" s="13">
        <f t="shared" si="23"/>
        <v>-43.99234067608451</v>
      </c>
      <c r="R31" s="13">
        <f t="shared" si="23"/>
        <v>-43.462884704972481</v>
      </c>
    </row>
    <row r="32" spans="1:18" x14ac:dyDescent="0.3">
      <c r="A32" s="5" t="s">
        <v>45</v>
      </c>
      <c r="B32" s="27">
        <v>1186737.18</v>
      </c>
      <c r="C32" s="27">
        <v>1084922.77</v>
      </c>
      <c r="D32" s="20">
        <f t="shared" si="34"/>
        <v>91.420643785677981</v>
      </c>
      <c r="E32" s="27">
        <v>2382504.29</v>
      </c>
      <c r="F32" s="27">
        <v>2183117.02</v>
      </c>
      <c r="G32" s="20">
        <f t="shared" si="35"/>
        <v>91.631189465770063</v>
      </c>
      <c r="H32" s="27">
        <v>3587725.46</v>
      </c>
      <c r="I32" s="27">
        <v>3361772.1</v>
      </c>
      <c r="J32" s="20">
        <f t="shared" si="39"/>
        <v>93.702044303022006</v>
      </c>
      <c r="K32" s="27">
        <v>5642538.0099999998</v>
      </c>
      <c r="L32" s="27">
        <v>4967356.17</v>
      </c>
      <c r="M32" s="20">
        <f t="shared" si="40"/>
        <v>88.034075467397699</v>
      </c>
      <c r="N32" s="27">
        <v>2173678.29</v>
      </c>
      <c r="O32" s="27">
        <v>1918415.85</v>
      </c>
      <c r="P32" s="20">
        <f t="shared" si="38"/>
        <v>88.256659636601526</v>
      </c>
      <c r="Q32" s="13">
        <f t="shared" si="23"/>
        <v>-61.476940232432739</v>
      </c>
      <c r="R32" s="13">
        <f t="shared" si="23"/>
        <v>-61.379539047629834</v>
      </c>
    </row>
    <row r="33" spans="1:18" x14ac:dyDescent="0.3">
      <c r="A33" s="5" t="s">
        <v>46</v>
      </c>
      <c r="B33" s="28">
        <v>0</v>
      </c>
      <c r="C33" s="28">
        <v>0</v>
      </c>
      <c r="D33" s="20" t="str">
        <f t="shared" si="34"/>
        <v>-</v>
      </c>
      <c r="E33" s="28">
        <v>0</v>
      </c>
      <c r="F33" s="28">
        <v>0</v>
      </c>
      <c r="G33" s="20" t="str">
        <f t="shared" si="35"/>
        <v>-</v>
      </c>
      <c r="H33" s="28">
        <v>0</v>
      </c>
      <c r="I33" s="28">
        <v>0</v>
      </c>
      <c r="J33" s="20" t="str">
        <f t="shared" si="39"/>
        <v>-</v>
      </c>
      <c r="K33" s="28">
        <v>0</v>
      </c>
      <c r="L33" s="28">
        <v>0</v>
      </c>
      <c r="M33" s="20" t="str">
        <f t="shared" si="40"/>
        <v>-</v>
      </c>
      <c r="N33" s="28">
        <v>0</v>
      </c>
      <c r="O33" s="28">
        <v>0</v>
      </c>
      <c r="P33" s="20" t="str">
        <f t="shared" si="38"/>
        <v>-</v>
      </c>
      <c r="Q33" s="13" t="str">
        <f t="shared" si="23"/>
        <v>-</v>
      </c>
      <c r="R33" s="13" t="str">
        <f t="shared" si="23"/>
        <v>-</v>
      </c>
    </row>
    <row r="34" spans="1:18" x14ac:dyDescent="0.3">
      <c r="A34" s="5" t="s">
        <v>47</v>
      </c>
      <c r="B34" s="27">
        <v>44350696.740000002</v>
      </c>
      <c r="C34" s="27">
        <v>17729656.539999999</v>
      </c>
      <c r="D34" s="20">
        <f t="shared" si="34"/>
        <v>39.976049629925157</v>
      </c>
      <c r="E34" s="27">
        <v>59500744.399999999</v>
      </c>
      <c r="F34" s="27">
        <v>30014536.550000001</v>
      </c>
      <c r="G34" s="20">
        <f t="shared" si="35"/>
        <v>50.443968143027128</v>
      </c>
      <c r="H34" s="27">
        <v>76430262.719999999</v>
      </c>
      <c r="I34" s="27">
        <v>38591357.619999997</v>
      </c>
      <c r="J34" s="20">
        <f t="shared" si="39"/>
        <v>50.492247764970131</v>
      </c>
      <c r="K34" s="27">
        <v>47310052.759999998</v>
      </c>
      <c r="L34" s="27">
        <v>21835109.199999999</v>
      </c>
      <c r="M34" s="20">
        <f t="shared" si="40"/>
        <v>46.153212533428594</v>
      </c>
      <c r="N34" s="27">
        <v>49081720.350000001</v>
      </c>
      <c r="O34" s="27">
        <v>27094296.02</v>
      </c>
      <c r="P34" s="20">
        <f t="shared" si="38"/>
        <v>55.202417166292342</v>
      </c>
      <c r="Q34" s="13">
        <f t="shared" si="23"/>
        <v>3.7448015519820501</v>
      </c>
      <c r="R34" s="13">
        <f t="shared" si="23"/>
        <v>24.085919478708178</v>
      </c>
    </row>
    <row r="35" spans="1:18" x14ac:dyDescent="0.3">
      <c r="A35" s="5" t="s">
        <v>48</v>
      </c>
      <c r="B35" s="27">
        <v>678779271.04999995</v>
      </c>
      <c r="C35" s="27">
        <v>519603156.87</v>
      </c>
      <c r="D35" s="20">
        <f t="shared" si="34"/>
        <v>76.549650089671815</v>
      </c>
      <c r="E35" s="27">
        <v>746207924.19000006</v>
      </c>
      <c r="F35" s="27">
        <v>559044793.23000002</v>
      </c>
      <c r="G35" s="20">
        <f t="shared" si="35"/>
        <v>74.918099246511844</v>
      </c>
      <c r="H35" s="27">
        <v>741540488.59000003</v>
      </c>
      <c r="I35" s="27">
        <v>510904471.87</v>
      </c>
      <c r="J35" s="20">
        <f t="shared" si="39"/>
        <v>68.897717620444141</v>
      </c>
      <c r="K35" s="27">
        <v>759012659.24000001</v>
      </c>
      <c r="L35" s="27">
        <v>610332967.04999995</v>
      </c>
      <c r="M35" s="20">
        <f t="shared" si="40"/>
        <v>80.411434462914869</v>
      </c>
      <c r="N35" s="27">
        <v>788011926.64999998</v>
      </c>
      <c r="O35" s="27">
        <v>614392460.54999995</v>
      </c>
      <c r="P35" s="20">
        <f t="shared" si="38"/>
        <v>77.967406300804114</v>
      </c>
      <c r="Q35" s="13">
        <f t="shared" si="23"/>
        <v>3.8206566197508351</v>
      </c>
      <c r="R35" s="13">
        <f t="shared" si="23"/>
        <v>0.66512767934219141</v>
      </c>
    </row>
    <row r="36" spans="1:18" x14ac:dyDescent="0.3">
      <c r="A36" s="5" t="s">
        <v>49</v>
      </c>
      <c r="B36" s="27">
        <v>13626266.27</v>
      </c>
      <c r="C36" s="27">
        <v>13626266.27</v>
      </c>
      <c r="D36" s="20">
        <f t="shared" si="34"/>
        <v>100</v>
      </c>
      <c r="E36" s="27">
        <v>64026185.390000001</v>
      </c>
      <c r="F36" s="27">
        <v>64026185.390000001</v>
      </c>
      <c r="G36" s="20">
        <f t="shared" si="35"/>
        <v>100</v>
      </c>
      <c r="H36" s="27">
        <v>45084362.670000002</v>
      </c>
      <c r="I36" s="27">
        <v>45084362.670000002</v>
      </c>
      <c r="J36" s="20">
        <f t="shared" si="39"/>
        <v>100</v>
      </c>
      <c r="K36" s="27">
        <v>21414934.09</v>
      </c>
      <c r="L36" s="27">
        <v>21409708.809999999</v>
      </c>
      <c r="M36" s="20">
        <f t="shared" si="40"/>
        <v>99.975599831509911</v>
      </c>
      <c r="N36" s="27">
        <v>1208466.6599999999</v>
      </c>
      <c r="O36" s="27">
        <v>1208466.6599999999</v>
      </c>
      <c r="P36" s="20">
        <f t="shared" si="38"/>
        <v>100</v>
      </c>
      <c r="Q36" s="13">
        <f t="shared" si="23"/>
        <v>-94.356897598091095</v>
      </c>
      <c r="R36" s="13">
        <f t="shared" si="23"/>
        <v>-94.355520335542579</v>
      </c>
    </row>
    <row r="37" spans="1:18" x14ac:dyDescent="0.3">
      <c r="A37" s="5" t="s">
        <v>50</v>
      </c>
      <c r="B37" s="27">
        <v>413847.61</v>
      </c>
      <c r="C37" s="27">
        <v>113847.61</v>
      </c>
      <c r="D37" s="20">
        <f t="shared" si="34"/>
        <v>27.509548744282952</v>
      </c>
      <c r="E37" s="27">
        <v>404900.52</v>
      </c>
      <c r="F37" s="27">
        <v>98312.52</v>
      </c>
      <c r="G37" s="20">
        <f t="shared" si="35"/>
        <v>24.280660345904224</v>
      </c>
      <c r="H37" s="27">
        <v>33065.589999999997</v>
      </c>
      <c r="I37" s="27">
        <v>4200.09</v>
      </c>
      <c r="J37" s="20">
        <f t="shared" si="39"/>
        <v>12.70229867363625</v>
      </c>
      <c r="K37" s="27">
        <v>86093.68</v>
      </c>
      <c r="L37" s="27">
        <v>86093.68</v>
      </c>
      <c r="M37" s="20">
        <f t="shared" si="40"/>
        <v>100</v>
      </c>
      <c r="N37" s="27">
        <v>3536.05</v>
      </c>
      <c r="O37" s="27">
        <v>3536.05</v>
      </c>
      <c r="P37" s="20">
        <f t="shared" si="38"/>
        <v>100</v>
      </c>
      <c r="Q37" s="13">
        <f t="shared" si="23"/>
        <v>-95.89278794912704</v>
      </c>
      <c r="R37" s="13">
        <f t="shared" si="23"/>
        <v>-95.89278794912704</v>
      </c>
    </row>
    <row r="38" spans="1:18" x14ac:dyDescent="0.3">
      <c r="A38" s="5" t="s">
        <v>51</v>
      </c>
      <c r="B38" s="27">
        <v>49542.1</v>
      </c>
      <c r="C38" s="27">
        <v>49542.1</v>
      </c>
      <c r="D38" s="20">
        <f t="shared" si="34"/>
        <v>100</v>
      </c>
      <c r="E38" s="27">
        <v>64127756.68</v>
      </c>
      <c r="F38" s="27">
        <v>64127756.68</v>
      </c>
      <c r="G38" s="20">
        <f t="shared" si="35"/>
        <v>100</v>
      </c>
      <c r="H38" s="27">
        <v>4030000</v>
      </c>
      <c r="I38" s="27">
        <v>4030000</v>
      </c>
      <c r="J38" s="20">
        <f t="shared" si="39"/>
        <v>100</v>
      </c>
      <c r="K38" s="27">
        <v>3024999.69</v>
      </c>
      <c r="L38" s="27">
        <v>2291000.94</v>
      </c>
      <c r="M38" s="20">
        <f t="shared" si="40"/>
        <v>75.735576025794572</v>
      </c>
      <c r="N38" s="27">
        <v>0</v>
      </c>
      <c r="O38" s="27">
        <v>0</v>
      </c>
      <c r="P38" s="20" t="str">
        <f t="shared" si="38"/>
        <v>-</v>
      </c>
      <c r="Q38" s="13">
        <f t="shared" si="23"/>
        <v>-100</v>
      </c>
      <c r="R38" s="13">
        <f t="shared" si="23"/>
        <v>-100</v>
      </c>
    </row>
    <row r="39" spans="1:18" x14ac:dyDescent="0.3">
      <c r="A39" s="5" t="s">
        <v>261</v>
      </c>
      <c r="B39" s="27">
        <v>4159465.89</v>
      </c>
      <c r="C39" s="27">
        <v>4113681.1</v>
      </c>
      <c r="D39" s="20">
        <f t="shared" si="34"/>
        <v>98.89926276087337</v>
      </c>
      <c r="E39" s="27">
        <v>10909773.91</v>
      </c>
      <c r="F39" s="27">
        <v>10879720.720000001</v>
      </c>
      <c r="G39" s="20">
        <f t="shared" si="35"/>
        <v>99.724529671761104</v>
      </c>
      <c r="H39" s="27">
        <v>9762693.3499999996</v>
      </c>
      <c r="I39" s="27">
        <v>9762693.3499999996</v>
      </c>
      <c r="J39" s="20">
        <f t="shared" si="39"/>
        <v>100</v>
      </c>
      <c r="K39" s="27">
        <v>9539657.3300000001</v>
      </c>
      <c r="L39" s="27">
        <v>9521357.3300000001</v>
      </c>
      <c r="M39" s="20">
        <f t="shared" si="40"/>
        <v>99.808169210203701</v>
      </c>
      <c r="N39" s="27">
        <v>9562020.5899999999</v>
      </c>
      <c r="O39" s="27">
        <v>9310300.6400000006</v>
      </c>
      <c r="P39" s="20">
        <f t="shared" si="38"/>
        <v>97.367502531177891</v>
      </c>
      <c r="Q39" s="13">
        <f t="shared" si="23"/>
        <v>0.23442414361858255</v>
      </c>
      <c r="R39" s="13">
        <f t="shared" si="23"/>
        <v>-2.2166659929356882</v>
      </c>
    </row>
    <row r="40" spans="1:18" x14ac:dyDescent="0.3">
      <c r="A40" s="5" t="s">
        <v>52</v>
      </c>
      <c r="B40" s="27">
        <v>16056722.32</v>
      </c>
      <c r="C40" s="27">
        <v>15951704.23</v>
      </c>
      <c r="D40" s="20">
        <f t="shared" si="34"/>
        <v>99.345955619664721</v>
      </c>
      <c r="E40" s="27">
        <v>6470873.8700000001</v>
      </c>
      <c r="F40" s="27">
        <v>6470873.8700000001</v>
      </c>
      <c r="G40" s="20">
        <f t="shared" si="35"/>
        <v>100</v>
      </c>
      <c r="H40" s="27">
        <v>3839144.87</v>
      </c>
      <c r="I40" s="27">
        <v>2267765.87</v>
      </c>
      <c r="J40" s="20">
        <f t="shared" si="39"/>
        <v>59.069557070400421</v>
      </c>
      <c r="K40" s="27">
        <v>1109739.7</v>
      </c>
      <c r="L40" s="27">
        <v>1096374.7</v>
      </c>
      <c r="M40" s="20">
        <f t="shared" si="40"/>
        <v>98.795663523617293</v>
      </c>
      <c r="N40" s="27">
        <v>1542662.34</v>
      </c>
      <c r="O40" s="27">
        <v>1542662.34</v>
      </c>
      <c r="P40" s="20">
        <f t="shared" si="38"/>
        <v>100</v>
      </c>
      <c r="Q40" s="13">
        <f t="shared" si="23"/>
        <v>39.011187938937411</v>
      </c>
      <c r="R40" s="13">
        <f t="shared" si="23"/>
        <v>40.705758715519437</v>
      </c>
    </row>
    <row r="41" spans="1:18" x14ac:dyDescent="0.3">
      <c r="A41" s="5" t="s">
        <v>53</v>
      </c>
      <c r="B41" s="27">
        <v>85444878.370000005</v>
      </c>
      <c r="C41" s="27">
        <v>83562152.420000002</v>
      </c>
      <c r="D41" s="20">
        <f t="shared" si="34"/>
        <v>97.796560793442438</v>
      </c>
      <c r="E41" s="27">
        <v>85493938.75</v>
      </c>
      <c r="F41" s="27">
        <v>80825089.269999996</v>
      </c>
      <c r="G41" s="20">
        <f t="shared" si="35"/>
        <v>94.53897019103006</v>
      </c>
      <c r="H41" s="27">
        <v>128945334.37</v>
      </c>
      <c r="I41" s="27">
        <v>121254151.25</v>
      </c>
      <c r="J41" s="20">
        <f t="shared" si="39"/>
        <v>94.035314920405995</v>
      </c>
      <c r="K41" s="27">
        <v>130142282.95999999</v>
      </c>
      <c r="L41" s="27">
        <v>129965574.09</v>
      </c>
      <c r="M41" s="20">
        <f t="shared" si="40"/>
        <v>99.864218710490647</v>
      </c>
      <c r="N41" s="27">
        <v>99616379.75</v>
      </c>
      <c r="O41" s="27">
        <v>99616379.75</v>
      </c>
      <c r="P41" s="20">
        <f t="shared" si="38"/>
        <v>100</v>
      </c>
      <c r="Q41" s="13">
        <f t="shared" si="23"/>
        <v>-23.455792011411319</v>
      </c>
      <c r="R41" s="13">
        <f t="shared" si="23"/>
        <v>-23.351717985705562</v>
      </c>
    </row>
    <row r="42" spans="1:18" x14ac:dyDescent="0.3">
      <c r="A42" s="5" t="s">
        <v>54</v>
      </c>
      <c r="B42" s="27">
        <v>109910962.01000001</v>
      </c>
      <c r="C42" s="27">
        <v>0</v>
      </c>
      <c r="D42" s="20">
        <f t="shared" si="34"/>
        <v>0</v>
      </c>
      <c r="E42" s="27">
        <v>97432719.739999995</v>
      </c>
      <c r="F42" s="27">
        <v>97432719.739999995</v>
      </c>
      <c r="G42" s="20">
        <f t="shared" si="35"/>
        <v>100</v>
      </c>
      <c r="H42" s="27">
        <v>81768117.409999996</v>
      </c>
      <c r="I42" s="27">
        <v>81768117.409999996</v>
      </c>
      <c r="J42" s="20">
        <f t="shared" si="39"/>
        <v>100</v>
      </c>
      <c r="K42" s="27">
        <v>86458730.799999997</v>
      </c>
      <c r="L42" s="27">
        <v>86458730.799999997</v>
      </c>
      <c r="M42" s="20">
        <f t="shared" si="40"/>
        <v>100</v>
      </c>
      <c r="N42" s="27">
        <v>59382954.939999998</v>
      </c>
      <c r="O42" s="27">
        <v>59382954.939999998</v>
      </c>
      <c r="P42" s="20">
        <f t="shared" si="38"/>
        <v>100</v>
      </c>
      <c r="Q42" s="13">
        <f t="shared" si="23"/>
        <v>-31.316416062864533</v>
      </c>
      <c r="R42" s="13">
        <f t="shared" si="23"/>
        <v>-31.316416062864533</v>
      </c>
    </row>
    <row r="43" spans="1:18" x14ac:dyDescent="0.3">
      <c r="A43" s="5" t="s">
        <v>55</v>
      </c>
      <c r="B43" s="27">
        <v>0</v>
      </c>
      <c r="C43" s="27">
        <v>0</v>
      </c>
      <c r="D43" s="20" t="str">
        <f t="shared" si="34"/>
        <v>-</v>
      </c>
      <c r="E43" s="27">
        <v>0</v>
      </c>
      <c r="F43" s="27">
        <v>0</v>
      </c>
      <c r="G43" s="20" t="str">
        <f t="shared" si="35"/>
        <v>-</v>
      </c>
      <c r="H43" s="27">
        <v>0</v>
      </c>
      <c r="I43" s="27">
        <v>0</v>
      </c>
      <c r="J43" s="20" t="str">
        <f t="shared" si="39"/>
        <v>-</v>
      </c>
      <c r="K43" s="27">
        <v>0</v>
      </c>
      <c r="L43" s="27">
        <v>0</v>
      </c>
      <c r="M43" s="20" t="str">
        <f t="shared" si="40"/>
        <v>-</v>
      </c>
      <c r="N43" s="27">
        <v>0</v>
      </c>
      <c r="O43" s="27">
        <v>0</v>
      </c>
      <c r="P43" s="20" t="str">
        <f t="shared" si="38"/>
        <v>-</v>
      </c>
      <c r="Q43" s="13" t="str">
        <f t="shared" si="23"/>
        <v>-</v>
      </c>
      <c r="R43" s="13" t="str">
        <f t="shared" si="23"/>
        <v>-</v>
      </c>
    </row>
    <row r="44" spans="1:18" x14ac:dyDescent="0.3">
      <c r="A44" s="5" t="s">
        <v>56</v>
      </c>
      <c r="B44" s="27">
        <v>13754983.880000001</v>
      </c>
      <c r="C44" s="27">
        <v>0</v>
      </c>
      <c r="D44" s="20">
        <f t="shared" si="34"/>
        <v>0</v>
      </c>
      <c r="E44" s="27">
        <v>17556564.199999999</v>
      </c>
      <c r="F44" s="27">
        <v>17556564.199999999</v>
      </c>
      <c r="G44" s="20">
        <f t="shared" si="35"/>
        <v>100</v>
      </c>
      <c r="H44" s="27">
        <v>16867742.140000001</v>
      </c>
      <c r="I44" s="27">
        <v>16867742.140000001</v>
      </c>
      <c r="J44" s="20">
        <f t="shared" si="39"/>
        <v>100</v>
      </c>
      <c r="K44" s="27">
        <v>19775760.219999999</v>
      </c>
      <c r="L44" s="27">
        <v>19775760.219999999</v>
      </c>
      <c r="M44" s="20">
        <f t="shared" si="40"/>
        <v>100</v>
      </c>
      <c r="N44" s="27">
        <v>17305616.27</v>
      </c>
      <c r="O44" s="27">
        <v>17305616.27</v>
      </c>
      <c r="P44" s="20">
        <f t="shared" si="38"/>
        <v>100</v>
      </c>
      <c r="Q44" s="13">
        <f t="shared" si="23"/>
        <v>-12.490766081911957</v>
      </c>
      <c r="R44" s="13">
        <f t="shared" si="23"/>
        <v>-12.490766081911957</v>
      </c>
    </row>
    <row r="45" spans="1:18" x14ac:dyDescent="0.3">
      <c r="A45" s="5" t="s">
        <v>57</v>
      </c>
      <c r="B45" s="27">
        <v>0</v>
      </c>
      <c r="C45" s="27">
        <v>0</v>
      </c>
      <c r="D45" s="20" t="str">
        <f t="shared" si="34"/>
        <v>-</v>
      </c>
      <c r="E45" s="27">
        <v>0</v>
      </c>
      <c r="F45" s="27">
        <v>0</v>
      </c>
      <c r="G45" s="20" t="str">
        <f t="shared" si="35"/>
        <v>-</v>
      </c>
      <c r="H45" s="27">
        <v>0</v>
      </c>
      <c r="I45" s="27">
        <v>0</v>
      </c>
      <c r="J45" s="20" t="str">
        <f t="shared" si="39"/>
        <v>-</v>
      </c>
      <c r="K45" s="27">
        <v>0</v>
      </c>
      <c r="L45" s="27">
        <v>0</v>
      </c>
      <c r="M45" s="20" t="str">
        <f t="shared" si="40"/>
        <v>-</v>
      </c>
      <c r="N45" s="27">
        <v>0</v>
      </c>
      <c r="O45" s="27">
        <v>0</v>
      </c>
      <c r="P45" s="20" t="str">
        <f t="shared" si="38"/>
        <v>-</v>
      </c>
      <c r="Q45" s="13" t="str">
        <f t="shared" si="23"/>
        <v>-</v>
      </c>
      <c r="R45" s="13" t="str">
        <f t="shared" si="23"/>
        <v>-</v>
      </c>
    </row>
    <row r="46" spans="1:18" x14ac:dyDescent="0.3">
      <c r="A46" s="5" t="s">
        <v>58</v>
      </c>
      <c r="B46" s="27">
        <v>0</v>
      </c>
      <c r="C46" s="27">
        <v>0</v>
      </c>
      <c r="D46" s="20" t="str">
        <f t="shared" si="34"/>
        <v>-</v>
      </c>
      <c r="E46" s="27">
        <v>0</v>
      </c>
      <c r="F46" s="27">
        <v>0</v>
      </c>
      <c r="G46" s="20" t="str">
        <f t="shared" si="35"/>
        <v>-</v>
      </c>
      <c r="H46" s="27">
        <v>0</v>
      </c>
      <c r="I46" s="27">
        <v>0</v>
      </c>
      <c r="J46" s="20" t="str">
        <f t="shared" si="39"/>
        <v>-</v>
      </c>
      <c r="K46" s="27">
        <v>0</v>
      </c>
      <c r="L46" s="27">
        <v>0</v>
      </c>
      <c r="M46" s="20" t="str">
        <f t="shared" si="40"/>
        <v>-</v>
      </c>
      <c r="N46" s="27">
        <v>0</v>
      </c>
      <c r="O46" s="27">
        <v>0</v>
      </c>
      <c r="P46" s="20" t="str">
        <f t="shared" si="38"/>
        <v>-</v>
      </c>
      <c r="Q46" s="13" t="str">
        <f t="shared" si="23"/>
        <v>-</v>
      </c>
      <c r="R46" s="13" t="str">
        <f t="shared" si="23"/>
        <v>-</v>
      </c>
    </row>
    <row r="47" spans="1:18" x14ac:dyDescent="0.3">
      <c r="A47" s="5" t="s">
        <v>59</v>
      </c>
      <c r="B47" s="27">
        <v>0</v>
      </c>
      <c r="C47" s="27">
        <v>0</v>
      </c>
      <c r="D47" s="20" t="str">
        <f t="shared" si="34"/>
        <v>-</v>
      </c>
      <c r="E47" s="27">
        <v>0</v>
      </c>
      <c r="F47" s="27">
        <v>0</v>
      </c>
      <c r="G47" s="20" t="str">
        <f t="shared" si="35"/>
        <v>-</v>
      </c>
      <c r="H47" s="27">
        <v>0</v>
      </c>
      <c r="I47" s="27">
        <v>0</v>
      </c>
      <c r="J47" s="20" t="str">
        <f t="shared" si="39"/>
        <v>-</v>
      </c>
      <c r="K47" s="27">
        <v>0</v>
      </c>
      <c r="L47" s="27">
        <v>0</v>
      </c>
      <c r="M47" s="20" t="str">
        <f t="shared" si="40"/>
        <v>-</v>
      </c>
      <c r="N47" s="27">
        <v>0</v>
      </c>
      <c r="O47" s="27">
        <v>0</v>
      </c>
      <c r="P47" s="20" t="str">
        <f t="shared" si="38"/>
        <v>-</v>
      </c>
      <c r="Q47" s="13" t="str">
        <f t="shared" si="23"/>
        <v>-</v>
      </c>
      <c r="R47" s="13" t="str">
        <f t="shared" si="23"/>
        <v>-</v>
      </c>
    </row>
    <row r="48" spans="1:18" x14ac:dyDescent="0.3">
      <c r="A48" s="5" t="s">
        <v>60</v>
      </c>
      <c r="B48" s="27">
        <v>85779772.030000001</v>
      </c>
      <c r="C48" s="27">
        <v>0</v>
      </c>
      <c r="D48" s="20">
        <f t="shared" si="34"/>
        <v>0</v>
      </c>
      <c r="E48" s="27">
        <v>120194913.36</v>
      </c>
      <c r="F48" s="27">
        <v>0</v>
      </c>
      <c r="G48" s="20">
        <f t="shared" si="35"/>
        <v>0</v>
      </c>
      <c r="H48" s="27">
        <v>135251982.84999999</v>
      </c>
      <c r="I48" s="27">
        <v>0</v>
      </c>
      <c r="J48" s="20">
        <f t="shared" si="39"/>
        <v>0</v>
      </c>
      <c r="K48" s="27">
        <v>143878210.19</v>
      </c>
      <c r="L48" s="27">
        <v>0</v>
      </c>
      <c r="M48" s="20">
        <f t="shared" si="40"/>
        <v>0</v>
      </c>
      <c r="N48" s="27">
        <v>135560166.25999999</v>
      </c>
      <c r="O48" s="27">
        <v>0</v>
      </c>
      <c r="P48" s="20">
        <f t="shared" si="38"/>
        <v>0</v>
      </c>
      <c r="Q48" s="13">
        <f t="shared" si="23"/>
        <v>-5.7813090105968854</v>
      </c>
      <c r="R48" s="13" t="str">
        <f t="shared" si="23"/>
        <v>-</v>
      </c>
    </row>
    <row r="49" spans="1:18" x14ac:dyDescent="0.3">
      <c r="A49" s="5" t="s">
        <v>61</v>
      </c>
      <c r="B49" s="27">
        <v>4983890.16</v>
      </c>
      <c r="C49" s="27">
        <v>0</v>
      </c>
      <c r="D49" s="20">
        <f t="shared" si="34"/>
        <v>0</v>
      </c>
      <c r="E49" s="27">
        <v>6889434.0199999996</v>
      </c>
      <c r="F49" s="27">
        <v>0</v>
      </c>
      <c r="G49" s="20">
        <f t="shared" si="35"/>
        <v>0</v>
      </c>
      <c r="H49" s="27">
        <v>7837630.5700000003</v>
      </c>
      <c r="I49" s="27">
        <v>0</v>
      </c>
      <c r="J49" s="20">
        <f t="shared" si="39"/>
        <v>0</v>
      </c>
      <c r="K49" s="27">
        <v>9140518.5</v>
      </c>
      <c r="L49" s="27">
        <v>0</v>
      </c>
      <c r="M49" s="20">
        <f t="shared" si="40"/>
        <v>0</v>
      </c>
      <c r="N49" s="27">
        <v>14586283</v>
      </c>
      <c r="O49" s="27">
        <v>0</v>
      </c>
      <c r="P49" s="20">
        <f t="shared" si="38"/>
        <v>0</v>
      </c>
      <c r="Q49" s="13">
        <f t="shared" si="23"/>
        <v>59.578288693360236</v>
      </c>
      <c r="R49" s="13" t="str">
        <f t="shared" si="23"/>
        <v>-</v>
      </c>
    </row>
    <row r="50" spans="1:18" x14ac:dyDescent="0.3">
      <c r="A50" s="5" t="s">
        <v>62</v>
      </c>
      <c r="B50" s="27">
        <f t="shared" ref="B50:C50" si="41">SUM(B23:B32)</f>
        <v>5664456447</v>
      </c>
      <c r="C50" s="27">
        <f t="shared" si="41"/>
        <v>5467441028.0100002</v>
      </c>
      <c r="D50" s="20">
        <f t="shared" si="34"/>
        <v>96.521900718393866</v>
      </c>
      <c r="E50" s="27">
        <f t="shared" ref="E50:F50" si="42">SUM(E23:E32)</f>
        <v>6030382040.1700001</v>
      </c>
      <c r="F50" s="27">
        <f t="shared" si="42"/>
        <v>5653706425.7900019</v>
      </c>
      <c r="G50" s="20">
        <f t="shared" si="35"/>
        <v>93.753702304914341</v>
      </c>
      <c r="H50" s="27">
        <f t="shared" ref="H50:I50" si="43">SUM(H23:H32)</f>
        <v>6000613584.3399992</v>
      </c>
      <c r="I50" s="27">
        <f t="shared" si="43"/>
        <v>5564414855.4100008</v>
      </c>
      <c r="J50" s="20">
        <f t="shared" si="39"/>
        <v>92.730764566004382</v>
      </c>
      <c r="K50" s="27">
        <f t="shared" ref="K50:L50" si="44">SUM(K23:K32)</f>
        <v>5610990402.04</v>
      </c>
      <c r="L50" s="27">
        <f t="shared" si="44"/>
        <v>5486972154.0400009</v>
      </c>
      <c r="M50" s="20">
        <f t="shared" si="40"/>
        <v>97.789726249488695</v>
      </c>
      <c r="N50" s="27">
        <f t="shared" ref="N50:O50" si="45">SUM(N23:N32)</f>
        <v>5462702359.8400002</v>
      </c>
      <c r="O50" s="27">
        <f t="shared" si="45"/>
        <v>5129475763.5</v>
      </c>
      <c r="P50" s="20">
        <f t="shared" si="38"/>
        <v>93.89996792082664</v>
      </c>
      <c r="Q50" s="13">
        <f t="shared" si="23"/>
        <v>-2.6428140412802463</v>
      </c>
      <c r="R50" s="13">
        <f t="shared" si="23"/>
        <v>-6.5153673192378108</v>
      </c>
    </row>
    <row r="51" spans="1:18" x14ac:dyDescent="0.3">
      <c r="A51" s="5" t="s">
        <v>63</v>
      </c>
      <c r="B51" s="27">
        <f t="shared" ref="B51:C51" si="46">SUM(B33:B37)</f>
        <v>737170081.66999996</v>
      </c>
      <c r="C51" s="27">
        <f t="shared" si="46"/>
        <v>551072927.28999996</v>
      </c>
      <c r="D51" s="20">
        <f t="shared" si="34"/>
        <v>74.755194356448683</v>
      </c>
      <c r="E51" s="27">
        <f t="shared" ref="E51:F51" si="47">SUM(E33:E37)</f>
        <v>870139754.5</v>
      </c>
      <c r="F51" s="27">
        <f t="shared" si="47"/>
        <v>653183827.68999994</v>
      </c>
      <c r="G51" s="20">
        <f t="shared" si="35"/>
        <v>75.066542392989817</v>
      </c>
      <c r="H51" s="27">
        <f t="shared" ref="H51:I51" si="48">SUM(H33:H37)</f>
        <v>863088179.57000005</v>
      </c>
      <c r="I51" s="27">
        <f t="shared" si="48"/>
        <v>594584392.25</v>
      </c>
      <c r="J51" s="20">
        <f t="shared" si="39"/>
        <v>68.890341256466797</v>
      </c>
      <c r="K51" s="27">
        <f t="shared" ref="K51:L51" si="49">SUM(K33:K37)</f>
        <v>827823739.76999998</v>
      </c>
      <c r="L51" s="27">
        <f t="shared" si="49"/>
        <v>653663878.73999989</v>
      </c>
      <c r="M51" s="20">
        <f t="shared" si="40"/>
        <v>78.961721842093084</v>
      </c>
      <c r="N51" s="27">
        <f t="shared" ref="N51:O51" si="50">SUM(N33:N37)</f>
        <v>838305649.70999992</v>
      </c>
      <c r="O51" s="27">
        <f t="shared" si="50"/>
        <v>642698759.27999985</v>
      </c>
      <c r="P51" s="20">
        <f t="shared" si="38"/>
        <v>76.666399600471792</v>
      </c>
      <c r="Q51" s="13">
        <f t="shared" si="23"/>
        <v>1.2662006942338024</v>
      </c>
      <c r="R51" s="13">
        <f t="shared" si="23"/>
        <v>-1.6774859092927699</v>
      </c>
    </row>
    <row r="52" spans="1:18" x14ac:dyDescent="0.3">
      <c r="A52" s="5" t="s">
        <v>64</v>
      </c>
      <c r="B52" s="27">
        <f t="shared" ref="B52:C52" si="51">SUM(B38:B41)</f>
        <v>105710608.68000001</v>
      </c>
      <c r="C52" s="27">
        <f t="shared" si="51"/>
        <v>103677079.84999999</v>
      </c>
      <c r="D52" s="20">
        <f t="shared" si="34"/>
        <v>98.076324736568523</v>
      </c>
      <c r="E52" s="27">
        <f t="shared" ref="E52:F52" si="52">SUM(E38:E41)</f>
        <v>167002343.21000001</v>
      </c>
      <c r="F52" s="27">
        <f t="shared" si="52"/>
        <v>162303440.54000002</v>
      </c>
      <c r="G52" s="20">
        <f t="shared" si="35"/>
        <v>97.18632530557295</v>
      </c>
      <c r="H52" s="27">
        <f t="shared" ref="H52:I52" si="53">SUM(H38:H41)</f>
        <v>146577172.59</v>
      </c>
      <c r="I52" s="27">
        <f t="shared" si="53"/>
        <v>137314610.47</v>
      </c>
      <c r="J52" s="20">
        <f t="shared" si="39"/>
        <v>93.680760819483893</v>
      </c>
      <c r="K52" s="27">
        <f t="shared" ref="K52:L52" si="54">SUM(K38:K41)</f>
        <v>143816679.68000001</v>
      </c>
      <c r="L52" s="27">
        <f t="shared" si="54"/>
        <v>142874307.06</v>
      </c>
      <c r="M52" s="20">
        <f t="shared" si="40"/>
        <v>99.344740386096504</v>
      </c>
      <c r="N52" s="27">
        <f t="shared" ref="N52:O52" si="55">SUM(N38:N41)</f>
        <v>110721062.68000001</v>
      </c>
      <c r="O52" s="27">
        <f t="shared" si="55"/>
        <v>110469342.73</v>
      </c>
      <c r="P52" s="20">
        <f t="shared" si="38"/>
        <v>99.772653961308606</v>
      </c>
      <c r="Q52" s="13">
        <f t="shared" si="23"/>
        <v>-23.012363429359908</v>
      </c>
      <c r="R52" s="13">
        <f t="shared" si="23"/>
        <v>-22.680749952048103</v>
      </c>
    </row>
    <row r="53" spans="1:18" x14ac:dyDescent="0.3">
      <c r="A53" s="5" t="s">
        <v>65</v>
      </c>
      <c r="B53" s="27">
        <f t="shared" ref="B53" si="56">SUM(B42:B46)</f>
        <v>123665945.89</v>
      </c>
      <c r="C53" s="29">
        <v>118996748.18000001</v>
      </c>
      <c r="D53" s="20">
        <f t="shared" si="34"/>
        <v>96.224346422617259</v>
      </c>
      <c r="E53" s="27">
        <f t="shared" ref="E53:F53" si="57">SUM(E42:E46)</f>
        <v>114989283.94</v>
      </c>
      <c r="F53" s="27">
        <f t="shared" si="57"/>
        <v>114989283.94</v>
      </c>
      <c r="G53" s="20">
        <f t="shared" si="35"/>
        <v>100</v>
      </c>
      <c r="H53" s="27">
        <f t="shared" ref="H53:I53" si="58">SUM(H42:H46)</f>
        <v>98635859.549999997</v>
      </c>
      <c r="I53" s="27">
        <f t="shared" si="58"/>
        <v>98635859.549999997</v>
      </c>
      <c r="J53" s="20">
        <f t="shared" si="39"/>
        <v>100</v>
      </c>
      <c r="K53" s="27">
        <f t="shared" ref="K53:L53" si="59">SUM(K42:K46)</f>
        <v>106234491.02</v>
      </c>
      <c r="L53" s="27">
        <f t="shared" si="59"/>
        <v>106234491.02</v>
      </c>
      <c r="M53" s="20">
        <f t="shared" si="40"/>
        <v>100</v>
      </c>
      <c r="N53" s="27">
        <f t="shared" ref="N53:O53" si="60">SUM(N42:N46)</f>
        <v>76688571.209999993</v>
      </c>
      <c r="O53" s="27">
        <f t="shared" si="60"/>
        <v>76688571.209999993</v>
      </c>
      <c r="P53" s="20">
        <f t="shared" si="38"/>
        <v>100</v>
      </c>
      <c r="Q53" s="13">
        <f t="shared" si="23"/>
        <v>-27.811984155350828</v>
      </c>
      <c r="R53" s="13">
        <f t="shared" si="23"/>
        <v>-27.811984155350828</v>
      </c>
    </row>
    <row r="54" spans="1:18" x14ac:dyDescent="0.3">
      <c r="A54" s="5" t="s">
        <v>66</v>
      </c>
      <c r="B54" s="27">
        <f t="shared" ref="B54:C54" si="61">B47</f>
        <v>0</v>
      </c>
      <c r="C54" s="27">
        <f t="shared" si="61"/>
        <v>0</v>
      </c>
      <c r="D54" s="20" t="str">
        <f t="shared" si="34"/>
        <v>-</v>
      </c>
      <c r="E54" s="27">
        <f t="shared" ref="E54:F54" si="62">E47</f>
        <v>0</v>
      </c>
      <c r="F54" s="27">
        <f t="shared" si="62"/>
        <v>0</v>
      </c>
      <c r="G54" s="20" t="str">
        <f t="shared" si="35"/>
        <v>-</v>
      </c>
      <c r="H54" s="27">
        <f t="shared" ref="H54:I54" si="63">H47</f>
        <v>0</v>
      </c>
      <c r="I54" s="27">
        <f t="shared" si="63"/>
        <v>0</v>
      </c>
      <c r="J54" s="20" t="str">
        <f t="shared" si="39"/>
        <v>-</v>
      </c>
      <c r="K54" s="27">
        <f t="shared" ref="K54:L54" si="64">K47</f>
        <v>0</v>
      </c>
      <c r="L54" s="27">
        <f t="shared" si="64"/>
        <v>0</v>
      </c>
      <c r="M54" s="20" t="str">
        <f t="shared" si="40"/>
        <v>-</v>
      </c>
      <c r="N54" s="27">
        <f t="shared" ref="N54:O54" si="65">N47</f>
        <v>0</v>
      </c>
      <c r="O54" s="27">
        <f t="shared" si="65"/>
        <v>0</v>
      </c>
      <c r="P54" s="20" t="str">
        <f t="shared" si="38"/>
        <v>-</v>
      </c>
      <c r="Q54" s="13" t="str">
        <f t="shared" si="23"/>
        <v>-</v>
      </c>
      <c r="R54" s="13" t="str">
        <f t="shared" si="23"/>
        <v>-</v>
      </c>
    </row>
    <row r="55" spans="1:18" x14ac:dyDescent="0.3">
      <c r="A55" s="5" t="s">
        <v>67</v>
      </c>
      <c r="B55" s="27">
        <f>SUM(B48:B49)</f>
        <v>90763662.189999998</v>
      </c>
      <c r="C55" s="29">
        <v>78982545.659999996</v>
      </c>
      <c r="D55" s="20">
        <f t="shared" si="34"/>
        <v>87.020007516512493</v>
      </c>
      <c r="E55" s="27">
        <f>SUM(E48:E49)</f>
        <v>127084347.38</v>
      </c>
      <c r="F55" s="29">
        <v>10171815.890000001</v>
      </c>
      <c r="G55" s="20">
        <f t="shared" si="35"/>
        <v>8.0039879809783709</v>
      </c>
      <c r="H55" s="27">
        <f>SUM(H48:H49)</f>
        <v>143089613.41999999</v>
      </c>
      <c r="I55" s="29">
        <v>109217313.83</v>
      </c>
      <c r="J55" s="20">
        <f t="shared" si="39"/>
        <v>76.327911732784386</v>
      </c>
      <c r="K55" s="27">
        <f>SUM(K48:K49)</f>
        <v>153018728.69</v>
      </c>
      <c r="L55" s="29">
        <v>114018772.65000001</v>
      </c>
      <c r="M55" s="20">
        <f t="shared" si="40"/>
        <v>74.512952516413961</v>
      </c>
      <c r="N55" s="27">
        <f>SUM(N48:N49)</f>
        <v>150146449.25999999</v>
      </c>
      <c r="O55" s="29">
        <v>103828345.19</v>
      </c>
      <c r="P55" s="20">
        <f t="shared" si="38"/>
        <v>69.151382334860557</v>
      </c>
      <c r="Q55" s="13">
        <f t="shared" si="23"/>
        <v>-1.8770770444831868</v>
      </c>
      <c r="R55" s="13">
        <f t="shared" si="23"/>
        <v>-8.937499696897504</v>
      </c>
    </row>
    <row r="56" spans="1:18" x14ac:dyDescent="0.3">
      <c r="A56" s="5" t="s">
        <v>68</v>
      </c>
      <c r="B56" s="19">
        <f t="shared" ref="B56:C56" si="66">SUM(B50:B55)</f>
        <v>6721766745.4300003</v>
      </c>
      <c r="C56" s="19">
        <f t="shared" si="66"/>
        <v>6320170328.9900007</v>
      </c>
      <c r="D56" s="20">
        <f t="shared" si="34"/>
        <v>94.025433615157255</v>
      </c>
      <c r="E56" s="19">
        <f t="shared" ref="E56:F56" si="67">SUM(E50:E55)</f>
        <v>7309597769.1999998</v>
      </c>
      <c r="F56" s="19">
        <f t="shared" si="67"/>
        <v>6594354793.8500013</v>
      </c>
      <c r="G56" s="20">
        <f t="shared" si="35"/>
        <v>90.215015956640272</v>
      </c>
      <c r="H56" s="24">
        <f t="shared" ref="H56:I56" si="68">SUM(H50:H55)</f>
        <v>7252004409.4699993</v>
      </c>
      <c r="I56" s="19">
        <f t="shared" si="68"/>
        <v>6504167031.5100012</v>
      </c>
      <c r="J56" s="20">
        <f t="shared" si="39"/>
        <v>89.687852685480479</v>
      </c>
      <c r="K56" s="24">
        <f t="shared" ref="K56:L56" si="69">SUM(K50:K55)</f>
        <v>6841884041.1999998</v>
      </c>
      <c r="L56" s="19">
        <f t="shared" si="69"/>
        <v>6503763603.5100012</v>
      </c>
      <c r="M56" s="20">
        <f t="shared" si="40"/>
        <v>95.058079972505709</v>
      </c>
      <c r="N56" s="24">
        <f t="shared" ref="N56:O56" si="70">SUM(N50:N55)</f>
        <v>6638564092.7000008</v>
      </c>
      <c r="O56" s="19">
        <f t="shared" si="70"/>
        <v>6063160781.9099989</v>
      </c>
      <c r="P56" s="20">
        <f t="shared" si="38"/>
        <v>91.332413112908924</v>
      </c>
      <c r="Q56" s="13">
        <f t="shared" si="23"/>
        <v>-2.9716953294686164</v>
      </c>
      <c r="R56" s="13">
        <f t="shared" si="23"/>
        <v>-6.7745823566252312</v>
      </c>
    </row>
    <row r="57" spans="1:18" x14ac:dyDescent="0.3">
      <c r="A57" s="14" t="s">
        <v>69</v>
      </c>
      <c r="B57" s="15">
        <f t="shared" ref="B57:C57" si="71">B56-B55</f>
        <v>6631003083.2400007</v>
      </c>
      <c r="C57" s="15">
        <f t="shared" si="71"/>
        <v>6241187783.3300009</v>
      </c>
      <c r="D57" s="21">
        <f t="shared" si="34"/>
        <v>94.121322294431351</v>
      </c>
      <c r="E57" s="15">
        <f t="shared" ref="E57:F57" si="72">E56-E55</f>
        <v>7182513421.8199997</v>
      </c>
      <c r="F57" s="15">
        <f t="shared" si="72"/>
        <v>6584182977.960001</v>
      </c>
      <c r="G57" s="21">
        <f t="shared" si="35"/>
        <v>91.669623031370733</v>
      </c>
      <c r="H57" s="25">
        <f t="shared" ref="H57:I57" si="73">H56-H55</f>
        <v>7108914796.0499992</v>
      </c>
      <c r="I57" s="15">
        <f t="shared" si="73"/>
        <v>6394949717.6800013</v>
      </c>
      <c r="J57" s="21">
        <f t="shared" si="39"/>
        <v>89.956764163684937</v>
      </c>
      <c r="K57" s="25">
        <f t="shared" ref="K57:L57" si="74">K56-K55</f>
        <v>6688865312.5100002</v>
      </c>
      <c r="L57" s="15">
        <f t="shared" si="74"/>
        <v>6389744830.8600016</v>
      </c>
      <c r="M57" s="21">
        <f t="shared" si="40"/>
        <v>95.528083349345337</v>
      </c>
      <c r="N57" s="25">
        <f t="shared" ref="N57:O57" si="75">N56-N55</f>
        <v>6488417643.4400005</v>
      </c>
      <c r="O57" s="15">
        <f t="shared" si="75"/>
        <v>5959332436.7199993</v>
      </c>
      <c r="P57" s="21">
        <f t="shared" si="38"/>
        <v>91.845697428942117</v>
      </c>
      <c r="Q57" s="16">
        <f t="shared" si="23"/>
        <v>-2.9967365121720775</v>
      </c>
      <c r="R57" s="16">
        <f t="shared" si="23"/>
        <v>-6.7359872034525807</v>
      </c>
    </row>
    <row r="58" spans="1:18" x14ac:dyDescent="0.3">
      <c r="A58" s="5" t="s">
        <v>70</v>
      </c>
      <c r="B58" s="19">
        <f>B14-B50</f>
        <v>730754600.30000019</v>
      </c>
      <c r="C58" s="19">
        <f>C14-C50</f>
        <v>658504083.44000053</v>
      </c>
      <c r="D58" s="22"/>
      <c r="E58" s="19">
        <f>E14-E50</f>
        <v>536112537.84000015</v>
      </c>
      <c r="F58" s="19">
        <f>F14-F50</f>
        <v>513803702.00999832</v>
      </c>
      <c r="G58" s="22"/>
      <c r="H58" s="19">
        <f>H14-H50</f>
        <v>657634330.46000099</v>
      </c>
      <c r="I58" s="19">
        <f>I14-I50</f>
        <v>561125554.73999977</v>
      </c>
      <c r="J58" s="22"/>
      <c r="K58" s="19">
        <f>K14-K50</f>
        <v>1018692807.3100004</v>
      </c>
      <c r="L58" s="19">
        <f>L14-L50</f>
        <v>886015205.62999821</v>
      </c>
      <c r="M58" s="22"/>
      <c r="N58" s="19">
        <f>N14-N50</f>
        <v>1646961063.7299995</v>
      </c>
      <c r="O58" s="19">
        <f>O14-O50</f>
        <v>1580680157.6399994</v>
      </c>
      <c r="P58" s="22"/>
      <c r="Q58" s="13">
        <f t="shared" si="23"/>
        <v>61.673966078059237</v>
      </c>
      <c r="R58" s="13">
        <f t="shared" si="23"/>
        <v>78.403276557320709</v>
      </c>
    </row>
    <row r="59" spans="1:18" x14ac:dyDescent="0.3">
      <c r="A59" s="5" t="s">
        <v>71</v>
      </c>
      <c r="B59" s="19">
        <f>B15-B51</f>
        <v>-593359986.86999989</v>
      </c>
      <c r="C59" s="19">
        <f>C15-C51</f>
        <v>-470126472.72999996</v>
      </c>
      <c r="D59" s="22"/>
      <c r="E59" s="19">
        <f>E15-E51</f>
        <v>-788710008.76999998</v>
      </c>
      <c r="F59" s="19">
        <f>F15-F51</f>
        <v>-606633129.69999993</v>
      </c>
      <c r="G59" s="22"/>
      <c r="H59" s="19">
        <f>H15-H51</f>
        <v>-758411248.36000001</v>
      </c>
      <c r="I59" s="19">
        <f>I15-I51</f>
        <v>-560632663.14999998</v>
      </c>
      <c r="J59" s="22"/>
      <c r="K59" s="19">
        <f>K15-K51</f>
        <v>-658666624.77999997</v>
      </c>
      <c r="L59" s="19">
        <f>L15-L51</f>
        <v>-576296470.49999988</v>
      </c>
      <c r="M59" s="22"/>
      <c r="N59" s="19">
        <f>N15-N51</f>
        <v>-676666349.02999997</v>
      </c>
      <c r="O59" s="19">
        <f>O15-O51</f>
        <v>-573844620.96999979</v>
      </c>
      <c r="P59" s="22"/>
      <c r="Q59" s="13" t="str">
        <f t="shared" si="23"/>
        <v>-</v>
      </c>
      <c r="R59" s="13" t="str">
        <f t="shared" si="23"/>
        <v>-</v>
      </c>
    </row>
    <row r="60" spans="1:18" x14ac:dyDescent="0.3">
      <c r="A60" s="5" t="s">
        <v>366</v>
      </c>
      <c r="B60" s="19">
        <f>SUM(B14:B16)-SUM(B50:B52)</f>
        <v>176513162.13000011</v>
      </c>
      <c r="C60" s="19">
        <f>SUM(C14:C16)-SUM(C50:C52)</f>
        <v>218444684.26000023</v>
      </c>
      <c r="D60" s="22"/>
      <c r="E60" s="19">
        <f>SUM(E14:E16)-SUM(E50:E52)</f>
        <v>-299422927.90000057</v>
      </c>
      <c r="F60" s="19">
        <f>SUM(F14:F16)-SUM(F50:F52)</f>
        <v>-173389622.13000107</v>
      </c>
      <c r="G60" s="22"/>
      <c r="H60" s="19">
        <f>SUM(H14:H16)-SUM(H50:H52)</f>
        <v>14168752.190001488</v>
      </c>
      <c r="I60" s="19">
        <f>SUM(I14:I16)-SUM(I50:I52)</f>
        <v>92911215.979999542</v>
      </c>
      <c r="J60" s="22"/>
      <c r="K60" s="19">
        <f>SUM(K14:K16)-SUM(K50:K52)</f>
        <v>449593322.12000084</v>
      </c>
      <c r="L60" s="19">
        <f>SUM(L14:L16)-SUM(L50:L52)</f>
        <v>398096072.1999979</v>
      </c>
      <c r="M60" s="22"/>
      <c r="N60" s="19">
        <f>SUM(N14:N16)-SUM(N50:N52)</f>
        <v>988457188.80999947</v>
      </c>
      <c r="O60" s="19">
        <f>SUM(O14:O16)-SUM(O50:O52)</f>
        <v>1018099318.1800003</v>
      </c>
      <c r="P60" s="22"/>
      <c r="Q60" s="13">
        <f t="shared" si="23"/>
        <v>119.85584308704892</v>
      </c>
      <c r="R60" s="13">
        <f t="shared" si="23"/>
        <v>155.74211585501939</v>
      </c>
    </row>
    <row r="61" spans="1:18" x14ac:dyDescent="0.3">
      <c r="A61" s="5" t="s">
        <v>367</v>
      </c>
      <c r="B61" s="28">
        <f>B21-B57</f>
        <v>52847216.239999771</v>
      </c>
      <c r="C61" s="28">
        <f>C21-C57</f>
        <v>99447936.079999924</v>
      </c>
      <c r="D61" s="106"/>
      <c r="E61" s="28">
        <f>E21-E57</f>
        <v>-388410666.27000046</v>
      </c>
      <c r="F61" s="28">
        <f>F21-F57</f>
        <v>-262377360.50000095</v>
      </c>
      <c r="G61" s="106"/>
      <c r="H61" s="28">
        <f>H21-H57</f>
        <v>-37482917.57999897</v>
      </c>
      <c r="I61" s="28">
        <f>I21-I57</f>
        <v>36595234.93999958</v>
      </c>
      <c r="J61" s="106"/>
      <c r="K61" s="28">
        <f>K21-K57</f>
        <v>400711238.39000034</v>
      </c>
      <c r="L61" s="28">
        <f>L21-L57</f>
        <v>291861581.17999744</v>
      </c>
      <c r="M61" s="106"/>
      <c r="N61" s="28">
        <f>N21-N57</f>
        <v>965007523.22999954</v>
      </c>
      <c r="O61" s="28">
        <f>O21-O57</f>
        <v>994649652.60000038</v>
      </c>
      <c r="P61" s="106"/>
    </row>
    <row r="62" spans="1:18" x14ac:dyDescent="0.3">
      <c r="A62" s="5" t="s">
        <v>368</v>
      </c>
      <c r="C62" s="6">
        <f>SUM(C14:C16)/SUM(B14:B16)*100</f>
        <v>94.865016948439106</v>
      </c>
      <c r="D62" s="106"/>
      <c r="F62" s="6">
        <f>SUM(F14:F16)/SUM(E14:E16)*100</f>
        <v>93.021718744489718</v>
      </c>
      <c r="G62" s="106"/>
      <c r="I62" s="6">
        <f>SUM(I14:I16)/SUM(H14:H16)*100</f>
        <v>90.956974231543271</v>
      </c>
      <c r="J62" s="106"/>
      <c r="L62" s="6">
        <f>SUM(L14:L16)/SUM(K14:K16)*100</f>
        <v>95.014127473615886</v>
      </c>
      <c r="M62" s="106"/>
      <c r="O62" s="6">
        <f>SUM(O14:O16)/SUM(N14:N16)*100</f>
        <v>93.250939101635382</v>
      </c>
      <c r="P62" s="106"/>
    </row>
    <row r="63" spans="1:18" x14ac:dyDescent="0.3">
      <c r="A63" s="5" t="s">
        <v>369</v>
      </c>
      <c r="C63" s="6">
        <f>SUM(C50:C52)/SUM(B50:B52)*100</f>
        <v>94.081356258777703</v>
      </c>
      <c r="D63" s="106"/>
      <c r="F63" s="6">
        <f>SUM(F50:F52)/SUM(E50:E52)*100</f>
        <v>91.534087012832245</v>
      </c>
      <c r="G63" s="106"/>
      <c r="I63" s="6">
        <f>SUM(I50:I52)/SUM(H50:H52)*100</f>
        <v>89.815454066276317</v>
      </c>
      <c r="J63" s="106"/>
      <c r="L63" s="6">
        <f>SUM(L50:L52)/SUM(K50:K52)*100</f>
        <v>95.455912844550326</v>
      </c>
      <c r="M63" s="106"/>
      <c r="O63" s="6">
        <f>SUM(O50:O52)/SUM(N50:N52)*100</f>
        <v>91.748166512344767</v>
      </c>
      <c r="P63" s="106"/>
    </row>
  </sheetData>
  <mergeCells count="6">
    <mergeCell ref="Q1:R1"/>
    <mergeCell ref="B1:D1"/>
    <mergeCell ref="E1:G1"/>
    <mergeCell ref="N1:P1"/>
    <mergeCell ref="H1:J1"/>
    <mergeCell ref="K1:M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showGridLines="0" tabSelected="1" workbookViewId="0">
      <selection activeCell="J4" sqref="J4"/>
    </sheetView>
  </sheetViews>
  <sheetFormatPr defaultRowHeight="14.4" x14ac:dyDescent="0.3"/>
  <cols>
    <col min="1" max="2" width="10.33203125" bestFit="1" customWidth="1"/>
    <col min="3" max="3" width="50.6640625" bestFit="1" customWidth="1"/>
    <col min="4" max="4" width="7.44140625" customWidth="1"/>
    <col min="5" max="9" width="7.5546875" customWidth="1"/>
  </cols>
  <sheetData>
    <row r="1" spans="1:9" ht="23.25" customHeight="1" x14ac:dyDescent="0.3">
      <c r="A1" s="74" t="s">
        <v>308</v>
      </c>
      <c r="B1" s="74" t="s">
        <v>309</v>
      </c>
      <c r="C1" s="74" t="s">
        <v>319</v>
      </c>
      <c r="D1" s="42" t="s">
        <v>210</v>
      </c>
      <c r="E1" s="42">
        <v>2016</v>
      </c>
      <c r="F1" s="42">
        <v>2017</v>
      </c>
      <c r="G1" s="42">
        <v>2018</v>
      </c>
      <c r="H1" s="42">
        <v>2019</v>
      </c>
      <c r="I1" s="42">
        <v>2020</v>
      </c>
    </row>
    <row r="2" spans="1:9" ht="29.25" customHeight="1" x14ac:dyDescent="0.3">
      <c r="A2" s="75" t="s">
        <v>310</v>
      </c>
      <c r="B2" s="75" t="s">
        <v>77</v>
      </c>
      <c r="C2" s="77" t="s">
        <v>318</v>
      </c>
      <c r="D2" s="89" t="s">
        <v>325</v>
      </c>
      <c r="E2" s="82">
        <f>Piano_indicatori!D3</f>
        <v>5.1100000000000003</v>
      </c>
      <c r="F2" s="82">
        <f>Piano_indicatori!E3</f>
        <v>5.09</v>
      </c>
      <c r="G2" s="82">
        <f>Piano_indicatori!F3</f>
        <v>4.88</v>
      </c>
      <c r="H2" s="82">
        <f>Piano_indicatori!G3</f>
        <v>4.99</v>
      </c>
      <c r="I2" s="82">
        <f>Piano_indicatori!H3</f>
        <v>3.93</v>
      </c>
    </row>
    <row r="3" spans="1:9" ht="29.25" customHeight="1" x14ac:dyDescent="0.3">
      <c r="A3" s="76" t="s">
        <v>311</v>
      </c>
      <c r="B3" s="76" t="s">
        <v>94</v>
      </c>
      <c r="C3" s="78" t="s">
        <v>95</v>
      </c>
      <c r="D3" s="90" t="s">
        <v>326</v>
      </c>
      <c r="E3" s="83">
        <f>Piano_indicatori!D12</f>
        <v>93.55</v>
      </c>
      <c r="F3" s="83">
        <f>Piano_indicatori!E12</f>
        <v>94.36</v>
      </c>
      <c r="G3" s="83">
        <f>Piano_indicatori!F12</f>
        <v>73.94</v>
      </c>
      <c r="H3" s="83">
        <f>Piano_indicatori!G12</f>
        <v>77.930000000000007</v>
      </c>
      <c r="I3" s="83">
        <f>Piano_indicatori!H12</f>
        <v>89.33</v>
      </c>
    </row>
    <row r="4" spans="1:9" ht="29.25" customHeight="1" x14ac:dyDescent="0.3">
      <c r="A4" s="75" t="s">
        <v>312</v>
      </c>
      <c r="B4" s="75" t="s">
        <v>99</v>
      </c>
      <c r="C4" s="79" t="s">
        <v>321</v>
      </c>
      <c r="D4" s="89" t="s">
        <v>327</v>
      </c>
      <c r="E4" s="84">
        <f>Piano_indicatori!D15</f>
        <v>0</v>
      </c>
      <c r="F4" s="84">
        <f>Piano_indicatori!E15</f>
        <v>0</v>
      </c>
      <c r="G4" s="84">
        <f>Piano_indicatori!F15</f>
        <v>0</v>
      </c>
      <c r="H4" s="84">
        <f>Piano_indicatori!G15</f>
        <v>0</v>
      </c>
      <c r="I4" s="84">
        <f>Piano_indicatori!H15</f>
        <v>0</v>
      </c>
    </row>
    <row r="5" spans="1:9" ht="29.25" customHeight="1" x14ac:dyDescent="0.3">
      <c r="A5" s="76" t="s">
        <v>313</v>
      </c>
      <c r="B5" s="76" t="s">
        <v>164</v>
      </c>
      <c r="C5" s="80" t="s">
        <v>322</v>
      </c>
      <c r="D5" s="91" t="s">
        <v>328</v>
      </c>
      <c r="E5" s="85">
        <f>Piano_indicatori!D51</f>
        <v>1.76</v>
      </c>
      <c r="F5" s="85">
        <f>Piano_indicatori!E51</f>
        <v>1.82</v>
      </c>
      <c r="G5" s="85">
        <f>Piano_indicatori!F51</f>
        <v>1.64</v>
      </c>
      <c r="H5" s="85">
        <f>Piano_indicatori!G51</f>
        <v>1.74</v>
      </c>
      <c r="I5" s="85">
        <f>Piano_indicatori!H51</f>
        <v>1.23</v>
      </c>
    </row>
    <row r="6" spans="1:9" ht="29.25" customHeight="1" x14ac:dyDescent="0.3">
      <c r="A6" s="75" t="s">
        <v>314</v>
      </c>
      <c r="B6" s="75" t="s">
        <v>184</v>
      </c>
      <c r="C6" s="93" t="s">
        <v>185</v>
      </c>
      <c r="D6" s="92" t="s">
        <v>329</v>
      </c>
      <c r="E6" s="86">
        <f>Piano_indicatori!D62</f>
        <v>0</v>
      </c>
      <c r="F6" s="86">
        <f>Piano_indicatori!E62</f>
        <v>0</v>
      </c>
      <c r="G6" s="86">
        <f>Piano_indicatori!F62</f>
        <v>0</v>
      </c>
      <c r="H6" s="86">
        <f>Piano_indicatori!G62</f>
        <v>0</v>
      </c>
      <c r="I6" s="86">
        <f>Piano_indicatori!H62</f>
        <v>0</v>
      </c>
    </row>
    <row r="7" spans="1:9" ht="29.25" customHeight="1" x14ac:dyDescent="0.3">
      <c r="A7" s="76" t="s">
        <v>315</v>
      </c>
      <c r="B7" s="76" t="s">
        <v>187</v>
      </c>
      <c r="C7" s="80" t="s">
        <v>188</v>
      </c>
      <c r="D7" s="90" t="s">
        <v>330</v>
      </c>
      <c r="E7" s="87">
        <f>Piano_indicatori!D65</f>
        <v>0</v>
      </c>
      <c r="F7" s="87">
        <f>Piano_indicatori!E65</f>
        <v>0</v>
      </c>
      <c r="G7" s="87">
        <f>Piano_indicatori!F65</f>
        <v>0.05</v>
      </c>
      <c r="H7" s="87">
        <f>Piano_indicatori!G65</f>
        <v>0.04</v>
      </c>
      <c r="I7" s="87">
        <f>Piano_indicatori!H65</f>
        <v>0.02</v>
      </c>
    </row>
    <row r="8" spans="1:9" ht="29.25" customHeight="1" x14ac:dyDescent="0.3">
      <c r="A8" s="75" t="s">
        <v>316</v>
      </c>
      <c r="B8" s="75" t="s">
        <v>320</v>
      </c>
      <c r="C8" s="79" t="s">
        <v>323</v>
      </c>
      <c r="D8" s="89" t="s">
        <v>331</v>
      </c>
      <c r="E8" s="84">
        <f>Piano_indicatori!D66+Piano_indicatori!D67</f>
        <v>0</v>
      </c>
      <c r="F8" s="84">
        <f>Piano_indicatori!E66+Piano_indicatori!E67</f>
        <v>0</v>
      </c>
      <c r="G8" s="84">
        <f>Piano_indicatori!F66+Piano_indicatori!F67</f>
        <v>0.05</v>
      </c>
      <c r="H8" s="84">
        <f>Piano_indicatori!G66+Piano_indicatori!G67</f>
        <v>0.04</v>
      </c>
      <c r="I8" s="84">
        <f>Piano_indicatori!H66+Piano_indicatori!H67</f>
        <v>0</v>
      </c>
    </row>
    <row r="9" spans="1:9" ht="29.25" customHeight="1" x14ac:dyDescent="0.3">
      <c r="A9" s="76" t="s">
        <v>317</v>
      </c>
      <c r="B9" s="76"/>
      <c r="C9" s="81" t="s">
        <v>324</v>
      </c>
      <c r="D9" s="91" t="s">
        <v>332</v>
      </c>
      <c r="E9" s="88">
        <f>Piano_indicatori!D77</f>
        <v>89.173544184876604</v>
      </c>
      <c r="F9" s="88">
        <f>Piano_indicatori!E77</f>
        <v>87.44626159324423</v>
      </c>
      <c r="G9" s="88">
        <f>Piano_indicatori!F77</f>
        <v>85.847817303566984</v>
      </c>
      <c r="H9" s="88">
        <f>Piano_indicatori!G77</f>
        <v>88.542267545339897</v>
      </c>
      <c r="I9" s="88">
        <f>Piano_indicatori!H77</f>
        <v>87.630643068904888</v>
      </c>
    </row>
  </sheetData>
  <conditionalFormatting sqref="E2:G2 I2">
    <cfRule type="cellIs" dxfId="23" priority="16" operator="greaterThan">
      <formula>48</formula>
    </cfRule>
  </conditionalFormatting>
  <conditionalFormatting sqref="E3:G3 I3">
    <cfRule type="cellIs" dxfId="22" priority="15" operator="lessThan">
      <formula>22</formula>
    </cfRule>
  </conditionalFormatting>
  <conditionalFormatting sqref="E4:G4 I4">
    <cfRule type="cellIs" dxfId="21" priority="14" operator="greaterThan">
      <formula>0</formula>
    </cfRule>
  </conditionalFormatting>
  <conditionalFormatting sqref="E5:G5 I5">
    <cfRule type="cellIs" dxfId="20" priority="13" operator="greaterThan">
      <formula>16</formula>
    </cfRule>
  </conditionalFormatting>
  <conditionalFormatting sqref="E6:G6 I6">
    <cfRule type="cellIs" dxfId="19" priority="12" operator="greaterThan">
      <formula>1.2</formula>
    </cfRule>
  </conditionalFormatting>
  <conditionalFormatting sqref="E7:G7 I7">
    <cfRule type="cellIs" dxfId="18" priority="11" operator="greaterThan">
      <formula>1</formula>
    </cfRule>
  </conditionalFormatting>
  <conditionalFormatting sqref="E8:G8 I8">
    <cfRule type="cellIs" dxfId="17" priority="10" operator="greaterThan">
      <formula>0.6</formula>
    </cfRule>
  </conditionalFormatting>
  <conditionalFormatting sqref="E9:G9 I9">
    <cfRule type="cellIs" dxfId="16" priority="9" operator="lessThan">
      <formula>47</formula>
    </cfRule>
  </conditionalFormatting>
  <conditionalFormatting sqref="H2">
    <cfRule type="cellIs" dxfId="15" priority="8" operator="greaterThan">
      <formula>48</formula>
    </cfRule>
  </conditionalFormatting>
  <conditionalFormatting sqref="H3">
    <cfRule type="cellIs" dxfId="13" priority="7" operator="lessThan">
      <formula>22</formula>
    </cfRule>
  </conditionalFormatting>
  <conditionalFormatting sqref="H4">
    <cfRule type="cellIs" dxfId="11" priority="6" operator="greaterThan">
      <formula>0</formula>
    </cfRule>
  </conditionalFormatting>
  <conditionalFormatting sqref="H5">
    <cfRule type="cellIs" dxfId="9" priority="5" operator="greaterThan">
      <formula>16</formula>
    </cfRule>
  </conditionalFormatting>
  <conditionalFormatting sqref="H6">
    <cfRule type="cellIs" dxfId="7" priority="4" operator="greaterThan">
      <formula>1.2</formula>
    </cfRule>
  </conditionalFormatting>
  <conditionalFormatting sqref="H7">
    <cfRule type="cellIs" dxfId="5" priority="3" operator="greaterThan">
      <formula>1</formula>
    </cfRule>
  </conditionalFormatting>
  <conditionalFormatting sqref="H8">
    <cfRule type="cellIs" dxfId="3" priority="2" operator="greaterThan">
      <formula>0.6</formula>
    </cfRule>
  </conditionalFormatting>
  <conditionalFormatting sqref="H9">
    <cfRule type="cellIs" dxfId="1" priority="1" operator="lessThan">
      <formula>47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workbookViewId="0">
      <selection activeCell="B3" sqref="B3"/>
    </sheetView>
  </sheetViews>
  <sheetFormatPr defaultRowHeight="14.4" x14ac:dyDescent="0.3"/>
  <cols>
    <col min="2" max="2" width="12.33203125" bestFit="1" customWidth="1"/>
    <col min="5" max="5" width="10.33203125" customWidth="1"/>
  </cols>
  <sheetData>
    <row r="1" spans="1:20" ht="28.8" x14ac:dyDescent="0.3">
      <c r="A1" s="101" t="s">
        <v>362</v>
      </c>
      <c r="B1" s="101" t="s">
        <v>363</v>
      </c>
      <c r="C1" s="101" t="s">
        <v>232</v>
      </c>
      <c r="D1" s="101" t="s">
        <v>346</v>
      </c>
      <c r="E1" s="105" t="s">
        <v>347</v>
      </c>
      <c r="F1" s="105" t="s">
        <v>348</v>
      </c>
    </row>
    <row r="2" spans="1:20" x14ac:dyDescent="0.3">
      <c r="A2" s="31">
        <v>2021</v>
      </c>
      <c r="B2" s="95">
        <v>1201510</v>
      </c>
      <c r="C2" s="102">
        <f>B2/B3*100-100</f>
        <v>-0.3901457118791285</v>
      </c>
    </row>
    <row r="3" spans="1:20" x14ac:dyDescent="0.3">
      <c r="A3" s="31">
        <v>2020</v>
      </c>
      <c r="B3" s="95">
        <v>1206216</v>
      </c>
      <c r="C3" s="102">
        <f>B3/B4*100-100</f>
        <v>-0.34682348353538828</v>
      </c>
      <c r="D3" s="95">
        <v>-8972</v>
      </c>
      <c r="E3" s="1">
        <v>4266</v>
      </c>
      <c r="F3" s="1">
        <f t="shared" ref="F3" si="0">B2-B3-D3-E3</f>
        <v>0</v>
      </c>
    </row>
    <row r="4" spans="1:20" x14ac:dyDescent="0.3">
      <c r="A4" s="31">
        <v>2019</v>
      </c>
      <c r="B4" s="95">
        <v>1210414</v>
      </c>
      <c r="C4" s="102">
        <f>B4/B5*100-100</f>
        <v>-6.1181269119146009E-2</v>
      </c>
      <c r="D4" s="95">
        <v>-6823</v>
      </c>
      <c r="E4" s="1">
        <v>2625</v>
      </c>
      <c r="F4" s="1">
        <f t="shared" ref="F4:F5" si="1">B3-B4-D4-E4</f>
        <v>0</v>
      </c>
      <c r="K4" s="108"/>
      <c r="L4" s="109"/>
      <c r="M4" s="109"/>
      <c r="N4" s="109"/>
      <c r="O4" s="109"/>
      <c r="P4" s="109"/>
      <c r="Q4" s="109"/>
      <c r="R4" s="109"/>
      <c r="S4" s="109"/>
      <c r="T4" s="109"/>
    </row>
    <row r="5" spans="1:20" x14ac:dyDescent="0.3">
      <c r="A5" s="31">
        <v>2018</v>
      </c>
      <c r="B5" s="95">
        <v>1211155</v>
      </c>
      <c r="C5" s="102">
        <f t="shared" ref="C5:C7" si="2">B5/B6*100-100</f>
        <v>-0.13637761593128062</v>
      </c>
      <c r="D5" s="95">
        <v>-6647</v>
      </c>
      <c r="E5" s="95">
        <v>5906</v>
      </c>
      <c r="F5" s="1">
        <f t="shared" si="1"/>
        <v>0</v>
      </c>
      <c r="K5" s="108"/>
      <c r="L5" s="109"/>
      <c r="M5" s="109"/>
      <c r="N5" s="109"/>
      <c r="O5" s="109"/>
      <c r="P5" s="109"/>
      <c r="Q5" s="109"/>
      <c r="R5" s="109"/>
      <c r="S5" s="109"/>
      <c r="T5" s="109"/>
    </row>
    <row r="6" spans="1:20" x14ac:dyDescent="0.3">
      <c r="A6" s="31">
        <v>2017</v>
      </c>
      <c r="B6" s="95">
        <v>1212809</v>
      </c>
      <c r="C6" s="102">
        <f t="shared" si="2"/>
        <v>-0.27947522134371638</v>
      </c>
      <c r="D6" s="95">
        <v>-6385</v>
      </c>
      <c r="E6" s="95">
        <v>4731</v>
      </c>
      <c r="F6" s="1">
        <f>B5-B6-D6-E6</f>
        <v>0</v>
      </c>
      <c r="K6" s="108"/>
      <c r="L6" s="109"/>
      <c r="M6" s="109"/>
      <c r="N6" s="109"/>
      <c r="O6" s="109"/>
      <c r="P6" s="109"/>
      <c r="Q6" s="109"/>
      <c r="R6" s="109"/>
      <c r="S6" s="109"/>
      <c r="T6" s="109"/>
    </row>
    <row r="7" spans="1:20" x14ac:dyDescent="0.3">
      <c r="A7" s="31">
        <v>2016</v>
      </c>
      <c r="B7" s="95">
        <v>1216208</v>
      </c>
      <c r="C7" s="102">
        <f t="shared" si="2"/>
        <v>-0.4466039762160392</v>
      </c>
      <c r="D7" s="95">
        <v>-5614</v>
      </c>
      <c r="E7" s="95">
        <v>2215</v>
      </c>
      <c r="F7" s="1">
        <f>B6-B7-D7-E7</f>
        <v>0</v>
      </c>
      <c r="K7" s="108"/>
      <c r="L7" s="109"/>
      <c r="M7" s="109"/>
      <c r="N7" s="109"/>
      <c r="O7" s="109"/>
      <c r="P7" s="109"/>
      <c r="Q7" s="109"/>
      <c r="R7" s="109"/>
      <c r="S7" s="109"/>
      <c r="T7" s="109"/>
    </row>
    <row r="8" spans="1:20" x14ac:dyDescent="0.3">
      <c r="A8" s="103">
        <v>2015</v>
      </c>
      <c r="B8" s="104">
        <v>1221664</v>
      </c>
      <c r="C8" s="104"/>
      <c r="D8" s="104">
        <v>-6239</v>
      </c>
      <c r="E8" s="104">
        <v>783</v>
      </c>
      <c r="F8" s="1">
        <f>B7-B8-D8-E8</f>
        <v>0</v>
      </c>
    </row>
    <row r="9" spans="1:20" x14ac:dyDescent="0.3">
      <c r="A9" t="s">
        <v>364</v>
      </c>
    </row>
  </sheetData>
  <sortState ref="A2:B6">
    <sortCondition descending="1" ref="A2:A6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workbookViewId="0">
      <selection activeCell="H1" sqref="H1:H21"/>
    </sheetView>
  </sheetViews>
  <sheetFormatPr defaultRowHeight="14.4" x14ac:dyDescent="0.3"/>
  <cols>
    <col min="1" max="1" width="55.6640625" bestFit="1" customWidth="1"/>
    <col min="2" max="2" width="15.33203125" bestFit="1" customWidth="1"/>
    <col min="3" max="6" width="14.33203125" bestFit="1" customWidth="1"/>
    <col min="7" max="7" width="8.44140625" customWidth="1"/>
    <col min="8" max="8" width="8.109375" bestFit="1" customWidth="1"/>
    <col min="9" max="9" width="13.88671875" customWidth="1"/>
    <col min="10" max="10" width="7" bestFit="1" customWidth="1"/>
  </cols>
  <sheetData>
    <row r="1" spans="1:10" ht="28.8" x14ac:dyDescent="0.3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54" t="s">
        <v>295</v>
      </c>
      <c r="H1" s="42" t="s">
        <v>232</v>
      </c>
      <c r="I1" s="54" t="s">
        <v>370</v>
      </c>
      <c r="J1" s="42" t="s">
        <v>267</v>
      </c>
    </row>
    <row r="2" spans="1:10" x14ac:dyDescent="0.3">
      <c r="A2" s="55" t="s">
        <v>19</v>
      </c>
      <c r="B2" s="56">
        <f>Entrate_Uscite!B3</f>
        <v>5685726067.4099998</v>
      </c>
      <c r="C2" s="56">
        <f>Entrate_Uscite!E3</f>
        <v>5956807153.1700001</v>
      </c>
      <c r="D2" s="56">
        <f>Entrate_Uscite!H3</f>
        <v>6085601855.1199999</v>
      </c>
      <c r="E2" s="56">
        <f>Entrate_Uscite!K3</f>
        <v>6066398960.6800003</v>
      </c>
      <c r="F2" s="56">
        <f>Entrate_Uscite!N3</f>
        <v>6333790486.5299997</v>
      </c>
      <c r="G2" s="56">
        <f>F2/F$21*100</f>
        <v>84.978252882356045</v>
      </c>
      <c r="H2" s="57">
        <f t="shared" ref="H2:H21" si="0">IF(E2&gt;0,F2/E2*100-100,"-")</f>
        <v>4.4077471261472425</v>
      </c>
      <c r="I2" s="56">
        <f>Entrate_Uscite!O3</f>
        <v>6018940973.2799997</v>
      </c>
      <c r="J2" s="58">
        <f>IF(F2&gt;0,I2/F2*100,"-")</f>
        <v>95.02905070953031</v>
      </c>
    </row>
    <row r="3" spans="1:10" x14ac:dyDescent="0.3">
      <c r="A3" s="55" t="s">
        <v>20</v>
      </c>
      <c r="B3" s="56">
        <f>Entrate_Uscite!B4</f>
        <v>355689957.22000003</v>
      </c>
      <c r="C3" s="56">
        <f>Entrate_Uscite!E4</f>
        <v>450636943.63999999</v>
      </c>
      <c r="D3" s="56">
        <f>Entrate_Uscite!H4</f>
        <v>359676663.47000003</v>
      </c>
      <c r="E3" s="56">
        <f>Entrate_Uscite!K4</f>
        <v>355784151.38999999</v>
      </c>
      <c r="F3" s="56">
        <f>Entrate_Uscite!N4</f>
        <v>603331725.44000006</v>
      </c>
      <c r="G3" s="56">
        <f t="shared" ref="G3:G21" si="1">F3/F$21*100</f>
        <v>8.0946908561980404</v>
      </c>
      <c r="H3" s="57">
        <f t="shared" si="0"/>
        <v>69.57802169738747</v>
      </c>
      <c r="I3" s="56">
        <f>Entrate_Uscite!O4</f>
        <v>530055864</v>
      </c>
      <c r="J3" s="58">
        <f t="shared" ref="J3:J21" si="2">IF(F3&gt;0,I3/F3*100,"-")</f>
        <v>87.854797228413418</v>
      </c>
    </row>
    <row r="4" spans="1:10" x14ac:dyDescent="0.3">
      <c r="A4" s="55" t="s">
        <v>21</v>
      </c>
      <c r="B4" s="56">
        <f>Entrate_Uscite!B5</f>
        <v>353795022.67000002</v>
      </c>
      <c r="C4" s="56">
        <f>Entrate_Uscite!E5</f>
        <v>159050481.19999999</v>
      </c>
      <c r="D4" s="56">
        <f>Entrate_Uscite!H5</f>
        <v>212969396.21000001</v>
      </c>
      <c r="E4" s="56">
        <f>Entrate_Uscite!K5</f>
        <v>207500097.28</v>
      </c>
      <c r="F4" s="56">
        <f>Entrate_Uscite!N5</f>
        <v>172541211.59999999</v>
      </c>
      <c r="G4" s="56">
        <f t="shared" si="1"/>
        <v>2.3149251215610849</v>
      </c>
      <c r="H4" s="57">
        <f t="shared" si="0"/>
        <v>-16.847647850895513</v>
      </c>
      <c r="I4" s="56">
        <f>Entrate_Uscite!O5</f>
        <v>161159083.86000001</v>
      </c>
      <c r="J4" s="58">
        <f t="shared" si="2"/>
        <v>93.403241095589948</v>
      </c>
    </row>
    <row r="5" spans="1:10" x14ac:dyDescent="0.3">
      <c r="A5" s="4" t="s">
        <v>30</v>
      </c>
      <c r="B5" s="43">
        <f>SUM(B2:B4)</f>
        <v>6395211047.3000002</v>
      </c>
      <c r="C5" s="43">
        <f>SUM(C2:C4)</f>
        <v>6566494578.0100002</v>
      </c>
      <c r="D5" s="43">
        <f>SUM(D2:D4)</f>
        <v>6658247914.8000002</v>
      </c>
      <c r="E5" s="43">
        <f>SUM(E2:E4)</f>
        <v>6629683209.3500004</v>
      </c>
      <c r="F5" s="43">
        <f>SUM(F2:F4)</f>
        <v>7109663423.5699997</v>
      </c>
      <c r="G5" s="43">
        <f t="shared" si="1"/>
        <v>95.387868860115162</v>
      </c>
      <c r="H5" s="44">
        <f t="shared" si="0"/>
        <v>7.2398665073931738</v>
      </c>
      <c r="I5" s="43">
        <f>SUM(I2:I4)</f>
        <v>6710155921.1399994</v>
      </c>
      <c r="J5" s="45">
        <f>IF(F5&gt;0,I5/F5*100,"-")</f>
        <v>94.380781780674027</v>
      </c>
    </row>
    <row r="6" spans="1:10" x14ac:dyDescent="0.3">
      <c r="A6" s="55" t="s">
        <v>22</v>
      </c>
      <c r="B6" s="56">
        <f>Entrate_Uscite!B6</f>
        <v>0</v>
      </c>
      <c r="C6" s="56">
        <f>Entrate_Uscite!E6</f>
        <v>0</v>
      </c>
      <c r="D6" s="56">
        <f>Entrate_Uscite!H6</f>
        <v>0</v>
      </c>
      <c r="E6" s="56">
        <f>Entrate_Uscite!K6</f>
        <v>0</v>
      </c>
      <c r="F6" s="56">
        <f>Entrate_Uscite!N6</f>
        <v>0</v>
      </c>
      <c r="G6" s="56">
        <f t="shared" si="1"/>
        <v>0</v>
      </c>
      <c r="H6" s="57" t="str">
        <f t="shared" si="0"/>
        <v>-</v>
      </c>
      <c r="I6" s="56">
        <f>Entrate_Uscite!O6</f>
        <v>0</v>
      </c>
      <c r="J6" s="58" t="str">
        <f t="shared" si="2"/>
        <v>-</v>
      </c>
    </row>
    <row r="7" spans="1:10" x14ac:dyDescent="0.3">
      <c r="A7" s="55" t="s">
        <v>23</v>
      </c>
      <c r="B7" s="56">
        <f>Entrate_Uscite!B7</f>
        <v>132835005.42</v>
      </c>
      <c r="C7" s="56">
        <f>Entrate_Uscite!E7</f>
        <v>70673384.150000006</v>
      </c>
      <c r="D7" s="56">
        <f>Entrate_Uscite!H7</f>
        <v>104154623.38</v>
      </c>
      <c r="E7" s="56">
        <f>Entrate_Uscite!K7</f>
        <v>155307917.61000001</v>
      </c>
      <c r="F7" s="56">
        <f>Entrate_Uscite!N7</f>
        <v>157131559.59999999</v>
      </c>
      <c r="G7" s="56">
        <f t="shared" si="1"/>
        <v>2.1081792073616854</v>
      </c>
      <c r="H7" s="57">
        <f t="shared" si="0"/>
        <v>1.1742105734618065</v>
      </c>
      <c r="I7" s="56">
        <f>Entrate_Uscite!O7</f>
        <v>64352352.270000003</v>
      </c>
      <c r="J7" s="58">
        <f t="shared" si="2"/>
        <v>40.954441255351739</v>
      </c>
    </row>
    <row r="8" spans="1:10" x14ac:dyDescent="0.3">
      <c r="A8" s="55" t="s">
        <v>24</v>
      </c>
      <c r="B8" s="56">
        <f>Entrate_Uscite!B8</f>
        <v>0</v>
      </c>
      <c r="C8" s="56">
        <f>Entrate_Uscite!E8</f>
        <v>395820.13</v>
      </c>
      <c r="D8" s="56">
        <f>Entrate_Uscite!H8</f>
        <v>0</v>
      </c>
      <c r="E8" s="56">
        <f>Entrate_Uscite!K8</f>
        <v>98212.2</v>
      </c>
      <c r="F8" s="56">
        <f>Entrate_Uscite!N8</f>
        <v>0</v>
      </c>
      <c r="G8" s="56">
        <f t="shared" si="1"/>
        <v>0</v>
      </c>
      <c r="H8" s="57">
        <f t="shared" si="0"/>
        <v>-100</v>
      </c>
      <c r="I8" s="56">
        <f>Entrate_Uscite!O8</f>
        <v>0</v>
      </c>
      <c r="J8" s="58" t="str">
        <f t="shared" si="2"/>
        <v>-</v>
      </c>
    </row>
    <row r="9" spans="1:10" x14ac:dyDescent="0.3">
      <c r="A9" s="55" t="s">
        <v>25</v>
      </c>
      <c r="B9" s="56">
        <f>Entrate_Uscite!B9</f>
        <v>246294.83</v>
      </c>
      <c r="C9" s="56">
        <f>Entrate_Uscite!E9</f>
        <v>422506.1</v>
      </c>
      <c r="D9" s="56">
        <f>Entrate_Uscite!H9</f>
        <v>225959.72</v>
      </c>
      <c r="E9" s="56">
        <f>Entrate_Uscite!K9</f>
        <v>1573415.43</v>
      </c>
      <c r="F9" s="56">
        <f>Entrate_Uscite!N9</f>
        <v>3070934.91</v>
      </c>
      <c r="G9" s="56">
        <f t="shared" si="1"/>
        <v>4.1201660194195196E-2</v>
      </c>
      <c r="H9" s="57">
        <f t="shared" si="0"/>
        <v>95.176356571004277</v>
      </c>
      <c r="I9" s="56">
        <f>Entrate_Uscite!O9</f>
        <v>3070934.91</v>
      </c>
      <c r="J9" s="58">
        <f t="shared" si="2"/>
        <v>100</v>
      </c>
    </row>
    <row r="10" spans="1:10" x14ac:dyDescent="0.3">
      <c r="A10" s="55" t="s">
        <v>26</v>
      </c>
      <c r="B10" s="56">
        <f>Entrate_Uscite!B10</f>
        <v>10728794.550000001</v>
      </c>
      <c r="C10" s="56">
        <f>Entrate_Uscite!E10</f>
        <v>9938035.3499999996</v>
      </c>
      <c r="D10" s="56">
        <f>Entrate_Uscite!H10</f>
        <v>296348.11</v>
      </c>
      <c r="E10" s="56">
        <f>Entrate_Uscite!K10</f>
        <v>12177569.75</v>
      </c>
      <c r="F10" s="56">
        <f>Entrate_Uscite!N10</f>
        <v>1436806.17</v>
      </c>
      <c r="G10" s="56">
        <f t="shared" si="1"/>
        <v>1.9277126124846146E-2</v>
      </c>
      <c r="H10" s="57">
        <f t="shared" si="0"/>
        <v>-88.201207634224389</v>
      </c>
      <c r="I10" s="56">
        <f>Entrate_Uscite!O10</f>
        <v>1430851.13</v>
      </c>
      <c r="J10" s="58">
        <f t="shared" si="2"/>
        <v>99.585536300975093</v>
      </c>
    </row>
    <row r="11" spans="1:10" x14ac:dyDescent="0.3">
      <c r="A11" s="4" t="s">
        <v>31</v>
      </c>
      <c r="B11" s="46">
        <f>SUM(B6:B10)</f>
        <v>143810094.80000001</v>
      </c>
      <c r="C11" s="46">
        <f>SUM(C6:C10)</f>
        <v>81429745.729999989</v>
      </c>
      <c r="D11" s="46">
        <f>SUM(D6:D10)</f>
        <v>104676931.20999999</v>
      </c>
      <c r="E11" s="46">
        <f>SUM(E6:E10)</f>
        <v>169157114.99000001</v>
      </c>
      <c r="F11" s="46">
        <f>SUM(F6:F10)</f>
        <v>161639300.67999998</v>
      </c>
      <c r="G11" s="46">
        <f t="shared" si="1"/>
        <v>2.1686579936807266</v>
      </c>
      <c r="H11" s="44">
        <f t="shared" si="0"/>
        <v>-4.4442791013812553</v>
      </c>
      <c r="I11" s="46">
        <f>SUM(I6:I10)</f>
        <v>68854138.310000002</v>
      </c>
      <c r="J11" s="45">
        <f>IF(F11&gt;0,I11/F11*100,"-")</f>
        <v>42.597399283675259</v>
      </c>
    </row>
    <row r="12" spans="1:10" x14ac:dyDescent="0.3">
      <c r="A12" s="55" t="s">
        <v>27</v>
      </c>
      <c r="B12" s="56">
        <f>Entrate_Uscite!B11</f>
        <v>16636.310000000001</v>
      </c>
      <c r="C12" s="56">
        <f>Entrate_Uscite!E11</f>
        <v>3673608.52</v>
      </c>
      <c r="D12" s="56">
        <f>Entrate_Uscite!H11</f>
        <v>165528.5</v>
      </c>
      <c r="E12" s="56">
        <f>Entrate_Uscite!K11</f>
        <v>32802263.27</v>
      </c>
      <c r="F12" s="56">
        <f>Entrate_Uscite!N11</f>
        <v>37407.949999999997</v>
      </c>
      <c r="G12" s="56">
        <f t="shared" si="1"/>
        <v>5.018893886166555E-4</v>
      </c>
      <c r="H12" s="57">
        <f t="shared" si="0"/>
        <v>-99.885959241006972</v>
      </c>
      <c r="I12" s="56">
        <f>Entrate_Uscite!O11</f>
        <v>37407.949999999997</v>
      </c>
      <c r="J12" s="58">
        <f t="shared" si="2"/>
        <v>100</v>
      </c>
    </row>
    <row r="13" spans="1:10" x14ac:dyDescent="0.3">
      <c r="A13" s="55" t="s">
        <v>28</v>
      </c>
      <c r="B13" s="56">
        <f>Entrate_Uscite!B12</f>
        <v>59367642.700000003</v>
      </c>
      <c r="C13" s="56">
        <f>Entrate_Uscite!E12</f>
        <v>11191011.709999999</v>
      </c>
      <c r="D13" s="56">
        <f>Entrate_Uscite!H12</f>
        <v>132411979.81</v>
      </c>
      <c r="E13" s="56">
        <f>Entrate_Uscite!K12</f>
        <v>70439273.040000007</v>
      </c>
      <c r="F13" s="56">
        <f>Entrate_Uscite!N12</f>
        <v>24684749.039999999</v>
      </c>
      <c r="G13" s="56">
        <f t="shared" si="1"/>
        <v>0.33118664893000482</v>
      </c>
      <c r="H13" s="57">
        <f t="shared" si="0"/>
        <v>-64.955985525315697</v>
      </c>
      <c r="I13" s="56">
        <f>Entrate_Uscite!O12</f>
        <v>22079336.539999999</v>
      </c>
      <c r="J13" s="58">
        <f t="shared" si="2"/>
        <v>89.44525425080036</v>
      </c>
    </row>
    <row r="14" spans="1:10" x14ac:dyDescent="0.3">
      <c r="A14" s="55" t="s">
        <v>29</v>
      </c>
      <c r="B14" s="56">
        <f>Entrate_Uscite!B13</f>
        <v>85444878.370000005</v>
      </c>
      <c r="C14" s="56">
        <f>Entrate_Uscite!E13</f>
        <v>105312266.01000001</v>
      </c>
      <c r="D14" s="56">
        <f>Entrate_Uscite!H13</f>
        <v>128945334.37</v>
      </c>
      <c r="E14" s="56">
        <f>Entrate_Uscite!K13</f>
        <v>130142282.95999999</v>
      </c>
      <c r="F14" s="56">
        <f>Entrate_Uscite!N13</f>
        <v>104161379.8</v>
      </c>
      <c r="G14" s="56">
        <f t="shared" si="1"/>
        <v>1.3974968215389845</v>
      </c>
      <c r="H14" s="57">
        <f t="shared" si="0"/>
        <v>-19.963460428910238</v>
      </c>
      <c r="I14" s="56">
        <f>Entrate_Uscite!O13</f>
        <v>99616379.75</v>
      </c>
      <c r="J14" s="58">
        <f t="shared" si="2"/>
        <v>95.636578491253815</v>
      </c>
    </row>
    <row r="15" spans="1:10" x14ac:dyDescent="0.3">
      <c r="A15" s="4" t="s">
        <v>32</v>
      </c>
      <c r="B15" s="43">
        <f>SUM(B12:B14)</f>
        <v>144829157.38</v>
      </c>
      <c r="C15" s="43">
        <f>SUM(C12:C14)</f>
        <v>120176886.24000001</v>
      </c>
      <c r="D15" s="43">
        <f>SUM(D12:D14)</f>
        <v>261522842.68000001</v>
      </c>
      <c r="E15" s="43">
        <f>SUM(E12:E14)</f>
        <v>233383819.26999998</v>
      </c>
      <c r="F15" s="43">
        <f>SUM(F12:F14)</f>
        <v>128883536.78999999</v>
      </c>
      <c r="G15" s="43">
        <f t="shared" si="1"/>
        <v>1.7291853598576057</v>
      </c>
      <c r="H15" s="44">
        <f t="shared" si="0"/>
        <v>-44.776147209719106</v>
      </c>
      <c r="I15" s="43">
        <f>SUM(I12:I14)</f>
        <v>121733124.23999999</v>
      </c>
      <c r="J15" s="45">
        <f t="shared" si="2"/>
        <v>94.452035746310472</v>
      </c>
    </row>
    <row r="16" spans="1:10" x14ac:dyDescent="0.3">
      <c r="A16" s="47" t="s">
        <v>343</v>
      </c>
      <c r="B16" s="48">
        <f>B5+B11+B15</f>
        <v>6683850299.4800005</v>
      </c>
      <c r="C16" s="48">
        <f t="shared" ref="C16:F16" si="3">C5+C11+C15</f>
        <v>6768101209.9799995</v>
      </c>
      <c r="D16" s="48">
        <f t="shared" si="3"/>
        <v>7024447688.6900005</v>
      </c>
      <c r="E16" s="48">
        <f t="shared" ref="E16" si="4">E5+E11+E15</f>
        <v>7032224143.6100006</v>
      </c>
      <c r="F16" s="48">
        <f t="shared" si="3"/>
        <v>7400186261.04</v>
      </c>
      <c r="G16" s="48">
        <f t="shared" si="1"/>
        <v>99.285712213653497</v>
      </c>
      <c r="H16" s="49">
        <f t="shared" si="0"/>
        <v>5.2325140654732536</v>
      </c>
      <c r="I16" s="48">
        <f t="shared" ref="I16" si="5">I5+I11+I15</f>
        <v>6900743183.6899996</v>
      </c>
      <c r="J16" s="50">
        <f t="shared" si="2"/>
        <v>93.250939101635382</v>
      </c>
    </row>
    <row r="17" spans="1:10" x14ac:dyDescent="0.3">
      <c r="A17" s="4" t="s">
        <v>33</v>
      </c>
      <c r="B17" s="43">
        <f>Entrate_Uscite!B17</f>
        <v>0</v>
      </c>
      <c r="C17" s="43">
        <f>Entrate_Uscite!E17</f>
        <v>26001545.57</v>
      </c>
      <c r="D17" s="43">
        <f>Entrate_Uscite!H17</f>
        <v>46984189.780000001</v>
      </c>
      <c r="E17" s="43">
        <f>Entrate_Uscite!K17</f>
        <v>57352407.289999999</v>
      </c>
      <c r="F17" s="43">
        <f>Entrate_Uscite!N17</f>
        <v>53238905.630000003</v>
      </c>
      <c r="G17" s="43">
        <f t="shared" si="1"/>
        <v>0.71428778634649914</v>
      </c>
      <c r="H17" s="44">
        <f t="shared" si="0"/>
        <v>-7.1723260702907368</v>
      </c>
      <c r="I17" s="43">
        <f>Entrate_Uscite!O17</f>
        <v>53238905.630000003</v>
      </c>
      <c r="J17" s="45">
        <f t="shared" si="2"/>
        <v>100</v>
      </c>
    </row>
    <row r="18" spans="1:10" x14ac:dyDescent="0.3">
      <c r="A18" s="4" t="s">
        <v>34</v>
      </c>
      <c r="B18" s="43">
        <f>Entrate_Uscite!B18</f>
        <v>0</v>
      </c>
      <c r="C18" s="43">
        <f>Entrate_Uscite!E18</f>
        <v>0</v>
      </c>
      <c r="D18" s="43">
        <f>Entrate_Uscite!H18</f>
        <v>0</v>
      </c>
      <c r="E18" s="43">
        <f>Entrate_Uscite!K18</f>
        <v>0</v>
      </c>
      <c r="F18" s="43">
        <f>Entrate_Uscite!N18</f>
        <v>0</v>
      </c>
      <c r="G18" s="43">
        <f t="shared" si="1"/>
        <v>0</v>
      </c>
      <c r="H18" s="44" t="str">
        <f t="shared" si="0"/>
        <v>-</v>
      </c>
      <c r="I18" s="43">
        <f>Entrate_Uscite!O18</f>
        <v>0</v>
      </c>
      <c r="J18" s="45" t="str">
        <f t="shared" si="2"/>
        <v>-</v>
      </c>
    </row>
    <row r="19" spans="1:10" x14ac:dyDescent="0.3">
      <c r="A19" s="4" t="s">
        <v>35</v>
      </c>
      <c r="B19" s="43">
        <f>Entrate_Uscite!B19</f>
        <v>90163088.170000002</v>
      </c>
      <c r="C19" s="43">
        <f>Entrate_Uscite!E19</f>
        <v>127084347.38</v>
      </c>
      <c r="D19" s="43">
        <f>Entrate_Uscite!H19</f>
        <v>143089613.41999999</v>
      </c>
      <c r="E19" s="43">
        <f>Entrate_Uscite!K19</f>
        <v>153018728.69</v>
      </c>
      <c r="F19" s="43">
        <f>Entrate_Uscite!N19</f>
        <v>150146449.25999999</v>
      </c>
      <c r="G19" s="43"/>
      <c r="H19" s="44">
        <f t="shared" si="0"/>
        <v>-1.8770770444831868</v>
      </c>
      <c r="I19" s="43">
        <f>Entrate_Uscite!O19</f>
        <v>120800901.97</v>
      </c>
      <c r="J19" s="45">
        <f t="shared" si="2"/>
        <v>80.455383770558569</v>
      </c>
    </row>
    <row r="20" spans="1:10" x14ac:dyDescent="0.3">
      <c r="A20" s="47" t="s">
        <v>36</v>
      </c>
      <c r="B20" s="48">
        <f>B5+B11+B15+B17+B18+B19</f>
        <v>6774013387.6500006</v>
      </c>
      <c r="C20" s="48">
        <f>C5+C11+C15+C17+C18+C19</f>
        <v>6921187102.9299994</v>
      </c>
      <c r="D20" s="48">
        <f>D5+D11+D15+D17+D18+D19</f>
        <v>7214521491.8900003</v>
      </c>
      <c r="E20" s="48">
        <f>E5+E11+E15+E17+E18+E19</f>
        <v>7242595279.5900002</v>
      </c>
      <c r="F20" s="48">
        <f>F5+F11+F15+F17+F18+F19</f>
        <v>7603571615.9300003</v>
      </c>
      <c r="G20" s="48"/>
      <c r="H20" s="49">
        <f t="shared" si="0"/>
        <v>4.9840743877715994</v>
      </c>
      <c r="I20" s="48">
        <f>I5+I11+I15+I17+I18+I19</f>
        <v>7074782991.29</v>
      </c>
      <c r="J20" s="50">
        <f t="shared" si="2"/>
        <v>93.045523191599173</v>
      </c>
    </row>
    <row r="21" spans="1:10" x14ac:dyDescent="0.3">
      <c r="A21" s="38" t="s">
        <v>37</v>
      </c>
      <c r="B21" s="51">
        <f>B20-B19</f>
        <v>6683850299.4800005</v>
      </c>
      <c r="C21" s="51">
        <f>C20-C19</f>
        <v>6794102755.5499992</v>
      </c>
      <c r="D21" s="51">
        <f>D20-D19</f>
        <v>7071431878.4700003</v>
      </c>
      <c r="E21" s="51">
        <f>E20-E19</f>
        <v>7089576550.9000006</v>
      </c>
      <c r="F21" s="51">
        <f>F20-F19</f>
        <v>7453425166.6700001</v>
      </c>
      <c r="G21" s="51">
        <f t="shared" si="1"/>
        <v>100</v>
      </c>
      <c r="H21" s="52">
        <f t="shared" si="0"/>
        <v>5.1321628754232194</v>
      </c>
      <c r="I21" s="51">
        <f>I20-I19</f>
        <v>6953982089.3199997</v>
      </c>
      <c r="J21" s="53">
        <f t="shared" si="2"/>
        <v>93.2991468193255</v>
      </c>
    </row>
    <row r="22" spans="1:10" x14ac:dyDescent="0.3">
      <c r="I22" s="6"/>
    </row>
    <row r="23" spans="1:10" x14ac:dyDescent="0.3">
      <c r="I23" s="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showGridLines="0" workbookViewId="0">
      <selection activeCell="H2" sqref="H2"/>
    </sheetView>
  </sheetViews>
  <sheetFormatPr defaultRowHeight="14.4" x14ac:dyDescent="0.3"/>
  <cols>
    <col min="1" max="1" width="50.6640625" bestFit="1" customWidth="1"/>
    <col min="2" max="2" width="15.33203125" bestFit="1" customWidth="1"/>
    <col min="3" max="6" width="14.33203125" bestFit="1" customWidth="1"/>
    <col min="7" max="7" width="8.5546875" customWidth="1"/>
    <col min="8" max="8" width="8.109375" customWidth="1"/>
    <col min="9" max="9" width="14.33203125" bestFit="1" customWidth="1"/>
    <col min="10" max="10" width="7" bestFit="1" customWidth="1"/>
  </cols>
  <sheetData>
    <row r="1" spans="1:10" ht="28.8" x14ac:dyDescent="0.3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54" t="s">
        <v>295</v>
      </c>
      <c r="H1" s="42" t="s">
        <v>232</v>
      </c>
      <c r="I1" s="54" t="s">
        <v>371</v>
      </c>
      <c r="J1" s="42" t="s">
        <v>334</v>
      </c>
    </row>
    <row r="2" spans="1:10" x14ac:dyDescent="0.3">
      <c r="A2" s="59" t="s">
        <v>268</v>
      </c>
      <c r="B2" s="56">
        <f>Entrate_Uscite!B23</f>
        <v>175493391.21000001</v>
      </c>
      <c r="C2" s="56">
        <f>Entrate_Uscite!E23</f>
        <v>191391447.56999999</v>
      </c>
      <c r="D2" s="56">
        <f>Entrate_Uscite!H23</f>
        <v>198014100.16</v>
      </c>
      <c r="E2" s="56">
        <f>Entrate_Uscite!K23</f>
        <v>197218774.63</v>
      </c>
      <c r="F2" s="56">
        <f>Entrate_Uscite!N23</f>
        <v>179519887.72</v>
      </c>
      <c r="G2" s="56">
        <f>F2/F$31*100</f>
        <v>2.7667745448152585</v>
      </c>
      <c r="H2" s="57">
        <f>IF(E2&gt;0,F2/E2*100-100,"-")</f>
        <v>-8.9742403801081849</v>
      </c>
      <c r="I2" s="56">
        <f>Entrate_Uscite!O23</f>
        <v>175976661.05000001</v>
      </c>
      <c r="J2" s="58">
        <f>IF(F2&gt;0,I2/F2*100,"-")</f>
        <v>98.026276244375538</v>
      </c>
    </row>
    <row r="3" spans="1:10" x14ac:dyDescent="0.3">
      <c r="A3" s="59" t="s">
        <v>269</v>
      </c>
      <c r="B3" s="56">
        <f>Entrate_Uscite!B24</f>
        <v>10766736.640000001</v>
      </c>
      <c r="C3" s="56">
        <f>Entrate_Uscite!E24</f>
        <v>13967046.67</v>
      </c>
      <c r="D3" s="56">
        <f>Entrate_Uscite!H24</f>
        <v>14514309.859999999</v>
      </c>
      <c r="E3" s="56">
        <f>Entrate_Uscite!K24</f>
        <v>14715132.25</v>
      </c>
      <c r="F3" s="56">
        <f>Entrate_Uscite!N24</f>
        <v>13901397.84</v>
      </c>
      <c r="G3" s="56">
        <f t="shared" ref="G3:G31" si="0">F3/F$31*100</f>
        <v>0.21424943035309635</v>
      </c>
      <c r="H3" s="57">
        <f t="shared" ref="H3:H31" si="1">IF(E3&gt;0,F3/E3*100-100,"-")</f>
        <v>-5.5299157097280016</v>
      </c>
      <c r="I3" s="56">
        <f>Entrate_Uscite!O24</f>
        <v>13791025.84</v>
      </c>
      <c r="J3" s="58">
        <f>IF(F3&gt;0,I3/F3*100,"-")</f>
        <v>99.206036678682665</v>
      </c>
    </row>
    <row r="4" spans="1:10" x14ac:dyDescent="0.3">
      <c r="A4" s="59" t="s">
        <v>270</v>
      </c>
      <c r="B4" s="56">
        <f>Entrate_Uscite!B25</f>
        <v>258263530.96000001</v>
      </c>
      <c r="C4" s="56">
        <f>Entrate_Uscite!E25</f>
        <v>450381557.88</v>
      </c>
      <c r="D4" s="56">
        <f>Entrate_Uscite!H25</f>
        <v>430670128.20999998</v>
      </c>
      <c r="E4" s="56">
        <f>Entrate_Uscite!K25</f>
        <v>431247581.69</v>
      </c>
      <c r="F4" s="56">
        <f>Entrate_Uscite!N25</f>
        <v>440519692.06</v>
      </c>
      <c r="G4" s="56">
        <f t="shared" si="0"/>
        <v>6.7893239348638366</v>
      </c>
      <c r="H4" s="57">
        <f t="shared" si="1"/>
        <v>2.1500666354264268</v>
      </c>
      <c r="I4" s="56">
        <f>Entrate_Uscite!O25</f>
        <v>360232363.25999999</v>
      </c>
      <c r="J4" s="58">
        <f t="shared" ref="J4:J9" si="2">IF(F4&gt;0,I4/F4*100,"-")</f>
        <v>81.774406400641752</v>
      </c>
    </row>
    <row r="5" spans="1:10" x14ac:dyDescent="0.3">
      <c r="A5" s="59" t="s">
        <v>271</v>
      </c>
      <c r="B5" s="56">
        <f>Entrate_Uscite!B26</f>
        <v>5199922969.9399996</v>
      </c>
      <c r="C5" s="56">
        <f>Entrate_Uscite!E26</f>
        <v>5353488594.79</v>
      </c>
      <c r="D5" s="56">
        <f>Entrate_Uscite!H26</f>
        <v>5336231401.1000004</v>
      </c>
      <c r="E5" s="56">
        <f>Entrate_Uscite!K26</f>
        <v>4944555524</v>
      </c>
      <c r="F5" s="56">
        <f>Entrate_Uscite!N26</f>
        <v>4813035192.7200003</v>
      </c>
      <c r="G5" s="56">
        <f t="shared" si="0"/>
        <v>74.17887468427891</v>
      </c>
      <c r="H5" s="57">
        <f t="shared" si="1"/>
        <v>-2.6599020001216189</v>
      </c>
      <c r="I5" s="56">
        <f>Entrate_Uscite!O26</f>
        <v>4564005148.4499998</v>
      </c>
      <c r="J5" s="58">
        <f t="shared" si="2"/>
        <v>94.825925132509454</v>
      </c>
    </row>
    <row r="6" spans="1:10" x14ac:dyDescent="0.3">
      <c r="A6" s="59" t="s">
        <v>272</v>
      </c>
      <c r="B6" s="56">
        <f>Entrate_Uscite!B29</f>
        <v>18173524.109999999</v>
      </c>
      <c r="C6" s="56">
        <f>Entrate_Uscite!E29</f>
        <v>15935750.539999999</v>
      </c>
      <c r="D6" s="56">
        <f>Entrate_Uscite!H29</f>
        <v>15722633.789999999</v>
      </c>
      <c r="E6" s="56">
        <f>Entrate_Uscite!K29</f>
        <v>13948512.550000001</v>
      </c>
      <c r="F6" s="56">
        <f>Entrate_Uscite!N29</f>
        <v>11501320.91</v>
      </c>
      <c r="G6" s="56">
        <f t="shared" si="0"/>
        <v>0.17725925706444323</v>
      </c>
      <c r="H6" s="57">
        <f t="shared" si="1"/>
        <v>-17.544463119115889</v>
      </c>
      <c r="I6" s="56">
        <f>Entrate_Uscite!O29</f>
        <v>11501320.91</v>
      </c>
      <c r="J6" s="58">
        <f t="shared" si="2"/>
        <v>100</v>
      </c>
    </row>
    <row r="7" spans="1:10" x14ac:dyDescent="0.3">
      <c r="A7" s="59" t="s">
        <v>273</v>
      </c>
      <c r="B7" s="56">
        <f>Entrate_Uscite!B30</f>
        <v>45823.25</v>
      </c>
      <c r="C7" s="56">
        <f>Entrate_Uscite!E30</f>
        <v>239474.47</v>
      </c>
      <c r="D7" s="56">
        <f>Entrate_Uscite!H30</f>
        <v>48478.400000000001</v>
      </c>
      <c r="E7" s="56">
        <f>Entrate_Uscite!K30</f>
        <v>0</v>
      </c>
      <c r="F7" s="56">
        <f>Entrate_Uscite!N30</f>
        <v>0</v>
      </c>
      <c r="G7" s="56">
        <f t="shared" si="0"/>
        <v>0</v>
      </c>
      <c r="H7" s="57" t="str">
        <f t="shared" si="1"/>
        <v>-</v>
      </c>
      <c r="I7" s="56">
        <f>Entrate_Uscite!O30</f>
        <v>0</v>
      </c>
      <c r="J7" s="58" t="str">
        <f t="shared" si="2"/>
        <v>-</v>
      </c>
    </row>
    <row r="8" spans="1:10" x14ac:dyDescent="0.3">
      <c r="A8" s="59" t="s">
        <v>274</v>
      </c>
      <c r="B8" s="56">
        <f>Entrate_Uscite!B31</f>
        <v>603733.71</v>
      </c>
      <c r="C8" s="56">
        <f>Entrate_Uscite!E31</f>
        <v>2595663.96</v>
      </c>
      <c r="D8" s="56">
        <f>Entrate_Uscite!H31</f>
        <v>1824807.36</v>
      </c>
      <c r="E8" s="56">
        <f>Entrate_Uscite!K31</f>
        <v>3662338.91</v>
      </c>
      <c r="F8" s="56">
        <f>Entrate_Uscite!N31</f>
        <v>2051190.3</v>
      </c>
      <c r="G8" s="56">
        <f t="shared" si="0"/>
        <v>3.1613105270339982E-2</v>
      </c>
      <c r="H8" s="57">
        <f t="shared" si="1"/>
        <v>-43.99234067608451</v>
      </c>
      <c r="I8" s="56">
        <f>Entrate_Uscite!O31</f>
        <v>2050828.14</v>
      </c>
      <c r="J8" s="58">
        <f t="shared" si="2"/>
        <v>99.982343910265172</v>
      </c>
    </row>
    <row r="9" spans="1:10" x14ac:dyDescent="0.3">
      <c r="A9" s="59" t="s">
        <v>275</v>
      </c>
      <c r="B9" s="56">
        <f>Entrate_Uscite!B32</f>
        <v>1186737.18</v>
      </c>
      <c r="C9" s="56">
        <f>Entrate_Uscite!E32</f>
        <v>2382504.29</v>
      </c>
      <c r="D9" s="56">
        <f>Entrate_Uscite!H32</f>
        <v>3587725.46</v>
      </c>
      <c r="E9" s="56">
        <f>Entrate_Uscite!K32</f>
        <v>5642538.0099999998</v>
      </c>
      <c r="F9" s="56">
        <f>Entrate_Uscite!N32</f>
        <v>2173678.29</v>
      </c>
      <c r="G9" s="56">
        <f t="shared" si="0"/>
        <v>3.3500899748610646E-2</v>
      </c>
      <c r="H9" s="57">
        <f t="shared" si="1"/>
        <v>-61.476940232432739</v>
      </c>
      <c r="I9" s="56">
        <f>Entrate_Uscite!O32</f>
        <v>1918415.85</v>
      </c>
      <c r="J9" s="58">
        <f t="shared" si="2"/>
        <v>88.256659636601526</v>
      </c>
    </row>
    <row r="10" spans="1:10" x14ac:dyDescent="0.3">
      <c r="A10" s="4" t="s">
        <v>280</v>
      </c>
      <c r="B10" s="43">
        <f>SUM(B2:B9)</f>
        <v>5664456447</v>
      </c>
      <c r="C10" s="43">
        <f>SUM(C2:C9)</f>
        <v>6030382040.1700001</v>
      </c>
      <c r="D10" s="43">
        <f>SUM(D2:D9)</f>
        <v>6000613584.3399992</v>
      </c>
      <c r="E10" s="43">
        <f>SUM(E2:E9)</f>
        <v>5610990402.04</v>
      </c>
      <c r="F10" s="43">
        <f>SUM(F2:F9)</f>
        <v>5462702359.8400002</v>
      </c>
      <c r="G10" s="43">
        <f t="shared" si="0"/>
        <v>84.191595856394486</v>
      </c>
      <c r="H10" s="44">
        <f t="shared" si="1"/>
        <v>-2.6428140412802463</v>
      </c>
      <c r="I10" s="43">
        <f>SUM(I2:I9)</f>
        <v>5129475763.5</v>
      </c>
      <c r="J10" s="45">
        <f t="shared" ref="J10:J17" si="3">IF(F10&gt;0,I10/F10*100,"-")</f>
        <v>93.89996792082664</v>
      </c>
    </row>
    <row r="11" spans="1:10" x14ac:dyDescent="0.3">
      <c r="A11" s="59" t="s">
        <v>276</v>
      </c>
      <c r="B11" s="56">
        <f>Entrate_Uscite!B34</f>
        <v>44350696.740000002</v>
      </c>
      <c r="C11" s="56">
        <f>Entrate_Uscite!E34</f>
        <v>59500744.399999999</v>
      </c>
      <c r="D11" s="56">
        <f>Entrate_Uscite!H34</f>
        <v>76430262.719999999</v>
      </c>
      <c r="E11" s="56">
        <f>Entrate_Uscite!K34</f>
        <v>47310052.759999998</v>
      </c>
      <c r="F11" s="56">
        <f>Entrate_Uscite!N34</f>
        <v>49081720.350000001</v>
      </c>
      <c r="G11" s="56">
        <f t="shared" si="0"/>
        <v>0.75645131135513755</v>
      </c>
      <c r="H11" s="57">
        <f t="shared" si="1"/>
        <v>3.7448015519820501</v>
      </c>
      <c r="I11" s="56">
        <f>Entrate_Uscite!O34</f>
        <v>27094296.02</v>
      </c>
      <c r="J11" s="58">
        <f t="shared" si="3"/>
        <v>55.202417166292342</v>
      </c>
    </row>
    <row r="12" spans="1:10" x14ac:dyDescent="0.3">
      <c r="A12" s="59" t="s">
        <v>277</v>
      </c>
      <c r="B12" s="56">
        <f>Entrate_Uscite!B35</f>
        <v>678779271.04999995</v>
      </c>
      <c r="C12" s="56">
        <f>Entrate_Uscite!E35</f>
        <v>746207924.19000006</v>
      </c>
      <c r="D12" s="56">
        <f>Entrate_Uscite!H35</f>
        <v>741540488.59000003</v>
      </c>
      <c r="E12" s="56">
        <f>Entrate_Uscite!K35</f>
        <v>759012659.24000001</v>
      </c>
      <c r="F12" s="56">
        <f>Entrate_Uscite!N35</f>
        <v>788011926.64999998</v>
      </c>
      <c r="G12" s="56">
        <f t="shared" si="0"/>
        <v>12.144901422101048</v>
      </c>
      <c r="H12" s="57">
        <f t="shared" si="1"/>
        <v>3.8206566197508351</v>
      </c>
      <c r="I12" s="56">
        <f>Entrate_Uscite!O35</f>
        <v>614392460.54999995</v>
      </c>
      <c r="J12" s="58">
        <f t="shared" si="3"/>
        <v>77.967406300804114</v>
      </c>
    </row>
    <row r="13" spans="1:10" x14ac:dyDescent="0.3">
      <c r="A13" s="59" t="s">
        <v>278</v>
      </c>
      <c r="B13" s="56">
        <f>Entrate_Uscite!B36</f>
        <v>13626266.27</v>
      </c>
      <c r="C13" s="56">
        <f>Entrate_Uscite!E36</f>
        <v>64026185.390000001</v>
      </c>
      <c r="D13" s="56">
        <f>Entrate_Uscite!H36</f>
        <v>45084362.670000002</v>
      </c>
      <c r="E13" s="56">
        <f>Entrate_Uscite!K36</f>
        <v>21414934.09</v>
      </c>
      <c r="F13" s="56">
        <f>Entrate_Uscite!N36</f>
        <v>1208466.6599999999</v>
      </c>
      <c r="G13" s="56">
        <f t="shared" si="0"/>
        <v>1.8624982644602089E-2</v>
      </c>
      <c r="H13" s="57">
        <f t="shared" si="1"/>
        <v>-94.356897598091095</v>
      </c>
      <c r="I13" s="56">
        <f>Entrate_Uscite!O36</f>
        <v>1208466.6599999999</v>
      </c>
      <c r="J13" s="58">
        <f t="shared" si="3"/>
        <v>100</v>
      </c>
    </row>
    <row r="14" spans="1:10" x14ac:dyDescent="0.3">
      <c r="A14" s="59" t="s">
        <v>279</v>
      </c>
      <c r="B14" s="56">
        <f>Entrate_Uscite!B37</f>
        <v>413847.61</v>
      </c>
      <c r="C14" s="56">
        <f>Entrate_Uscite!E37</f>
        <v>404900.52</v>
      </c>
      <c r="D14" s="56">
        <f>Entrate_Uscite!H37</f>
        <v>33065.589999999997</v>
      </c>
      <c r="E14" s="56">
        <f>Entrate_Uscite!K37</f>
        <v>86093.68</v>
      </c>
      <c r="F14" s="56">
        <f>Entrate_Uscite!N37</f>
        <v>3536.05</v>
      </c>
      <c r="G14" s="56">
        <f t="shared" si="0"/>
        <v>5.449787905646088E-5</v>
      </c>
      <c r="H14" s="107">
        <f t="shared" si="1"/>
        <v>-95.89278794912704</v>
      </c>
      <c r="I14" s="56">
        <f>Entrate_Uscite!O37</f>
        <v>3536.05</v>
      </c>
      <c r="J14" s="58">
        <f t="shared" si="3"/>
        <v>100</v>
      </c>
    </row>
    <row r="15" spans="1:10" x14ac:dyDescent="0.3">
      <c r="A15" s="4" t="s">
        <v>281</v>
      </c>
      <c r="B15" s="46">
        <f>SUM(B11:B14)</f>
        <v>737170081.66999996</v>
      </c>
      <c r="C15" s="46">
        <f>SUM(C11:C14)</f>
        <v>870139754.5</v>
      </c>
      <c r="D15" s="46">
        <f>SUM(D11:D14)</f>
        <v>863088179.57000005</v>
      </c>
      <c r="E15" s="46">
        <f>SUM(E11:E14)</f>
        <v>827823739.76999998</v>
      </c>
      <c r="F15" s="46">
        <f>SUM(F11:F14)</f>
        <v>838305649.70999992</v>
      </c>
      <c r="G15" s="46">
        <f t="shared" si="0"/>
        <v>12.920032213979843</v>
      </c>
      <c r="H15" s="44">
        <f t="shared" si="1"/>
        <v>1.2662006942338024</v>
      </c>
      <c r="I15" s="46">
        <f>SUM(I11:I14)</f>
        <v>642698759.27999985</v>
      </c>
      <c r="J15" s="45">
        <f t="shared" si="3"/>
        <v>76.666399600471792</v>
      </c>
    </row>
    <row r="16" spans="1:10" x14ac:dyDescent="0.3">
      <c r="A16" s="59" t="s">
        <v>282</v>
      </c>
      <c r="B16" s="56">
        <f>Entrate_Uscite!B38</f>
        <v>49542.1</v>
      </c>
      <c r="C16" s="56">
        <f>Entrate_Uscite!E38</f>
        <v>64127756.68</v>
      </c>
      <c r="D16" s="56">
        <f>Entrate_Uscite!H38</f>
        <v>4030000</v>
      </c>
      <c r="E16" s="56">
        <f>Entrate_Uscite!K38</f>
        <v>3024999.69</v>
      </c>
      <c r="F16" s="56">
        <f>Entrate_Uscite!N38</f>
        <v>0</v>
      </c>
      <c r="G16" s="56">
        <f t="shared" si="0"/>
        <v>0</v>
      </c>
      <c r="H16" s="57">
        <f t="shared" si="1"/>
        <v>-100</v>
      </c>
      <c r="I16" s="56">
        <f>Entrate_Uscite!O38</f>
        <v>0</v>
      </c>
      <c r="J16" s="58" t="str">
        <f t="shared" si="3"/>
        <v>-</v>
      </c>
    </row>
    <row r="17" spans="1:10" x14ac:dyDescent="0.3">
      <c r="A17" s="59" t="s">
        <v>283</v>
      </c>
      <c r="B17" s="56">
        <f>Entrate_Uscite!B39</f>
        <v>4159465.89</v>
      </c>
      <c r="C17" s="56">
        <f>Entrate_Uscite!E39</f>
        <v>10909773.91</v>
      </c>
      <c r="D17" s="56">
        <f>Entrate_Uscite!H39</f>
        <v>9762693.3499999996</v>
      </c>
      <c r="E17" s="56">
        <f>Entrate_Uscite!K39</f>
        <v>9539657.3300000001</v>
      </c>
      <c r="F17" s="56">
        <f>Entrate_Uscite!N39</f>
        <v>9562020.5899999999</v>
      </c>
      <c r="G17" s="56">
        <f t="shared" si="0"/>
        <v>0.14737060891367731</v>
      </c>
      <c r="H17" s="57">
        <f t="shared" si="1"/>
        <v>0.23442414361858255</v>
      </c>
      <c r="I17" s="56">
        <f>Entrate_Uscite!O39</f>
        <v>9310300.6400000006</v>
      </c>
      <c r="J17" s="58">
        <f t="shared" si="3"/>
        <v>97.367502531177891</v>
      </c>
    </row>
    <row r="18" spans="1:10" x14ac:dyDescent="0.3">
      <c r="A18" s="59" t="s">
        <v>284</v>
      </c>
      <c r="B18" s="56">
        <f>Entrate_Uscite!B40</f>
        <v>16056722.32</v>
      </c>
      <c r="C18" s="56">
        <f>Entrate_Uscite!E40</f>
        <v>6470873.8700000001</v>
      </c>
      <c r="D18" s="56">
        <f>Entrate_Uscite!H40</f>
        <v>3839144.87</v>
      </c>
      <c r="E18" s="56">
        <f>Entrate_Uscite!K40</f>
        <v>1109739.7</v>
      </c>
      <c r="F18" s="56">
        <f>Entrate_Uscite!N40</f>
        <v>1542662.34</v>
      </c>
      <c r="G18" s="56">
        <f t="shared" si="0"/>
        <v>2.3775632592943234E-2</v>
      </c>
      <c r="H18" s="57">
        <f t="shared" si="1"/>
        <v>39.011187938937411</v>
      </c>
      <c r="I18" s="56">
        <f>Entrate_Uscite!O40</f>
        <v>1542662.34</v>
      </c>
      <c r="J18" s="58">
        <f t="shared" ref="J18:J26" si="4">IF(F18&gt;0,I18/F18*100,"-")</f>
        <v>100</v>
      </c>
    </row>
    <row r="19" spans="1:10" x14ac:dyDescent="0.3">
      <c r="A19" s="59" t="s">
        <v>285</v>
      </c>
      <c r="B19" s="56">
        <f>Entrate_Uscite!B41</f>
        <v>85444878.370000005</v>
      </c>
      <c r="C19" s="56">
        <f>Entrate_Uscite!E41</f>
        <v>85493938.75</v>
      </c>
      <c r="D19" s="56">
        <f>Entrate_Uscite!H41</f>
        <v>128945334.37</v>
      </c>
      <c r="E19" s="56">
        <f>Entrate_Uscite!K41</f>
        <v>130142282.95999999</v>
      </c>
      <c r="F19" s="56">
        <f>Entrate_Uscite!N41</f>
        <v>99616379.75</v>
      </c>
      <c r="G19" s="56">
        <f t="shared" si="0"/>
        <v>1.5352954329429669</v>
      </c>
      <c r="H19" s="57">
        <f t="shared" si="1"/>
        <v>-23.455792011411319</v>
      </c>
      <c r="I19" s="56">
        <f>Entrate_Uscite!O41</f>
        <v>99616379.75</v>
      </c>
      <c r="J19" s="58">
        <f t="shared" si="4"/>
        <v>100</v>
      </c>
    </row>
    <row r="20" spans="1:10" x14ac:dyDescent="0.3">
      <c r="A20" s="4" t="s">
        <v>286</v>
      </c>
      <c r="B20" s="43">
        <f>SUM(B16:B19)</f>
        <v>105710608.68000001</v>
      </c>
      <c r="C20" s="43">
        <f>SUM(C16:C19)</f>
        <v>167002343.21000001</v>
      </c>
      <c r="D20" s="43">
        <f>SUM(D16:D19)</f>
        <v>146577172.59</v>
      </c>
      <c r="E20" s="43">
        <f>SUM(E16:E19)</f>
        <v>143816679.68000001</v>
      </c>
      <c r="F20" s="43">
        <f>SUM(F16:F19)</f>
        <v>110721062.68000001</v>
      </c>
      <c r="G20" s="43">
        <f t="shared" si="0"/>
        <v>1.7064416744495874</v>
      </c>
      <c r="H20" s="44">
        <f t="shared" si="1"/>
        <v>-23.012363429359908</v>
      </c>
      <c r="I20" s="43">
        <f>SUM(I16:I19)</f>
        <v>110469342.73</v>
      </c>
      <c r="J20" s="40">
        <f t="shared" si="4"/>
        <v>99.772653961308606</v>
      </c>
    </row>
    <row r="21" spans="1:10" x14ac:dyDescent="0.3">
      <c r="A21" s="47" t="s">
        <v>344</v>
      </c>
      <c r="B21" s="48">
        <f>B10+B15+B20</f>
        <v>6507337137.3500004</v>
      </c>
      <c r="C21" s="48">
        <f>C10+C15+C20</f>
        <v>7067524137.8800001</v>
      </c>
      <c r="D21" s="48">
        <f>D10+D15+D20</f>
        <v>7010278936.499999</v>
      </c>
      <c r="E21" s="48">
        <f>E10+E15+E20</f>
        <v>6582630821.4899998</v>
      </c>
      <c r="F21" s="48">
        <f>F10+F15+F20</f>
        <v>6411729072.2300005</v>
      </c>
      <c r="G21" s="48">
        <f>F21/F$31*100</f>
        <v>98.818069744823916</v>
      </c>
      <c r="H21" s="49">
        <f t="shared" si="1"/>
        <v>-2.5962529859955765</v>
      </c>
      <c r="I21" s="48">
        <f>I10+I15+I20</f>
        <v>5882643865.5099993</v>
      </c>
      <c r="J21" s="50">
        <f>IF(F21&gt;0,I21/F21*100,"-")</f>
        <v>91.748166512344767</v>
      </c>
    </row>
    <row r="22" spans="1:10" x14ac:dyDescent="0.3">
      <c r="A22" s="59" t="s">
        <v>287</v>
      </c>
      <c r="B22" s="60">
        <f>Entrate_Uscite!B42</f>
        <v>109910962.01000001</v>
      </c>
      <c r="C22" s="60">
        <f>Entrate_Uscite!E42</f>
        <v>97432719.739999995</v>
      </c>
      <c r="D22" s="60">
        <f>Entrate_Uscite!H42</f>
        <v>81768117.409999996</v>
      </c>
      <c r="E22" s="60">
        <f>Entrate_Uscite!K42</f>
        <v>86458730.799999997</v>
      </c>
      <c r="F22" s="60">
        <f>Entrate_Uscite!N42</f>
        <v>59382954.939999998</v>
      </c>
      <c r="G22" s="60">
        <f t="shared" si="0"/>
        <v>0.91521474423025273</v>
      </c>
      <c r="H22" s="61">
        <f t="shared" si="1"/>
        <v>-31.316416062864533</v>
      </c>
      <c r="I22" s="60">
        <f>Entrate_Uscite!O42</f>
        <v>59382954.939999998</v>
      </c>
      <c r="J22" s="58">
        <f t="shared" si="4"/>
        <v>100</v>
      </c>
    </row>
    <row r="23" spans="1:10" x14ac:dyDescent="0.3">
      <c r="A23" s="59" t="s">
        <v>288</v>
      </c>
      <c r="B23" s="60">
        <f>Entrate_Uscite!B43</f>
        <v>0</v>
      </c>
      <c r="C23" s="60">
        <f>Entrate_Uscite!E43</f>
        <v>0</v>
      </c>
      <c r="D23" s="60">
        <f>Entrate_Uscite!H43</f>
        <v>0</v>
      </c>
      <c r="E23" s="60">
        <f>Entrate_Uscite!K43</f>
        <v>0</v>
      </c>
      <c r="F23" s="60">
        <f>Entrate_Uscite!N43</f>
        <v>0</v>
      </c>
      <c r="G23" s="60">
        <f t="shared" si="0"/>
        <v>0</v>
      </c>
      <c r="H23" s="61" t="str">
        <f t="shared" si="1"/>
        <v>-</v>
      </c>
      <c r="I23" s="60">
        <f>Entrate_Uscite!O43</f>
        <v>0</v>
      </c>
      <c r="J23" s="58" t="str">
        <f t="shared" si="4"/>
        <v>-</v>
      </c>
    </row>
    <row r="24" spans="1:10" x14ac:dyDescent="0.3">
      <c r="A24" s="59" t="s">
        <v>289</v>
      </c>
      <c r="B24" s="60">
        <f>Entrate_Uscite!B44</f>
        <v>13754983.880000001</v>
      </c>
      <c r="C24" s="60">
        <f>Entrate_Uscite!E44</f>
        <v>17556564.199999999</v>
      </c>
      <c r="D24" s="60">
        <f>Entrate_Uscite!H44</f>
        <v>16867742.140000001</v>
      </c>
      <c r="E24" s="60">
        <f>Entrate_Uscite!K44</f>
        <v>19775760.219999999</v>
      </c>
      <c r="F24" s="60">
        <f>Entrate_Uscite!N44</f>
        <v>17305616.27</v>
      </c>
      <c r="G24" s="60">
        <f t="shared" si="0"/>
        <v>0.26671551094582413</v>
      </c>
      <c r="H24" s="61">
        <f t="shared" si="1"/>
        <v>-12.490766081911957</v>
      </c>
      <c r="I24" s="60">
        <f>Entrate_Uscite!O44</f>
        <v>17305616.27</v>
      </c>
      <c r="J24" s="58">
        <f t="shared" si="4"/>
        <v>100</v>
      </c>
    </row>
    <row r="25" spans="1:10" x14ac:dyDescent="0.3">
      <c r="A25" s="59" t="s">
        <v>290</v>
      </c>
      <c r="B25" s="60">
        <f>Entrate_Uscite!B45</f>
        <v>0</v>
      </c>
      <c r="C25" s="60">
        <f>Entrate_Uscite!E45</f>
        <v>0</v>
      </c>
      <c r="D25" s="60">
        <f>Entrate_Uscite!H45</f>
        <v>0</v>
      </c>
      <c r="E25" s="60">
        <f>Entrate_Uscite!K45</f>
        <v>0</v>
      </c>
      <c r="F25" s="60">
        <f>Entrate_Uscite!N45</f>
        <v>0</v>
      </c>
      <c r="G25" s="60">
        <f t="shared" si="0"/>
        <v>0</v>
      </c>
      <c r="H25" s="61" t="str">
        <f t="shared" si="1"/>
        <v>-</v>
      </c>
      <c r="I25" s="60">
        <f>Entrate_Uscite!O45</f>
        <v>0</v>
      </c>
      <c r="J25" s="58" t="str">
        <f t="shared" si="4"/>
        <v>-</v>
      </c>
    </row>
    <row r="26" spans="1:10" x14ac:dyDescent="0.3">
      <c r="A26" s="59" t="s">
        <v>291</v>
      </c>
      <c r="B26" s="60">
        <f>Entrate_Uscite!B46</f>
        <v>0</v>
      </c>
      <c r="C26" s="60">
        <f>Entrate_Uscite!E46</f>
        <v>0</v>
      </c>
      <c r="D26" s="60">
        <f>Entrate_Uscite!H46</f>
        <v>0</v>
      </c>
      <c r="E26" s="60">
        <f>Entrate_Uscite!K46</f>
        <v>0</v>
      </c>
      <c r="F26" s="60">
        <f>Entrate_Uscite!N46</f>
        <v>0</v>
      </c>
      <c r="G26" s="60">
        <f t="shared" si="0"/>
        <v>0</v>
      </c>
      <c r="H26" s="61" t="str">
        <f t="shared" si="1"/>
        <v>-</v>
      </c>
      <c r="I26" s="60">
        <f>Entrate_Uscite!O46</f>
        <v>0</v>
      </c>
      <c r="J26" s="58" t="str">
        <f t="shared" si="4"/>
        <v>-</v>
      </c>
    </row>
    <row r="27" spans="1:10" x14ac:dyDescent="0.3">
      <c r="A27" s="4" t="s">
        <v>292</v>
      </c>
      <c r="B27" s="43">
        <f>SUM(B22:B26)</f>
        <v>123665945.89</v>
      </c>
      <c r="C27" s="43">
        <f>SUM(C22:C26)</f>
        <v>114989283.94</v>
      </c>
      <c r="D27" s="43">
        <f>SUM(D22:D26)</f>
        <v>98635859.549999997</v>
      </c>
      <c r="E27" s="43">
        <f>SUM(E22:E26)</f>
        <v>106234491.02</v>
      </c>
      <c r="F27" s="43">
        <f>SUM(F22:F26)</f>
        <v>76688571.209999993</v>
      </c>
      <c r="G27" s="43">
        <f t="shared" si="0"/>
        <v>1.1819302551760769</v>
      </c>
      <c r="H27" s="44">
        <f t="shared" si="1"/>
        <v>-27.811984155350828</v>
      </c>
      <c r="I27" s="43">
        <f>SUM(I22:I26)</f>
        <v>76688571.209999993</v>
      </c>
      <c r="J27" s="45">
        <f>IF(F27&gt;0,I27/F27*100,"-")</f>
        <v>100</v>
      </c>
    </row>
    <row r="28" spans="1:10" x14ac:dyDescent="0.3">
      <c r="A28" s="4" t="s">
        <v>293</v>
      </c>
      <c r="B28" s="43">
        <f>Entrate_Uscite!B54</f>
        <v>0</v>
      </c>
      <c r="C28" s="43">
        <f>Entrate_Uscite!E54</f>
        <v>0</v>
      </c>
      <c r="D28" s="43">
        <f>Entrate_Uscite!H54</f>
        <v>0</v>
      </c>
      <c r="E28" s="43">
        <f>Entrate_Uscite!K54</f>
        <v>0</v>
      </c>
      <c r="F28" s="43">
        <f>Entrate_Uscite!N54</f>
        <v>0</v>
      </c>
      <c r="G28" s="43">
        <f t="shared" si="0"/>
        <v>0</v>
      </c>
      <c r="H28" s="44" t="str">
        <f t="shared" si="1"/>
        <v>-</v>
      </c>
      <c r="I28" s="43">
        <f>Entrate_Uscite!O54</f>
        <v>0</v>
      </c>
      <c r="J28" s="45" t="str">
        <f>IF(F28&gt;0,I28/F28*100,"-")</f>
        <v>-</v>
      </c>
    </row>
    <row r="29" spans="1:10" x14ac:dyDescent="0.3">
      <c r="A29" s="4" t="s">
        <v>294</v>
      </c>
      <c r="B29" s="43">
        <f>Entrate_Uscite!B55</f>
        <v>90763662.189999998</v>
      </c>
      <c r="C29" s="43">
        <f>Entrate_Uscite!E55</f>
        <v>127084347.38</v>
      </c>
      <c r="D29" s="43">
        <f>Entrate_Uscite!H55</f>
        <v>143089613.41999999</v>
      </c>
      <c r="E29" s="43">
        <f>Entrate_Uscite!K55</f>
        <v>153018728.69</v>
      </c>
      <c r="F29" s="43">
        <f>Entrate_Uscite!N55</f>
        <v>150146449.25999999</v>
      </c>
      <c r="G29" s="43"/>
      <c r="H29" s="44">
        <f t="shared" si="1"/>
        <v>-1.8770770444831868</v>
      </c>
      <c r="I29" s="43">
        <f>Entrate_Uscite!O55</f>
        <v>103828345.19</v>
      </c>
      <c r="J29" s="45">
        <f>IF(F29&gt;0,I29/F29*100,"-")</f>
        <v>69.151382334860557</v>
      </c>
    </row>
    <row r="30" spans="1:10" x14ac:dyDescent="0.3">
      <c r="A30" s="47" t="s">
        <v>68</v>
      </c>
      <c r="B30" s="48">
        <f>B10+B15+B20+B27+B28+B29</f>
        <v>6721766745.4300003</v>
      </c>
      <c r="C30" s="48">
        <f>C10+C15+C20+C27+C28+C29</f>
        <v>7309597769.1999998</v>
      </c>
      <c r="D30" s="48">
        <f>D10+D15+D20+D27+D28+D29</f>
        <v>7252004409.4699993</v>
      </c>
      <c r="E30" s="48">
        <f>E10+E15+E20+E27+E28+E29</f>
        <v>6841884041.1999998</v>
      </c>
      <c r="F30" s="48">
        <f>F10+F15+F20+F27+F28+F29</f>
        <v>6638564092.7000008</v>
      </c>
      <c r="G30" s="48"/>
      <c r="H30" s="49">
        <f t="shared" si="1"/>
        <v>-2.9716953294686164</v>
      </c>
      <c r="I30" s="48">
        <f>I10+I15+I20+I27+I28+I29</f>
        <v>6063160781.9099989</v>
      </c>
      <c r="J30" s="50">
        <f>IF(F30&gt;0,I30/F30*100,"-")</f>
        <v>91.332413112908924</v>
      </c>
    </row>
    <row r="31" spans="1:10" x14ac:dyDescent="0.3">
      <c r="A31" s="38" t="s">
        <v>69</v>
      </c>
      <c r="B31" s="51">
        <f>B30-B29</f>
        <v>6631003083.2400007</v>
      </c>
      <c r="C31" s="51">
        <f>C30-C29</f>
        <v>7182513421.8199997</v>
      </c>
      <c r="D31" s="51">
        <f>D30-D29</f>
        <v>7108914796.0499992</v>
      </c>
      <c r="E31" s="51">
        <f>E30-E29</f>
        <v>6688865312.5100002</v>
      </c>
      <c r="F31" s="51">
        <f>F30-F29</f>
        <v>6488417643.4400005</v>
      </c>
      <c r="G31" s="51">
        <f t="shared" si="0"/>
        <v>100</v>
      </c>
      <c r="H31" s="52">
        <f t="shared" si="1"/>
        <v>-2.9967365121720775</v>
      </c>
      <c r="I31" s="51">
        <f>I30-I29</f>
        <v>5959332436.7199993</v>
      </c>
      <c r="J31" s="53">
        <f>IF(F31&gt;0,I31/F31*100,"-")</f>
        <v>91.845697428942117</v>
      </c>
    </row>
    <row r="32" spans="1:10" x14ac:dyDescent="0.3">
      <c r="I32" s="6"/>
    </row>
    <row r="33" spans="9:9" x14ac:dyDescent="0.3">
      <c r="I33" s="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showGridLines="0" workbookViewId="0">
      <selection activeCell="H2" sqref="H2"/>
    </sheetView>
  </sheetViews>
  <sheetFormatPr defaultRowHeight="14.4" x14ac:dyDescent="0.3"/>
  <cols>
    <col min="1" max="1" width="50.6640625" bestFit="1" customWidth="1"/>
    <col min="2" max="4" width="12.5546875" bestFit="1" customWidth="1"/>
    <col min="5" max="6" width="13.33203125" bestFit="1" customWidth="1"/>
    <col min="7" max="7" width="12.5546875" bestFit="1" customWidth="1"/>
    <col min="8" max="8" width="13.21875" bestFit="1" customWidth="1"/>
  </cols>
  <sheetData>
    <row r="1" spans="1:8" x14ac:dyDescent="0.3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42" t="s">
        <v>264</v>
      </c>
      <c r="H1" s="42" t="s">
        <v>335</v>
      </c>
    </row>
    <row r="2" spans="1:8" x14ac:dyDescent="0.3">
      <c r="A2" s="62" t="s">
        <v>296</v>
      </c>
      <c r="B2" s="64">
        <f>Entrate_Uscite!B58</f>
        <v>730754600.30000019</v>
      </c>
      <c r="C2" s="64">
        <f>Entrate_Uscite!E58</f>
        <v>536112537.84000015</v>
      </c>
      <c r="D2" s="64">
        <f>Entrate_Uscite!H58</f>
        <v>657634330.46000099</v>
      </c>
      <c r="E2" s="64">
        <f>Entrate_Uscite!K58</f>
        <v>1018692807.3100004</v>
      </c>
      <c r="F2" s="64">
        <f>Entrate_Uscite!N58</f>
        <v>1646961063.7299995</v>
      </c>
      <c r="G2" s="64">
        <f>F2-E2</f>
        <v>628268256.41999912</v>
      </c>
      <c r="H2" s="64">
        <f>Entrate_Uscite!O58</f>
        <v>1580680157.6399994</v>
      </c>
    </row>
    <row r="3" spans="1:8" x14ac:dyDescent="0.3">
      <c r="A3" s="62" t="s">
        <v>71</v>
      </c>
      <c r="B3" s="64">
        <f>Entrate_Uscite!B59</f>
        <v>-593359986.86999989</v>
      </c>
      <c r="C3" s="64">
        <f>Entrate_Uscite!E59</f>
        <v>-788710008.76999998</v>
      </c>
      <c r="D3" s="64">
        <f>Entrate_Uscite!H59</f>
        <v>-758411248.36000001</v>
      </c>
      <c r="E3" s="64">
        <f>Entrate_Uscite!K59</f>
        <v>-658666624.77999997</v>
      </c>
      <c r="F3" s="64">
        <f>Entrate_Uscite!N59</f>
        <v>-676666349.02999997</v>
      </c>
      <c r="G3" s="64">
        <f t="shared" ref="G3:G6" si="0">F3-E3</f>
        <v>-17999724.25</v>
      </c>
      <c r="H3" s="64">
        <f>Entrate_Uscite!O59</f>
        <v>-573844620.96999979</v>
      </c>
    </row>
    <row r="4" spans="1:8" x14ac:dyDescent="0.3">
      <c r="A4" s="62" t="s">
        <v>299</v>
      </c>
      <c r="B4" s="65">
        <f>Entrate_Uscite!B16-Entrate_Uscite!B52</f>
        <v>39118548.699999988</v>
      </c>
      <c r="C4" s="65">
        <f>Entrate_Uscite!E16-Entrate_Uscite!E52</f>
        <v>-46825456.969999999</v>
      </c>
      <c r="D4" s="65">
        <f>Entrate_Uscite!H16-Entrate_Uscite!H52</f>
        <v>114945670.09</v>
      </c>
      <c r="E4" s="65">
        <f>Entrate_Uscite!K16-Entrate_Uscite!K52</f>
        <v>89567139.589999974</v>
      </c>
      <c r="F4" s="65">
        <f>Entrate_Uscite!N16-Entrate_Uscite!N52</f>
        <v>18162474.109999985</v>
      </c>
      <c r="G4" s="64">
        <f t="shared" si="0"/>
        <v>-71404665.479999989</v>
      </c>
      <c r="H4" s="65">
        <f>Entrate_Uscite!O16-Entrate_Uscite!O52</f>
        <v>11263781.50999999</v>
      </c>
    </row>
    <row r="5" spans="1:8" x14ac:dyDescent="0.3">
      <c r="A5" s="47" t="s">
        <v>297</v>
      </c>
      <c r="B5" s="66">
        <f>Entrate_Uscite!B60</f>
        <v>176513162.13000011</v>
      </c>
      <c r="C5" s="66">
        <f>Entrate_Uscite!E60</f>
        <v>-299422927.90000057</v>
      </c>
      <c r="D5" s="66">
        <f>Entrate_Uscite!H60</f>
        <v>14168752.190001488</v>
      </c>
      <c r="E5" s="66">
        <f>Entrate_Uscite!K60</f>
        <v>449593322.12000084</v>
      </c>
      <c r="F5" s="66">
        <f>Entrate_Uscite!N60</f>
        <v>988457188.80999947</v>
      </c>
      <c r="G5" s="66">
        <f t="shared" si="0"/>
        <v>538863866.68999863</v>
      </c>
      <c r="H5" s="66">
        <f>SUM(Entrate_Uscite!O14:O16)-SUM(Entrate_Uscite!O50:O52)</f>
        <v>1018099318.1800003</v>
      </c>
    </row>
    <row r="6" spans="1:8" x14ac:dyDescent="0.3">
      <c r="A6" s="38" t="s">
        <v>298</v>
      </c>
      <c r="B6" s="67">
        <f>Entrate_Uscite!B61</f>
        <v>52847216.239999771</v>
      </c>
      <c r="C6" s="67">
        <f>Entrate_Uscite!E61</f>
        <v>-388410666.27000046</v>
      </c>
      <c r="D6" s="67">
        <f>Entrate_Uscite!H61</f>
        <v>-37482917.57999897</v>
      </c>
      <c r="E6" s="67">
        <f>Entrate_Uscite!K61</f>
        <v>400711238.39000034</v>
      </c>
      <c r="F6" s="67">
        <f>Entrate_Uscite!N61</f>
        <v>965007523.22999954</v>
      </c>
      <c r="G6" s="67">
        <f t="shared" si="0"/>
        <v>564296284.8399992</v>
      </c>
      <c r="H6" s="67">
        <f>Entrate_Uscite!O61</f>
        <v>994649652.60000038</v>
      </c>
    </row>
    <row r="7" spans="1:8" x14ac:dyDescent="0.3">
      <c r="G7" s="6"/>
    </row>
    <row r="8" spans="1:8" x14ac:dyDescent="0.3">
      <c r="G8" s="6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showGridLines="0" topLeftCell="A46" workbookViewId="0">
      <selection activeCell="F14" sqref="F14"/>
    </sheetView>
  </sheetViews>
  <sheetFormatPr defaultRowHeight="14.4" x14ac:dyDescent="0.3"/>
  <cols>
    <col min="1" max="1" width="36.44140625" bestFit="1" customWidth="1"/>
    <col min="2" max="6" width="13.5546875" bestFit="1" customWidth="1"/>
    <col min="8" max="8" width="13.5546875" bestFit="1" customWidth="1"/>
    <col min="9" max="9" width="10" bestFit="1" customWidth="1"/>
  </cols>
  <sheetData>
    <row r="1" spans="1:8" x14ac:dyDescent="0.3">
      <c r="A1" s="41"/>
      <c r="B1" s="96">
        <v>2016</v>
      </c>
      <c r="C1" s="96">
        <v>2017</v>
      </c>
      <c r="D1" s="69">
        <v>2018</v>
      </c>
      <c r="E1" s="96">
        <v>2019</v>
      </c>
      <c r="F1" s="69">
        <v>2020</v>
      </c>
    </row>
    <row r="2" spans="1:8" x14ac:dyDescent="0.3">
      <c r="A2" t="s">
        <v>5</v>
      </c>
      <c r="B2" s="1">
        <v>2516568418.3099999</v>
      </c>
      <c r="C2" s="1">
        <v>2325310549.1700001</v>
      </c>
      <c r="D2" s="1">
        <v>2295876944.1999998</v>
      </c>
      <c r="E2" s="1">
        <v>2529366104.9099998</v>
      </c>
      <c r="F2" s="1">
        <v>3732814902.0500002</v>
      </c>
    </row>
    <row r="3" spans="1:8" x14ac:dyDescent="0.3">
      <c r="A3" t="s">
        <v>6</v>
      </c>
      <c r="B3" s="1">
        <v>842408770.84000003</v>
      </c>
      <c r="C3" s="1">
        <v>968709855.82000005</v>
      </c>
      <c r="D3" s="1">
        <v>1155640812.02</v>
      </c>
      <c r="E3" s="1">
        <v>959450937.11000001</v>
      </c>
      <c r="F3" s="1">
        <v>1055057576.87</v>
      </c>
    </row>
    <row r="4" spans="1:8" x14ac:dyDescent="0.3">
      <c r="A4" t="s">
        <v>7</v>
      </c>
      <c r="B4" s="1">
        <v>429505504.94999999</v>
      </c>
      <c r="C4" s="1">
        <v>785806600.04999995</v>
      </c>
      <c r="D4" s="1">
        <v>965919170.12</v>
      </c>
      <c r="E4" s="1">
        <v>585484877.88</v>
      </c>
      <c r="F4" s="1">
        <v>900050113.78999996</v>
      </c>
    </row>
    <row r="5" spans="1:8" x14ac:dyDescent="0.3">
      <c r="A5" t="s">
        <v>8</v>
      </c>
      <c r="B5" s="1">
        <v>234464926.97</v>
      </c>
      <c r="C5" s="1">
        <v>161863609.99000001</v>
      </c>
      <c r="D5" s="1">
        <v>149502585.91999999</v>
      </c>
      <c r="E5" s="1">
        <v>172203124.16</v>
      </c>
      <c r="F5" s="1">
        <v>182437886.65000001</v>
      </c>
    </row>
    <row r="6" spans="1:8" x14ac:dyDescent="0.3">
      <c r="A6" t="s">
        <v>355</v>
      </c>
      <c r="B6" s="1">
        <v>1567291058.76</v>
      </c>
      <c r="C6" s="1">
        <v>1706516798</v>
      </c>
      <c r="D6" s="1">
        <v>1592830810.1700001</v>
      </c>
      <c r="E6" s="1">
        <v>1631402414.0999999</v>
      </c>
      <c r="F6" s="1">
        <v>1571478610.3299999</v>
      </c>
    </row>
    <row r="7" spans="1:8" x14ac:dyDescent="0.3">
      <c r="A7" s="4" t="s">
        <v>0</v>
      </c>
      <c r="B7" s="3">
        <f t="shared" ref="B7:C7" si="0">B2+B3-B4-B5-B6</f>
        <v>1127715698.4700005</v>
      </c>
      <c r="C7" s="3">
        <f t="shared" si="0"/>
        <v>639833396.95000076</v>
      </c>
      <c r="D7" s="3">
        <f>D2+D3-D4-D5-D6</f>
        <v>743265190.00999975</v>
      </c>
      <c r="E7" s="3">
        <f>E2+E3-E4-E5-E6</f>
        <v>1099726625.8800001</v>
      </c>
      <c r="F7" s="3">
        <f>F2+F3-F4-F5-F6</f>
        <v>2133905868.1500001</v>
      </c>
    </row>
    <row r="8" spans="1:8" x14ac:dyDescent="0.3">
      <c r="A8" t="s">
        <v>9</v>
      </c>
      <c r="B8" s="1">
        <v>27500000</v>
      </c>
      <c r="C8" s="1">
        <v>38600000</v>
      </c>
      <c r="D8" s="1">
        <v>40450000</v>
      </c>
      <c r="E8" s="1">
        <v>42050000</v>
      </c>
      <c r="F8" s="1">
        <v>40350000</v>
      </c>
    </row>
    <row r="9" spans="1:8" x14ac:dyDescent="0.3">
      <c r="A9" t="s">
        <v>349</v>
      </c>
      <c r="B9" s="1">
        <v>0</v>
      </c>
      <c r="C9" s="1">
        <v>0</v>
      </c>
      <c r="D9" s="1">
        <v>0</v>
      </c>
      <c r="E9" s="1">
        <v>0</v>
      </c>
      <c r="F9" s="1">
        <v>0</v>
      </c>
    </row>
    <row r="10" spans="1:8" x14ac:dyDescent="0.3">
      <c r="A10" t="s">
        <v>10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</row>
    <row r="11" spans="1:8" x14ac:dyDescent="0.3">
      <c r="A11" t="s">
        <v>11</v>
      </c>
      <c r="B11" s="1">
        <v>23428246.460000001</v>
      </c>
      <c r="C11" s="1">
        <v>43804129.200000003</v>
      </c>
      <c r="D11" s="1">
        <v>43804129.200000003</v>
      </c>
      <c r="E11" s="1">
        <v>23883849.16</v>
      </c>
      <c r="F11" s="1">
        <v>23883849.16</v>
      </c>
    </row>
    <row r="12" spans="1:8" x14ac:dyDescent="0.3">
      <c r="A12" t="s">
        <v>12</v>
      </c>
      <c r="B12" s="1">
        <v>17979000</v>
      </c>
      <c r="C12" s="1">
        <v>18394808.84</v>
      </c>
      <c r="D12" s="1">
        <v>19173221.09</v>
      </c>
      <c r="E12" s="1">
        <v>22405504.789999999</v>
      </c>
      <c r="F12" s="1">
        <v>24566228.190000001</v>
      </c>
    </row>
    <row r="13" spans="1:8" x14ac:dyDescent="0.3">
      <c r="A13" t="s">
        <v>13</v>
      </c>
      <c r="B13" s="1">
        <v>254806787.44</v>
      </c>
      <c r="C13" s="1">
        <v>294222639.63999999</v>
      </c>
      <c r="D13" s="1">
        <v>300477170.25999999</v>
      </c>
      <c r="E13" s="1">
        <v>483787501.01999998</v>
      </c>
      <c r="F13" s="1">
        <v>1140615347.4400001</v>
      </c>
    </row>
    <row r="14" spans="1:8" x14ac:dyDescent="0.3">
      <c r="A14" s="4" t="s">
        <v>1</v>
      </c>
      <c r="B14" s="3">
        <f t="shared" ref="B14:C14" si="1">SUM(B8:B13)</f>
        <v>323714033.89999998</v>
      </c>
      <c r="C14" s="3">
        <f t="shared" si="1"/>
        <v>395021577.68000001</v>
      </c>
      <c r="D14" s="3">
        <f>SUM(D8:D13)</f>
        <v>403904520.55000001</v>
      </c>
      <c r="E14" s="3">
        <f>SUM(E8:E13)</f>
        <v>572126854.97000003</v>
      </c>
      <c r="F14" s="3">
        <f>SUM(F8:F13)</f>
        <v>1229415424.79</v>
      </c>
      <c r="G14" s="98"/>
      <c r="H14" s="98"/>
    </row>
    <row r="15" spans="1:8" x14ac:dyDescent="0.3">
      <c r="A15" t="s">
        <v>15</v>
      </c>
      <c r="B15" s="1">
        <v>3738234.91</v>
      </c>
      <c r="C15" s="1">
        <v>7375029.2699999996</v>
      </c>
      <c r="D15" s="1">
        <v>12881497.75</v>
      </c>
      <c r="E15" s="1">
        <v>21490897.550000001</v>
      </c>
      <c r="F15" s="1">
        <v>269332704.81</v>
      </c>
    </row>
    <row r="16" spans="1:8" x14ac:dyDescent="0.3">
      <c r="A16" t="s">
        <v>14</v>
      </c>
      <c r="B16" s="1">
        <v>495680417.24000001</v>
      </c>
      <c r="C16" s="1">
        <v>195572699.36000001</v>
      </c>
      <c r="D16" s="1">
        <v>198689000.05000001</v>
      </c>
      <c r="E16" s="1">
        <v>255818107.25</v>
      </c>
      <c r="F16" s="1">
        <v>234066894.75999999</v>
      </c>
    </row>
    <row r="17" spans="1:6" x14ac:dyDescent="0.3">
      <c r="A17" t="s">
        <v>16</v>
      </c>
      <c r="B17" s="1">
        <v>0</v>
      </c>
      <c r="C17" s="1">
        <v>868884.86</v>
      </c>
      <c r="D17" s="1">
        <v>8412799.4499999993</v>
      </c>
      <c r="E17" s="1">
        <v>7497459.8799999999</v>
      </c>
      <c r="F17" s="1">
        <v>5628482.8799999999</v>
      </c>
    </row>
    <row r="18" spans="1:6" x14ac:dyDescent="0.3">
      <c r="A18" t="s">
        <v>17</v>
      </c>
      <c r="B18" s="1">
        <v>0</v>
      </c>
      <c r="C18" s="1">
        <v>0</v>
      </c>
      <c r="D18" s="1">
        <v>16034092.92</v>
      </c>
      <c r="E18" s="1">
        <v>28332906.620000001</v>
      </c>
      <c r="F18" s="1">
        <v>27991555.260000002</v>
      </c>
    </row>
    <row r="19" spans="1:6" x14ac:dyDescent="0.3">
      <c r="A19" t="s">
        <v>18</v>
      </c>
      <c r="B19" s="1">
        <v>0</v>
      </c>
      <c r="C19" s="1">
        <v>0</v>
      </c>
      <c r="D19" s="1">
        <v>9794109.4100000001</v>
      </c>
      <c r="E19" s="1">
        <v>0</v>
      </c>
      <c r="F19" s="1">
        <v>0</v>
      </c>
    </row>
    <row r="20" spans="1:6" x14ac:dyDescent="0.3">
      <c r="A20" s="4" t="s">
        <v>2</v>
      </c>
      <c r="B20" s="3">
        <f t="shared" ref="B20:C20" si="2">SUM(B15:B19)</f>
        <v>499418652.15000004</v>
      </c>
      <c r="C20" s="3">
        <f t="shared" si="2"/>
        <v>203816613.49000004</v>
      </c>
      <c r="D20" s="3">
        <f>SUM(D15:D19)</f>
        <v>245811499.57999998</v>
      </c>
      <c r="E20" s="3">
        <f>SUM(E15:E19)</f>
        <v>313139371.30000001</v>
      </c>
      <c r="F20" s="3">
        <f>SUM(F15:F19)</f>
        <v>537019637.71000004</v>
      </c>
    </row>
    <row r="21" spans="1:6" x14ac:dyDescent="0.3">
      <c r="A21" s="4" t="s">
        <v>3</v>
      </c>
      <c r="B21" s="3">
        <v>0</v>
      </c>
      <c r="C21" s="3">
        <v>8525418.0099999998</v>
      </c>
      <c r="D21" s="3">
        <v>421</v>
      </c>
      <c r="E21" s="3">
        <v>4535633.3600000003</v>
      </c>
      <c r="F21" s="3">
        <v>5151115.34</v>
      </c>
    </row>
    <row r="22" spans="1:6" x14ac:dyDescent="0.3">
      <c r="A22" s="70" t="s">
        <v>4</v>
      </c>
      <c r="B22" s="37">
        <f t="shared" ref="B22" si="3">B7-B14-B20-B21</f>
        <v>304583012.42000049</v>
      </c>
      <c r="C22" s="37">
        <f>C7-C14-C20-C21</f>
        <v>32469787.770000719</v>
      </c>
      <c r="D22" s="37">
        <f>D7-D14-D20-D21</f>
        <v>93548748.879999757</v>
      </c>
      <c r="E22" s="37">
        <f>E7-E14-E20-E21</f>
        <v>209924766.25000006</v>
      </c>
      <c r="F22" s="37">
        <f>F7-F14-F20-F21</f>
        <v>362319690.31000012</v>
      </c>
    </row>
    <row r="23" spans="1:6" x14ac:dyDescent="0.3">
      <c r="B23" s="1">
        <v>-457061079.43000001</v>
      </c>
      <c r="C23" s="1">
        <v>-47090842.100000001</v>
      </c>
      <c r="D23" s="1">
        <v>-17472676.379999999</v>
      </c>
      <c r="E23" s="1">
        <v>-24406968.73</v>
      </c>
      <c r="F23" s="1">
        <v>-33415211.710000001</v>
      </c>
    </row>
    <row r="24" spans="1:6" x14ac:dyDescent="0.3">
      <c r="A24" t="s">
        <v>365</v>
      </c>
      <c r="B24" s="6">
        <f t="shared" ref="B24:D24" si="4">B8/B3*100</f>
        <v>3.264448442598554</v>
      </c>
      <c r="C24" s="6">
        <f t="shared" si="4"/>
        <v>3.9846812508504534</v>
      </c>
      <c r="D24" s="6">
        <f t="shared" si="4"/>
        <v>3.5002225240986</v>
      </c>
      <c r="E24" s="6">
        <f t="shared" ref="E24:F24" si="5">E8/E3*100</f>
        <v>4.382714985579196</v>
      </c>
      <c r="F24" s="6">
        <f t="shared" si="5"/>
        <v>3.8244358302894561</v>
      </c>
    </row>
    <row r="25" spans="1:6" x14ac:dyDescent="0.3">
      <c r="A25" t="s">
        <v>356</v>
      </c>
    </row>
    <row r="52" spans="1:6" x14ac:dyDescent="0.3">
      <c r="A52" t="s">
        <v>13</v>
      </c>
      <c r="B52" s="1">
        <f t="shared" ref="B52:D52" si="6">SUM(B11:B13)</f>
        <v>296214033.89999998</v>
      </c>
      <c r="C52" s="1">
        <f t="shared" si="6"/>
        <v>356421577.68000001</v>
      </c>
      <c r="D52" s="1">
        <f t="shared" si="6"/>
        <v>363454520.55000001</v>
      </c>
      <c r="E52" s="1">
        <f t="shared" ref="E52:F52" si="7">SUM(E11:E13)</f>
        <v>530076854.96999997</v>
      </c>
      <c r="F52" s="1">
        <f t="shared" si="7"/>
        <v>1189065424.79</v>
      </c>
    </row>
  </sheetData>
  <conditionalFormatting sqref="B22:D22 F22">
    <cfRule type="cellIs" dxfId="59" priority="18" operator="greaterThan">
      <formula>0</formula>
    </cfRule>
  </conditionalFormatting>
  <conditionalFormatting sqref="B22:D22 F22">
    <cfRule type="cellIs" dxfId="58" priority="15" operator="greaterThan">
      <formula>0</formula>
    </cfRule>
    <cfRule type="cellIs" dxfId="57" priority="16" operator="lessThan">
      <formula>0</formula>
    </cfRule>
  </conditionalFormatting>
  <conditionalFormatting sqref="E22">
    <cfRule type="cellIs" dxfId="56" priority="3" operator="greaterThan">
      <formula>0</formula>
    </cfRule>
  </conditionalFormatting>
  <conditionalFormatting sqref="E22">
    <cfRule type="cellIs" dxfId="55" priority="1" operator="greaterThan">
      <formula>0</formula>
    </cfRule>
    <cfRule type="cellIs" dxfId="54" priority="2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pane xSplit="2" ySplit="1" topLeftCell="C23" activePane="bottomRight" state="frozen"/>
      <selection pane="topRight" activeCell="C1" sqref="C1"/>
      <selection pane="bottomLeft" activeCell="A2" sqref="A2"/>
      <selection pane="bottomRight" activeCell="M33" sqref="M33"/>
    </sheetView>
  </sheetViews>
  <sheetFormatPr defaultRowHeight="14.4" x14ac:dyDescent="0.3"/>
  <cols>
    <col min="1" max="1" width="65.33203125" bestFit="1" customWidth="1"/>
    <col min="2" max="2" width="3.44140625" bestFit="1" customWidth="1"/>
    <col min="3" max="3" width="15.44140625" bestFit="1" customWidth="1"/>
    <col min="4" max="6" width="15.5546875" customWidth="1"/>
    <col min="7" max="7" width="12.33203125" bestFit="1" customWidth="1"/>
  </cols>
  <sheetData>
    <row r="1" spans="1:7" x14ac:dyDescent="0.3">
      <c r="C1" s="12">
        <v>2017</v>
      </c>
      <c r="D1" s="12">
        <v>2018</v>
      </c>
      <c r="E1" s="12">
        <v>2019</v>
      </c>
      <c r="F1" s="12">
        <v>2020</v>
      </c>
      <c r="G1" s="12" t="s">
        <v>264</v>
      </c>
    </row>
    <row r="2" spans="1:7" x14ac:dyDescent="0.3">
      <c r="A2" t="s">
        <v>234</v>
      </c>
      <c r="B2" s="26" t="s">
        <v>258</v>
      </c>
      <c r="C2" s="1">
        <v>5956678187.8999996</v>
      </c>
      <c r="D2" s="1">
        <v>6085601855.1199999</v>
      </c>
      <c r="E2" s="1">
        <v>6066398960.6800003</v>
      </c>
      <c r="F2" s="1">
        <v>6333791769.1099997</v>
      </c>
      <c r="G2" s="1">
        <f>F2-E2</f>
        <v>267392808.42999935</v>
      </c>
    </row>
    <row r="3" spans="1:7" x14ac:dyDescent="0.3">
      <c r="A3" t="s">
        <v>235</v>
      </c>
      <c r="B3" s="26" t="s">
        <v>258</v>
      </c>
      <c r="C3" s="1">
        <v>0</v>
      </c>
      <c r="D3" s="1">
        <v>0</v>
      </c>
      <c r="E3" s="1">
        <v>0</v>
      </c>
      <c r="F3" s="1">
        <v>0</v>
      </c>
      <c r="G3" s="1">
        <f t="shared" ref="G3:G28" si="0">F3-E3</f>
        <v>0</v>
      </c>
    </row>
    <row r="4" spans="1:7" x14ac:dyDescent="0.3">
      <c r="A4" t="s">
        <v>236</v>
      </c>
      <c r="B4" s="26" t="s">
        <v>258</v>
      </c>
      <c r="C4" s="1">
        <v>510120784.60000002</v>
      </c>
      <c r="D4" s="1">
        <v>467936794.75</v>
      </c>
      <c r="E4" s="1">
        <v>510488991.86000001</v>
      </c>
      <c r="F4" s="1">
        <v>733431449.02999997</v>
      </c>
      <c r="G4" s="1">
        <f t="shared" si="0"/>
        <v>222942457.16999996</v>
      </c>
    </row>
    <row r="5" spans="1:7" x14ac:dyDescent="0.3">
      <c r="A5" t="s">
        <v>237</v>
      </c>
      <c r="B5" s="26" t="s">
        <v>258</v>
      </c>
      <c r="C5" s="1">
        <v>114322728.26000001</v>
      </c>
      <c r="D5" s="1">
        <v>136435170.66</v>
      </c>
      <c r="E5" s="1">
        <v>142835580.34999999</v>
      </c>
      <c r="F5" s="1">
        <v>120790497.06</v>
      </c>
      <c r="G5" s="1">
        <f t="shared" si="0"/>
        <v>-22045083.289999992</v>
      </c>
    </row>
    <row r="6" spans="1:7" x14ac:dyDescent="0.3">
      <c r="A6" t="s">
        <v>238</v>
      </c>
      <c r="B6" s="26" t="s">
        <v>258</v>
      </c>
      <c r="C6" s="1"/>
      <c r="D6" s="1"/>
      <c r="E6" s="1"/>
      <c r="F6" s="1"/>
      <c r="G6" s="1">
        <f t="shared" si="0"/>
        <v>0</v>
      </c>
    </row>
    <row r="7" spans="1:7" x14ac:dyDescent="0.3">
      <c r="A7" t="s">
        <v>239</v>
      </c>
      <c r="B7" s="26" t="s">
        <v>258</v>
      </c>
      <c r="C7" s="1"/>
      <c r="D7" s="1"/>
      <c r="E7" s="1"/>
      <c r="F7" s="1"/>
      <c r="G7" s="1">
        <f t="shared" si="0"/>
        <v>0</v>
      </c>
    </row>
    <row r="8" spans="1:7" x14ac:dyDescent="0.3">
      <c r="A8" t="s">
        <v>240</v>
      </c>
      <c r="B8" s="26" t="s">
        <v>258</v>
      </c>
      <c r="C8" s="1"/>
      <c r="D8" s="1"/>
      <c r="E8" s="1"/>
      <c r="F8" s="1"/>
      <c r="G8" s="1">
        <f t="shared" si="0"/>
        <v>0</v>
      </c>
    </row>
    <row r="9" spans="1:7" x14ac:dyDescent="0.3">
      <c r="A9" s="32" t="s">
        <v>241</v>
      </c>
      <c r="B9" s="33" t="s">
        <v>258</v>
      </c>
      <c r="C9" s="34">
        <v>49802117.189999998</v>
      </c>
      <c r="D9" s="34">
        <v>74749773.150000006</v>
      </c>
      <c r="E9" s="34">
        <v>67018390.520000003</v>
      </c>
      <c r="F9" s="34">
        <v>47057765.399999999</v>
      </c>
      <c r="G9" s="1">
        <f t="shared" si="0"/>
        <v>-19960625.120000005</v>
      </c>
    </row>
    <row r="10" spans="1:7" x14ac:dyDescent="0.3">
      <c r="A10" s="35" t="s">
        <v>262</v>
      </c>
      <c r="B10" s="36" t="s">
        <v>258</v>
      </c>
      <c r="C10" s="94">
        <f t="shared" ref="C10:D10" si="1">SUM(C2:C9)</f>
        <v>6630923817.9499998</v>
      </c>
      <c r="D10" s="94">
        <f t="shared" si="1"/>
        <v>6764723593.6799994</v>
      </c>
      <c r="E10" s="94">
        <f t="shared" ref="E10:F10" si="2">SUM(E2:E9)</f>
        <v>6786741923.4100008</v>
      </c>
      <c r="F10" s="94">
        <f t="shared" si="2"/>
        <v>7235071480.5999994</v>
      </c>
      <c r="G10" s="11">
        <f t="shared" si="0"/>
        <v>448329557.18999863</v>
      </c>
    </row>
    <row r="11" spans="1:7" x14ac:dyDescent="0.3">
      <c r="A11" t="s">
        <v>242</v>
      </c>
      <c r="B11" s="26" t="s">
        <v>259</v>
      </c>
      <c r="C11" s="1">
        <v>2777513.67</v>
      </c>
      <c r="D11" s="1">
        <v>1756526.41</v>
      </c>
      <c r="E11" s="1">
        <v>1841819.15</v>
      </c>
      <c r="F11" s="1">
        <v>1790948.19</v>
      </c>
      <c r="G11" s="1">
        <f t="shared" si="0"/>
        <v>-50870.959999999963</v>
      </c>
    </row>
    <row r="12" spans="1:7" x14ac:dyDescent="0.3">
      <c r="A12" t="s">
        <v>243</v>
      </c>
      <c r="B12" s="26" t="s">
        <v>259</v>
      </c>
      <c r="C12" s="1">
        <v>443432267.91000003</v>
      </c>
      <c r="D12" s="1">
        <v>425829761.80000001</v>
      </c>
      <c r="E12" s="1">
        <v>426072827.01999998</v>
      </c>
      <c r="F12" s="1">
        <v>434842878.01999998</v>
      </c>
      <c r="G12" s="1">
        <f t="shared" si="0"/>
        <v>8770051</v>
      </c>
    </row>
    <row r="13" spans="1:7" x14ac:dyDescent="0.3">
      <c r="A13" t="s">
        <v>244</v>
      </c>
      <c r="B13" s="26" t="s">
        <v>259</v>
      </c>
      <c r="C13" s="1">
        <v>4148064.04</v>
      </c>
      <c r="D13" s="1">
        <v>3136155.26</v>
      </c>
      <c r="E13" s="1">
        <v>3347219.12</v>
      </c>
      <c r="F13" s="1">
        <v>3763965.61</v>
      </c>
      <c r="G13" s="1">
        <f t="shared" si="0"/>
        <v>416746.48999999976</v>
      </c>
    </row>
    <row r="14" spans="1:7" x14ac:dyDescent="0.3">
      <c r="A14" t="s">
        <v>245</v>
      </c>
      <c r="B14" s="26" t="s">
        <v>259</v>
      </c>
      <c r="C14" s="1">
        <v>6100306533.2700005</v>
      </c>
      <c r="D14" s="1">
        <v>6078288828.0699997</v>
      </c>
      <c r="E14" s="1">
        <v>5704054446.5500002</v>
      </c>
      <c r="F14" s="1">
        <v>5601502119.2399998</v>
      </c>
      <c r="G14" s="1">
        <f t="shared" si="0"/>
        <v>-102552327.31000042</v>
      </c>
    </row>
    <row r="15" spans="1:7" x14ac:dyDescent="0.3">
      <c r="A15" t="s">
        <v>246</v>
      </c>
      <c r="B15" s="26" t="s">
        <v>259</v>
      </c>
      <c r="C15" s="1">
        <v>190781433.28</v>
      </c>
      <c r="D15" s="1">
        <v>197497161.78</v>
      </c>
      <c r="E15" s="1">
        <v>196728967.63</v>
      </c>
      <c r="F15" s="1">
        <v>179064058.05000001</v>
      </c>
      <c r="G15" s="1">
        <f t="shared" si="0"/>
        <v>-17664909.579999983</v>
      </c>
    </row>
    <row r="16" spans="1:7" x14ac:dyDescent="0.3">
      <c r="A16" t="s">
        <v>247</v>
      </c>
      <c r="B16" s="26" t="s">
        <v>259</v>
      </c>
      <c r="C16" s="1">
        <v>59536485.869999997</v>
      </c>
      <c r="D16" s="1">
        <v>54627599.960000001</v>
      </c>
      <c r="E16" s="1">
        <v>58157056.57</v>
      </c>
      <c r="F16" s="1">
        <v>52283377.100000001</v>
      </c>
      <c r="G16" s="1">
        <f t="shared" si="0"/>
        <v>-5873679.4699999988</v>
      </c>
    </row>
    <row r="17" spans="1:7" x14ac:dyDescent="0.3">
      <c r="A17" t="s">
        <v>248</v>
      </c>
      <c r="B17" s="26" t="s">
        <v>259</v>
      </c>
      <c r="C17" s="1">
        <v>24090.3</v>
      </c>
      <c r="D17" s="1">
        <v>3150.76</v>
      </c>
      <c r="E17" s="1">
        <v>-17458.009999999998</v>
      </c>
      <c r="F17" s="1">
        <v>-31874.82</v>
      </c>
      <c r="G17" s="1">
        <f t="shared" si="0"/>
        <v>-14416.810000000001</v>
      </c>
    </row>
    <row r="18" spans="1:7" x14ac:dyDescent="0.3">
      <c r="A18" t="s">
        <v>249</v>
      </c>
      <c r="B18" s="26" t="s">
        <v>259</v>
      </c>
      <c r="C18" s="1">
        <v>25805191.579999998</v>
      </c>
      <c r="D18" s="1">
        <v>919347.75</v>
      </c>
      <c r="E18" s="1">
        <v>164675704.96000001</v>
      </c>
      <c r="F18" s="1">
        <v>592204628.03999996</v>
      </c>
      <c r="G18" s="1">
        <f t="shared" si="0"/>
        <v>427528923.07999992</v>
      </c>
    </row>
    <row r="19" spans="1:7" x14ac:dyDescent="0.3">
      <c r="A19" t="s">
        <v>13</v>
      </c>
      <c r="B19" s="26" t="s">
        <v>259</v>
      </c>
      <c r="C19" s="1">
        <v>7349094.9199999999</v>
      </c>
      <c r="D19" s="1">
        <v>7117554.6399999997</v>
      </c>
      <c r="E19" s="1">
        <v>144178.22</v>
      </c>
      <c r="F19" s="1">
        <v>64595301.530000001</v>
      </c>
      <c r="G19" s="1">
        <f t="shared" si="0"/>
        <v>64451123.310000002</v>
      </c>
    </row>
    <row r="20" spans="1:7" x14ac:dyDescent="0.3">
      <c r="A20" s="32" t="s">
        <v>250</v>
      </c>
      <c r="B20" s="33" t="s">
        <v>259</v>
      </c>
      <c r="C20" s="34">
        <v>5786274.3499999996</v>
      </c>
      <c r="D20" s="34">
        <v>7569366.2000000002</v>
      </c>
      <c r="E20" s="34">
        <v>10436658.08</v>
      </c>
      <c r="F20" s="34">
        <v>6139212.6699999999</v>
      </c>
      <c r="G20" s="1">
        <f t="shared" si="0"/>
        <v>-4297445.41</v>
      </c>
    </row>
    <row r="21" spans="1:7" x14ac:dyDescent="0.3">
      <c r="A21" s="35" t="s">
        <v>263</v>
      </c>
      <c r="B21" s="36" t="s">
        <v>259</v>
      </c>
      <c r="C21" s="94">
        <f t="shared" ref="C21:D21" si="3">SUM(C11:C20)</f>
        <v>6839946949.1900005</v>
      </c>
      <c r="D21" s="94">
        <f t="shared" si="3"/>
        <v>6776745452.6300001</v>
      </c>
      <c r="E21" s="94">
        <f t="shared" ref="E21:F21" si="4">SUM(E11:E20)</f>
        <v>6565441419.29</v>
      </c>
      <c r="F21" s="94">
        <f t="shared" si="4"/>
        <v>6936154613.6300001</v>
      </c>
      <c r="G21" s="11">
        <f t="shared" si="0"/>
        <v>370713194.34000015</v>
      </c>
    </row>
    <row r="22" spans="1:7" x14ac:dyDescent="0.3">
      <c r="A22" t="s">
        <v>251</v>
      </c>
      <c r="B22" s="26" t="s">
        <v>258</v>
      </c>
      <c r="C22" s="1">
        <v>10421991.82</v>
      </c>
      <c r="D22" s="1">
        <v>1831185.53</v>
      </c>
      <c r="E22" s="1">
        <v>1860312.12</v>
      </c>
      <c r="F22" s="1">
        <v>1794391.92</v>
      </c>
      <c r="G22" s="1">
        <f t="shared" si="0"/>
        <v>-65920.200000000186</v>
      </c>
    </row>
    <row r="23" spans="1:7" x14ac:dyDescent="0.3">
      <c r="A23" t="s">
        <v>252</v>
      </c>
      <c r="B23" s="26" t="s">
        <v>259</v>
      </c>
      <c r="C23" s="1">
        <v>16129218.43</v>
      </c>
      <c r="D23" s="1">
        <v>15724737.560000001</v>
      </c>
      <c r="E23" s="1">
        <v>13948512.550000001</v>
      </c>
      <c r="F23" s="1">
        <v>11501320.91</v>
      </c>
      <c r="G23" s="1">
        <f t="shared" si="0"/>
        <v>-2447191.6400000006</v>
      </c>
    </row>
    <row r="24" spans="1:7" x14ac:dyDescent="0.3">
      <c r="A24" t="s">
        <v>253</v>
      </c>
      <c r="B24" s="26" t="s">
        <v>258</v>
      </c>
      <c r="C24" s="1">
        <v>1486586.51</v>
      </c>
      <c r="D24" s="1">
        <v>-15629991.25</v>
      </c>
      <c r="E24" s="1">
        <v>-9840283.9800000004</v>
      </c>
      <c r="F24" s="1">
        <v>0</v>
      </c>
      <c r="G24" s="1">
        <f t="shared" si="0"/>
        <v>9840283.9800000004</v>
      </c>
    </row>
    <row r="25" spans="1:7" x14ac:dyDescent="0.3">
      <c r="A25" t="s">
        <v>254</v>
      </c>
      <c r="B25" s="26" t="s">
        <v>258</v>
      </c>
      <c r="C25" s="1">
        <v>100432876.68000001</v>
      </c>
      <c r="D25" s="1">
        <v>184964055.66999999</v>
      </c>
      <c r="E25" s="1">
        <v>155366882.09999999</v>
      </c>
      <c r="F25" s="1">
        <v>45483546.530000001</v>
      </c>
      <c r="G25" s="1">
        <f t="shared" si="0"/>
        <v>-109883335.56999999</v>
      </c>
    </row>
    <row r="26" spans="1:7" x14ac:dyDescent="0.3">
      <c r="A26" t="s">
        <v>255</v>
      </c>
      <c r="B26" s="26" t="s">
        <v>259</v>
      </c>
      <c r="C26" s="1">
        <v>180398866.80000001</v>
      </c>
      <c r="D26" s="1">
        <v>156388926.49000001</v>
      </c>
      <c r="E26" s="1">
        <v>68384996.519999996</v>
      </c>
      <c r="F26" s="1">
        <v>42630089.5</v>
      </c>
      <c r="G26" s="1">
        <f t="shared" si="0"/>
        <v>-25754907.019999996</v>
      </c>
    </row>
    <row r="27" spans="1:7" x14ac:dyDescent="0.3">
      <c r="A27" t="s">
        <v>256</v>
      </c>
      <c r="B27" s="26" t="s">
        <v>259</v>
      </c>
      <c r="C27" s="1">
        <v>12557333.42</v>
      </c>
      <c r="D27" s="1">
        <v>12788647.73</v>
      </c>
      <c r="E27" s="1">
        <v>13118557.76</v>
      </c>
      <c r="F27" s="1">
        <v>12229135.050000001</v>
      </c>
      <c r="G27" s="1">
        <f t="shared" si="0"/>
        <v>-889422.70999999903</v>
      </c>
    </row>
    <row r="28" spans="1:7" x14ac:dyDescent="0.3">
      <c r="A28" s="10" t="s">
        <v>257</v>
      </c>
      <c r="B28" s="36" t="s">
        <v>260</v>
      </c>
      <c r="C28" s="37">
        <f t="shared" ref="C28:D28" si="5">C10-C21+C22-C23+C24+C25-C26-C27</f>
        <v>-305767094.88000077</v>
      </c>
      <c r="D28" s="37">
        <f t="shared" si="5"/>
        <v>-25758920.780000787</v>
      </c>
      <c r="E28" s="37">
        <f t="shared" ref="E28:F28" si="6">E10-E21+E22-E23+E24+E25-E26-E27</f>
        <v>273235347.53000087</v>
      </c>
      <c r="F28" s="37">
        <f t="shared" si="6"/>
        <v>279834259.95999926</v>
      </c>
      <c r="G28" s="37">
        <f t="shared" si="0"/>
        <v>6598912.4299983978</v>
      </c>
    </row>
  </sheetData>
  <conditionalFormatting sqref="C28:D28 F28:G28">
    <cfRule type="cellIs" dxfId="53" priority="15" operator="greaterThan">
      <formula>0</formula>
    </cfRule>
  </conditionalFormatting>
  <conditionalFormatting sqref="E28">
    <cfRule type="cellIs" dxfId="52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showGridLines="0" workbookViewId="0">
      <selection activeCell="E18" sqref="E18"/>
    </sheetView>
  </sheetViews>
  <sheetFormatPr defaultRowHeight="14.4" x14ac:dyDescent="0.3"/>
  <cols>
    <col min="1" max="1" width="50.6640625" bestFit="1" customWidth="1"/>
    <col min="2" max="5" width="13.33203125" bestFit="1" customWidth="1"/>
    <col min="6" max="6" width="12.33203125" bestFit="1" customWidth="1"/>
  </cols>
  <sheetData>
    <row r="1" spans="1:6" x14ac:dyDescent="0.3">
      <c r="A1" s="41"/>
      <c r="B1" s="42">
        <v>2017</v>
      </c>
      <c r="C1" s="42">
        <v>2018</v>
      </c>
      <c r="D1" s="42">
        <v>2019</v>
      </c>
      <c r="E1" s="42">
        <v>2020</v>
      </c>
      <c r="F1" s="42" t="s">
        <v>264</v>
      </c>
    </row>
    <row r="2" spans="1:6" x14ac:dyDescent="0.3">
      <c r="A2" s="71" t="s">
        <v>341</v>
      </c>
      <c r="B2" s="64">
        <f>Conto_economico!C10</f>
        <v>6630923817.9499998</v>
      </c>
      <c r="C2" s="64">
        <f>Conto_economico!D10</f>
        <v>6764723593.6799994</v>
      </c>
      <c r="D2" s="64">
        <f>Conto_economico!E10</f>
        <v>6786741923.4100008</v>
      </c>
      <c r="E2" s="64">
        <f>Conto_economico!F10</f>
        <v>7235071480.5999994</v>
      </c>
      <c r="F2" s="64">
        <f>E2-D2</f>
        <v>448329557.18999863</v>
      </c>
    </row>
    <row r="3" spans="1:6" x14ac:dyDescent="0.3">
      <c r="A3" s="71" t="s">
        <v>336</v>
      </c>
      <c r="B3" s="64">
        <f>Conto_economico!C2</f>
        <v>5956678187.8999996</v>
      </c>
      <c r="C3" s="64">
        <f>Conto_economico!D2</f>
        <v>6085601855.1199999</v>
      </c>
      <c r="D3" s="64">
        <f>Conto_economico!E2</f>
        <v>6066398960.6800003</v>
      </c>
      <c r="E3" s="64">
        <f>Conto_economico!F2</f>
        <v>6333791769.1099997</v>
      </c>
      <c r="F3" s="64">
        <f t="shared" ref="F3:F15" si="0">E3-D3</f>
        <v>267392808.42999935</v>
      </c>
    </row>
    <row r="4" spans="1:6" x14ac:dyDescent="0.3">
      <c r="A4" s="71" t="s">
        <v>337</v>
      </c>
      <c r="B4" s="64">
        <f>Conto_economico!C4</f>
        <v>510120784.60000002</v>
      </c>
      <c r="C4" s="64">
        <f>Conto_economico!D4</f>
        <v>467936794.75</v>
      </c>
      <c r="D4" s="64">
        <f>Conto_economico!E4</f>
        <v>510488991.86000001</v>
      </c>
      <c r="E4" s="64">
        <f>Conto_economico!F4</f>
        <v>733431449.02999997</v>
      </c>
      <c r="F4" s="64">
        <f t="shared" si="0"/>
        <v>222942457.16999996</v>
      </c>
    </row>
    <row r="5" spans="1:6" x14ac:dyDescent="0.3">
      <c r="A5" s="71" t="s">
        <v>342</v>
      </c>
      <c r="B5" s="65">
        <f>Conto_economico!C21</f>
        <v>6839946949.1900005</v>
      </c>
      <c r="C5" s="65">
        <f>Conto_economico!D21</f>
        <v>6776745452.6300001</v>
      </c>
      <c r="D5" s="65">
        <f>Conto_economico!E21</f>
        <v>6565441419.29</v>
      </c>
      <c r="E5" s="65">
        <f>Conto_economico!F21</f>
        <v>6936154613.6300001</v>
      </c>
      <c r="F5" s="64">
        <f t="shared" si="0"/>
        <v>370713194.34000015</v>
      </c>
    </row>
    <row r="6" spans="1:6" x14ac:dyDescent="0.3">
      <c r="A6" s="71" t="s">
        <v>338</v>
      </c>
      <c r="B6" s="64">
        <f>Conto_economico!C12</f>
        <v>443432267.91000003</v>
      </c>
      <c r="C6" s="64">
        <f>Conto_economico!D12</f>
        <v>425829761.80000001</v>
      </c>
      <c r="D6" s="64">
        <f>Conto_economico!E12</f>
        <v>426072827.01999998</v>
      </c>
      <c r="E6" s="64">
        <f>Conto_economico!F12</f>
        <v>434842878.01999998</v>
      </c>
      <c r="F6" s="64">
        <f t="shared" si="0"/>
        <v>8770051</v>
      </c>
    </row>
    <row r="7" spans="1:6" x14ac:dyDescent="0.3">
      <c r="A7" s="71" t="s">
        <v>339</v>
      </c>
      <c r="B7" s="64">
        <f>Conto_economico!C15</f>
        <v>190781433.28</v>
      </c>
      <c r="C7" s="64">
        <f>Conto_economico!D15</f>
        <v>197497161.78</v>
      </c>
      <c r="D7" s="64">
        <f>Conto_economico!E15</f>
        <v>196728967.63</v>
      </c>
      <c r="E7" s="64">
        <f>Conto_economico!F15</f>
        <v>179064058.05000001</v>
      </c>
      <c r="F7" s="64">
        <f t="shared" si="0"/>
        <v>-17664909.579999983</v>
      </c>
    </row>
    <row r="8" spans="1:6" x14ac:dyDescent="0.3">
      <c r="A8" s="71" t="s">
        <v>340</v>
      </c>
      <c r="B8" s="64">
        <f>Conto_economico!C16</f>
        <v>59536485.869999997</v>
      </c>
      <c r="C8" s="64">
        <f>Conto_economico!D16</f>
        <v>54627599.960000001</v>
      </c>
      <c r="D8" s="64">
        <f>Conto_economico!E16</f>
        <v>58157056.57</v>
      </c>
      <c r="E8" s="64">
        <f>Conto_economico!F16</f>
        <v>52283377.100000001</v>
      </c>
      <c r="F8" s="64">
        <f t="shared" si="0"/>
        <v>-5873679.4699999988</v>
      </c>
    </row>
    <row r="9" spans="1:6" x14ac:dyDescent="0.3">
      <c r="A9" s="47" t="s">
        <v>304</v>
      </c>
      <c r="B9" s="66">
        <f t="shared" ref="B9:C9" si="1">B2-B5</f>
        <v>-209023131.24000072</v>
      </c>
      <c r="C9" s="66">
        <f t="shared" si="1"/>
        <v>-12021858.950000763</v>
      </c>
      <c r="D9" s="66">
        <f t="shared" ref="D9:E9" si="2">D2-D5</f>
        <v>221300504.12000084</v>
      </c>
      <c r="E9" s="66">
        <f t="shared" si="2"/>
        <v>298916866.96999931</v>
      </c>
      <c r="F9" s="66">
        <f t="shared" si="0"/>
        <v>77616362.849998474</v>
      </c>
    </row>
    <row r="10" spans="1:6" x14ac:dyDescent="0.3">
      <c r="A10" s="71" t="s">
        <v>305</v>
      </c>
      <c r="B10" s="64">
        <f>Conto_economico!C22-Conto_economico!C23</f>
        <v>-5707226.6099999994</v>
      </c>
      <c r="C10" s="64">
        <f>Conto_economico!D22-Conto_economico!D23</f>
        <v>-13893552.030000001</v>
      </c>
      <c r="D10" s="64">
        <f>Conto_economico!E22-Conto_economico!E23</f>
        <v>-12088200.43</v>
      </c>
      <c r="E10" s="64">
        <f>Conto_economico!F22-Conto_economico!F23</f>
        <v>-9706928.9900000002</v>
      </c>
      <c r="F10" s="64">
        <f t="shared" si="0"/>
        <v>2381271.4399999995</v>
      </c>
    </row>
    <row r="11" spans="1:6" x14ac:dyDescent="0.3">
      <c r="A11" s="71" t="s">
        <v>306</v>
      </c>
      <c r="B11" s="65">
        <f>Conto_economico!C25-Conto_economico!C26</f>
        <v>-79965990.120000005</v>
      </c>
      <c r="C11" s="65">
        <f>Conto_economico!D25-Conto_economico!D26</f>
        <v>28575129.179999977</v>
      </c>
      <c r="D11" s="65">
        <f>Conto_economico!E25-Conto_economico!E26</f>
        <v>86981885.579999998</v>
      </c>
      <c r="E11" s="65">
        <f>Conto_economico!F25-Conto_economico!F26</f>
        <v>2853457.0300000012</v>
      </c>
      <c r="F11" s="64">
        <f t="shared" si="0"/>
        <v>-84128428.549999997</v>
      </c>
    </row>
    <row r="12" spans="1:6" x14ac:dyDescent="0.3">
      <c r="A12" s="71" t="s">
        <v>253</v>
      </c>
      <c r="B12" s="65">
        <f>Conto_economico!C24</f>
        <v>1486586.51</v>
      </c>
      <c r="C12" s="65">
        <f>Conto_economico!D24</f>
        <v>-15629991.25</v>
      </c>
      <c r="D12" s="65">
        <f>Conto_economico!E24</f>
        <v>-9840283.9800000004</v>
      </c>
      <c r="E12" s="65">
        <f>Conto_economico!F24</f>
        <v>0</v>
      </c>
      <c r="F12" s="64">
        <f t="shared" si="0"/>
        <v>9840283.9800000004</v>
      </c>
    </row>
    <row r="13" spans="1:6" x14ac:dyDescent="0.3">
      <c r="A13" s="47" t="s">
        <v>307</v>
      </c>
      <c r="B13" s="66">
        <f t="shared" ref="B13:C13" si="3">SUM(B9:B12)</f>
        <v>-293209761.46000075</v>
      </c>
      <c r="C13" s="66">
        <f t="shared" si="3"/>
        <v>-12970273.050000787</v>
      </c>
      <c r="D13" s="66">
        <f t="shared" ref="D13:E13" si="4">SUM(D9:D12)</f>
        <v>286353905.2900008</v>
      </c>
      <c r="E13" s="66">
        <f t="shared" si="4"/>
        <v>292063395.00999928</v>
      </c>
      <c r="F13" s="66">
        <f t="shared" si="0"/>
        <v>5709489.7199984789</v>
      </c>
    </row>
    <row r="14" spans="1:6" x14ac:dyDescent="0.3">
      <c r="A14" s="71" t="s">
        <v>256</v>
      </c>
      <c r="B14" s="64">
        <f>Conto_economico!C27</f>
        <v>12557333.42</v>
      </c>
      <c r="C14" s="64">
        <f>Conto_economico!D27</f>
        <v>12788647.73</v>
      </c>
      <c r="D14" s="64">
        <f>Conto_economico!E27</f>
        <v>13118557.76</v>
      </c>
      <c r="E14" s="64">
        <f>Conto_economico!F27</f>
        <v>12229135.050000001</v>
      </c>
      <c r="F14" s="64">
        <f t="shared" si="0"/>
        <v>-889422.70999999903</v>
      </c>
    </row>
    <row r="15" spans="1:6" x14ac:dyDescent="0.3">
      <c r="A15" s="70" t="s">
        <v>257</v>
      </c>
      <c r="B15" s="67">
        <f t="shared" ref="B15:C15" si="5">B13-B14</f>
        <v>-305767094.88000077</v>
      </c>
      <c r="C15" s="67">
        <f t="shared" si="5"/>
        <v>-25758920.780000787</v>
      </c>
      <c r="D15" s="67">
        <f t="shared" ref="D15:E15" si="6">D13-D14</f>
        <v>273235347.53000081</v>
      </c>
      <c r="E15" s="67">
        <f t="shared" si="6"/>
        <v>279834259.95999926</v>
      </c>
      <c r="F15" s="67">
        <f t="shared" si="0"/>
        <v>6598912.4299984574</v>
      </c>
    </row>
  </sheetData>
  <conditionalFormatting sqref="B15:C15 E15:F15">
    <cfRule type="cellIs" dxfId="51" priority="15" operator="greaterThan">
      <formula>0</formula>
    </cfRule>
  </conditionalFormatting>
  <conditionalFormatting sqref="B9:C9 B13:C13 E13:F13 E9:F9">
    <cfRule type="cellIs" dxfId="50" priority="14" operator="lessThan">
      <formula>0</formula>
    </cfRule>
  </conditionalFormatting>
  <conditionalFormatting sqref="D15">
    <cfRule type="cellIs" dxfId="49" priority="2" operator="greaterThan">
      <formula>0</formula>
    </cfRule>
  </conditionalFormatting>
  <conditionalFormatting sqref="D13 D9">
    <cfRule type="cellIs" dxfId="48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showGridLines="0" topLeftCell="A10" workbookViewId="0">
      <selection activeCell="F20" sqref="F20"/>
    </sheetView>
  </sheetViews>
  <sheetFormatPr defaultRowHeight="14.4" x14ac:dyDescent="0.3"/>
  <cols>
    <col min="1" max="1" width="51.6640625" style="32" bestFit="1" customWidth="1"/>
    <col min="2" max="2" width="12.6640625" bestFit="1" customWidth="1"/>
    <col min="3" max="6" width="13.88671875" bestFit="1" customWidth="1"/>
    <col min="7" max="8" width="12.6640625" bestFit="1" customWidth="1"/>
  </cols>
  <sheetData>
    <row r="1" spans="1:6" x14ac:dyDescent="0.3">
      <c r="A1" s="73"/>
      <c r="B1" s="96">
        <v>2016</v>
      </c>
      <c r="C1" s="69">
        <v>2017</v>
      </c>
      <c r="D1" s="69">
        <v>2018</v>
      </c>
      <c r="E1" s="69">
        <v>2019</v>
      </c>
      <c r="F1" s="69">
        <v>2020</v>
      </c>
    </row>
    <row r="2" spans="1:6" x14ac:dyDescent="0.3">
      <c r="A2" s="32" t="s">
        <v>211</v>
      </c>
      <c r="B2" s="1">
        <v>0</v>
      </c>
      <c r="C2" s="1">
        <v>0</v>
      </c>
      <c r="D2" s="1">
        <v>0</v>
      </c>
      <c r="E2" s="1">
        <v>0</v>
      </c>
      <c r="F2" s="1">
        <v>0</v>
      </c>
    </row>
    <row r="3" spans="1:6" x14ac:dyDescent="0.3">
      <c r="A3" s="32" t="s">
        <v>212</v>
      </c>
      <c r="B3" s="1">
        <v>57956962.140000001</v>
      </c>
      <c r="C3" s="1">
        <v>65675947.75</v>
      </c>
      <c r="D3" s="1">
        <v>54786735.43</v>
      </c>
      <c r="E3" s="1">
        <v>86524171.510000005</v>
      </c>
      <c r="F3" s="1">
        <v>92496282.209999993</v>
      </c>
    </row>
    <row r="4" spans="1:6" x14ac:dyDescent="0.3">
      <c r="A4" s="32" t="s">
        <v>213</v>
      </c>
      <c r="B4" s="1">
        <v>1501435795.3</v>
      </c>
      <c r="C4" s="1">
        <v>1557518155.8199999</v>
      </c>
      <c r="D4" s="1">
        <v>1185582094.78</v>
      </c>
      <c r="E4" s="1">
        <v>1147954479.1500001</v>
      </c>
      <c r="F4" s="1">
        <v>1132832778.4200001</v>
      </c>
    </row>
    <row r="5" spans="1:6" x14ac:dyDescent="0.3">
      <c r="A5" s="32" t="s">
        <v>227</v>
      </c>
      <c r="B5" s="1">
        <f>570717525.82+20515388.98</f>
        <v>591232914.80000007</v>
      </c>
      <c r="C5" s="1">
        <f>640845876.5+21782670.99</f>
        <v>662628547.49000001</v>
      </c>
      <c r="D5" s="1">
        <f>565091828.41+86732119.33+10000</f>
        <v>651833947.74000001</v>
      </c>
      <c r="E5" s="1">
        <f>1685933940.43+85150470.67+25846427.15</f>
        <v>1796930838.2500002</v>
      </c>
      <c r="F5" s="1">
        <f>1699412987.61+88784337.86+32558819.87</f>
        <v>1820756145.3399997</v>
      </c>
    </row>
    <row r="6" spans="1:6" x14ac:dyDescent="0.3">
      <c r="A6" s="32" t="s">
        <v>228</v>
      </c>
      <c r="B6" s="1">
        <f>16750292.38+164953468.95</f>
        <v>181703761.32999998</v>
      </c>
      <c r="C6" s="1">
        <f>17938554.03+6201000+167949967.05</f>
        <v>192089521.08000001</v>
      </c>
      <c r="D6" s="1">
        <f>5732518.77+6201000+156969525.22</f>
        <v>168903043.99000001</v>
      </c>
      <c r="E6" s="1">
        <f>8110498.22+3920449+178205871.27</f>
        <v>190236818.49000001</v>
      </c>
      <c r="F6" s="1">
        <f>4115018.09+1164448.78+163694733.01</f>
        <v>168974199.88</v>
      </c>
    </row>
    <row r="7" spans="1:6" x14ac:dyDescent="0.3">
      <c r="A7" s="32" t="s">
        <v>229</v>
      </c>
      <c r="B7" s="1">
        <v>15546000</v>
      </c>
      <c r="C7" s="1">
        <v>12346000</v>
      </c>
      <c r="D7" s="1">
        <v>12346000</v>
      </c>
      <c r="E7" s="1">
        <v>17346000</v>
      </c>
      <c r="F7" s="1">
        <v>15346000</v>
      </c>
    </row>
    <row r="8" spans="1:6" x14ac:dyDescent="0.3">
      <c r="A8" s="32" t="s">
        <v>230</v>
      </c>
      <c r="B8" s="1">
        <v>371410.85</v>
      </c>
      <c r="C8" s="1">
        <v>347320.55</v>
      </c>
      <c r="D8" s="1">
        <v>344169.79</v>
      </c>
      <c r="E8" s="1">
        <v>361627.8</v>
      </c>
      <c r="F8" s="1">
        <v>393502.62</v>
      </c>
    </row>
    <row r="9" spans="1:6" x14ac:dyDescent="0.3">
      <c r="A9" s="32" t="s">
        <v>214</v>
      </c>
      <c r="B9" s="1">
        <v>799545222.16999996</v>
      </c>
      <c r="C9" s="1">
        <v>882372417.49000001</v>
      </c>
      <c r="D9" s="1">
        <v>1071024025.67</v>
      </c>
      <c r="E9" s="1">
        <v>876175504.98000002</v>
      </c>
      <c r="F9" s="1">
        <v>992361968.21000004</v>
      </c>
    </row>
    <row r="10" spans="1:6" x14ac:dyDescent="0.3">
      <c r="A10" s="99" t="s">
        <v>358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</row>
    <row r="11" spans="1:6" x14ac:dyDescent="0.3">
      <c r="A11" s="99" t="s">
        <v>361</v>
      </c>
      <c r="B11" s="1">
        <v>382903342.81999999</v>
      </c>
      <c r="C11" s="1">
        <v>438248458.93000001</v>
      </c>
      <c r="D11" s="1">
        <v>413203750.30000001</v>
      </c>
      <c r="E11" s="1">
        <v>375107929.32999998</v>
      </c>
      <c r="F11" s="1">
        <v>431172560.92000002</v>
      </c>
    </row>
    <row r="12" spans="1:6" x14ac:dyDescent="0.3">
      <c r="A12" s="32" t="s">
        <v>231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</row>
    <row r="13" spans="1:6" x14ac:dyDescent="0.3">
      <c r="A13" s="32" t="s">
        <v>215</v>
      </c>
      <c r="B13" s="1">
        <v>2517164030.9499998</v>
      </c>
      <c r="C13" s="1">
        <v>2341217994.0700002</v>
      </c>
      <c r="D13" s="1">
        <v>2331435991.8400002</v>
      </c>
      <c r="E13" s="1">
        <v>2555617929.3299999</v>
      </c>
      <c r="F13" s="1">
        <v>3750789596.7199998</v>
      </c>
    </row>
    <row r="14" spans="1:6" x14ac:dyDescent="0.3">
      <c r="A14" s="32" t="s">
        <v>216</v>
      </c>
      <c r="B14" s="1">
        <v>246374</v>
      </c>
      <c r="C14" s="1">
        <v>598779.82999999996</v>
      </c>
      <c r="D14" s="1">
        <v>149068.54</v>
      </c>
      <c r="E14" s="1">
        <v>407166.98</v>
      </c>
      <c r="F14" s="1">
        <v>90343.32</v>
      </c>
    </row>
    <row r="15" spans="1:6" x14ac:dyDescent="0.3">
      <c r="A15" s="10" t="s">
        <v>217</v>
      </c>
      <c r="B15" s="11">
        <f t="shared" ref="B15:C15" si="0">SUM(B2:B9)+SUM(B12:B14)</f>
        <v>5665202471.54</v>
      </c>
      <c r="C15" s="11">
        <f t="shared" si="0"/>
        <v>5714794684.0799999</v>
      </c>
      <c r="D15" s="11">
        <f>SUM(D2:D9)+SUM(D12:D14)</f>
        <v>5476405077.7800007</v>
      </c>
      <c r="E15" s="11">
        <f>SUM(E2:E9)+SUM(E12:E14)</f>
        <v>6671554536.4900007</v>
      </c>
      <c r="F15" s="11">
        <f>SUM(F2:F9)+SUM(F12:F14)</f>
        <v>7974040816.7199993</v>
      </c>
    </row>
    <row r="16" spans="1:6" x14ac:dyDescent="0.3">
      <c r="A16" s="32" t="s">
        <v>218</v>
      </c>
      <c r="B16" s="1">
        <v>3186961738.2600002</v>
      </c>
      <c r="C16" s="1">
        <v>3092686058.98</v>
      </c>
      <c r="D16" s="1">
        <v>3028350585.5700002</v>
      </c>
      <c r="E16" s="1">
        <v>1766813128.1900001</v>
      </c>
      <c r="F16" s="1">
        <v>1766813128.1900001</v>
      </c>
    </row>
    <row r="17" spans="1:8" x14ac:dyDescent="0.3">
      <c r="A17" s="32" t="s">
        <v>219</v>
      </c>
      <c r="B17" s="1">
        <v>1331961253.02</v>
      </c>
      <c r="C17" s="1">
        <v>1426419289.45</v>
      </c>
      <c r="D17" s="1">
        <v>763062246.97000003</v>
      </c>
      <c r="E17" s="1">
        <v>3163822195.3899999</v>
      </c>
      <c r="F17" s="1">
        <v>3457743358.4699998</v>
      </c>
    </row>
    <row r="18" spans="1:8" x14ac:dyDescent="0.3">
      <c r="A18" s="32" t="s">
        <v>220</v>
      </c>
      <c r="B18" s="1">
        <v>0</v>
      </c>
      <c r="C18" s="1">
        <v>-305767094.88</v>
      </c>
      <c r="D18" s="1">
        <v>-25758920.780000001</v>
      </c>
      <c r="E18" s="1">
        <v>273235347.52999997</v>
      </c>
      <c r="F18" s="1">
        <v>279834259.95999998</v>
      </c>
    </row>
    <row r="19" spans="1:8" x14ac:dyDescent="0.3">
      <c r="A19" s="32" t="s">
        <v>221</v>
      </c>
      <c r="B19" s="1">
        <v>314635205.18000001</v>
      </c>
      <c r="C19" s="1">
        <v>346294782.29000002</v>
      </c>
      <c r="D19" s="1">
        <v>354331684.68000001</v>
      </c>
      <c r="E19" s="1">
        <v>540045695.22000003</v>
      </c>
      <c r="F19" s="1">
        <f>1195575025.89+1270598.9</f>
        <v>1196845624.7900002</v>
      </c>
    </row>
    <row r="20" spans="1:8" x14ac:dyDescent="0.3">
      <c r="A20" s="32" t="s">
        <v>208</v>
      </c>
      <c r="B20" s="1">
        <f>343363067.13+66069894</f>
        <v>409432961.13</v>
      </c>
      <c r="C20" s="1">
        <f>245930347.39+780000+122601016.66</f>
        <v>369311364.04999995</v>
      </c>
      <c r="D20" s="1">
        <f>200009049.54+650000+188941357.55</f>
        <v>389600407.09000003</v>
      </c>
      <c r="E20" s="1">
        <f>113550318.74+520000+226648004.45</f>
        <v>340718323.19</v>
      </c>
      <c r="F20" s="1">
        <f>54167363.8+390000+263551772.76</f>
        <v>318109136.56</v>
      </c>
      <c r="G20" s="1"/>
    </row>
    <row r="21" spans="1:8" x14ac:dyDescent="0.3">
      <c r="A21" s="32" t="s">
        <v>222</v>
      </c>
      <c r="B21" s="1">
        <v>97900735.409999996</v>
      </c>
      <c r="C21" s="1">
        <v>106931117.77</v>
      </c>
      <c r="D21" s="1">
        <v>116852802.16</v>
      </c>
      <c r="E21" s="1">
        <v>110976497.72</v>
      </c>
      <c r="F21" s="1">
        <v>121796680.84</v>
      </c>
    </row>
    <row r="22" spans="1:8" x14ac:dyDescent="0.3">
      <c r="A22" s="32" t="s">
        <v>223</v>
      </c>
      <c r="B22" s="1">
        <f>B23+B24+8627447.22+41035486.28</f>
        <v>300057891.06999999</v>
      </c>
      <c r="C22" s="1">
        <f>C23+C24+5386208.3+28460821.52</f>
        <v>637050519.04999995</v>
      </c>
      <c r="D22" s="1">
        <f>716873205.79+33409679.79+34371953.33</f>
        <v>784654838.90999997</v>
      </c>
      <c r="E22" s="1">
        <f>377694139.17+10444433.11+30382673.05</f>
        <v>418521245.33000004</v>
      </c>
      <c r="F22" s="1">
        <f>660769562.46+18069389.09+1273312.87+33261213.81</f>
        <v>713373478.23000002</v>
      </c>
    </row>
    <row r="23" spans="1:8" x14ac:dyDescent="0.3">
      <c r="A23" s="99" t="s">
        <v>359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</row>
    <row r="24" spans="1:8" x14ac:dyDescent="0.3">
      <c r="A24" s="99" t="s">
        <v>360</v>
      </c>
      <c r="B24" s="1">
        <v>250394957.56999999</v>
      </c>
      <c r="C24" s="1">
        <f>603203489.23</f>
        <v>603203489.23000002</v>
      </c>
      <c r="D24" s="1">
        <v>716873205.78999996</v>
      </c>
      <c r="E24" s="1">
        <v>377694139.17000002</v>
      </c>
      <c r="F24" s="1">
        <f>660769562.46</f>
        <v>660769562.46000004</v>
      </c>
    </row>
    <row r="25" spans="1:8" x14ac:dyDescent="0.3">
      <c r="A25" s="32" t="s">
        <v>224</v>
      </c>
      <c r="B25" s="1">
        <f>11396507.38+101499.72+12708496.61</f>
        <v>24206503.710000001</v>
      </c>
      <c r="C25" s="1">
        <f>24203148.36+1749079.58+15872735.21</f>
        <v>41824963.149999999</v>
      </c>
      <c r="D25" s="1">
        <f>32624292.44+2582155.88+29143504.68+19840.32</f>
        <v>64369793.32</v>
      </c>
      <c r="E25" s="1">
        <f>39234+36802782.87+3813387.71+15370964.25</f>
        <v>56026368.829999998</v>
      </c>
      <c r="F25" s="1">
        <f>77168.7+39010047.08+6477276+19555887.89</f>
        <v>65120379.670000002</v>
      </c>
      <c r="G25" s="1"/>
      <c r="H25" s="1"/>
    </row>
    <row r="26" spans="1:8" x14ac:dyDescent="0.3">
      <c r="A26" s="32" t="s">
        <v>225</v>
      </c>
      <c r="B26" s="1">
        <v>46183.76</v>
      </c>
      <c r="C26" s="1">
        <v>43684.22</v>
      </c>
      <c r="D26" s="1">
        <v>941639.86</v>
      </c>
      <c r="E26" s="1">
        <v>1395735.09</v>
      </c>
      <c r="F26" s="1">
        <v>54404770.210000001</v>
      </c>
    </row>
    <row r="27" spans="1:8" x14ac:dyDescent="0.3">
      <c r="A27" s="72" t="s">
        <v>226</v>
      </c>
      <c r="B27" s="3">
        <f t="shared" ref="B27:C27" si="1">SUM(B16:B26)-B23-B24</f>
        <v>5665202471.5400009</v>
      </c>
      <c r="C27" s="3">
        <f t="shared" si="1"/>
        <v>5714794684.0799999</v>
      </c>
      <c r="D27" s="3">
        <f>SUM(D16:D26)-D23-D24</f>
        <v>5476405077.7799988</v>
      </c>
      <c r="E27" s="3">
        <f>SUM(E16:E26)-E23-E24</f>
        <v>6671554536.4899998</v>
      </c>
      <c r="F27" s="3">
        <f>SUM(F16:F26)-F23-F24</f>
        <v>7974040816.920001</v>
      </c>
    </row>
    <row r="28" spans="1:8" x14ac:dyDescent="0.3">
      <c r="A28" s="10" t="s">
        <v>265</v>
      </c>
      <c r="B28" s="11">
        <f>B16+B17+B18</f>
        <v>4518922991.2800007</v>
      </c>
      <c r="C28" s="11">
        <f>C16+C17+C18</f>
        <v>4213338253.5500002</v>
      </c>
      <c r="D28" s="11">
        <f>D16+D17+D18</f>
        <v>3765653911.7599998</v>
      </c>
      <c r="E28" s="11">
        <f>E16+E17+E18</f>
        <v>5203870671.1099997</v>
      </c>
      <c r="F28" s="11">
        <f>F16+F17+F18</f>
        <v>5504390746.6199999</v>
      </c>
    </row>
    <row r="29" spans="1:8" x14ac:dyDescent="0.3">
      <c r="D29" s="6">
        <f>D28/D27*100</f>
        <v>68.761420279861838</v>
      </c>
      <c r="E29" s="6">
        <f>E28/E27*100</f>
        <v>78.000871350859555</v>
      </c>
      <c r="F29" s="6">
        <f>F28/F27*100</f>
        <v>69.02887598644233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1"/>
  <sheetViews>
    <sheetView topLeftCell="A215" zoomScale="99" zoomScaleNormal="99" workbookViewId="0">
      <selection activeCell="H92" sqref="H92:H95"/>
    </sheetView>
  </sheetViews>
  <sheetFormatPr defaultRowHeight="14.4" x14ac:dyDescent="0.3"/>
  <cols>
    <col min="2" max="2" width="83.33203125" bestFit="1" customWidth="1"/>
    <col min="3" max="3" width="11.88671875" customWidth="1"/>
  </cols>
  <sheetData>
    <row r="1" spans="1:8" x14ac:dyDescent="0.3">
      <c r="A1" s="114" t="s">
        <v>209</v>
      </c>
      <c r="B1" s="114"/>
      <c r="C1" s="2" t="s">
        <v>210</v>
      </c>
      <c r="D1" s="97">
        <v>2016</v>
      </c>
      <c r="E1" s="97">
        <v>2017</v>
      </c>
      <c r="F1" s="97">
        <v>2018</v>
      </c>
      <c r="G1" s="97">
        <v>2019</v>
      </c>
      <c r="H1" s="97">
        <v>2020</v>
      </c>
    </row>
    <row r="2" spans="1:8" x14ac:dyDescent="0.3">
      <c r="A2" t="s">
        <v>76</v>
      </c>
    </row>
    <row r="3" spans="1:8" x14ac:dyDescent="0.3">
      <c r="A3" s="8" t="s">
        <v>77</v>
      </c>
      <c r="B3" s="8" t="s">
        <v>78</v>
      </c>
      <c r="C3" s="9">
        <v>48</v>
      </c>
      <c r="D3" s="7">
        <v>5.1100000000000003</v>
      </c>
      <c r="E3" s="7">
        <v>5.09</v>
      </c>
      <c r="F3" s="7">
        <v>4.88</v>
      </c>
      <c r="G3" s="7">
        <v>4.99</v>
      </c>
      <c r="H3" s="7">
        <v>3.93</v>
      </c>
    </row>
    <row r="4" spans="1:8" x14ac:dyDescent="0.3">
      <c r="A4" t="s">
        <v>79</v>
      </c>
      <c r="D4" s="7"/>
      <c r="E4" s="7"/>
      <c r="F4" s="7"/>
      <c r="G4" s="7"/>
      <c r="H4" s="7"/>
    </row>
    <row r="5" spans="1:8" x14ac:dyDescent="0.3">
      <c r="A5" t="s">
        <v>80</v>
      </c>
      <c r="B5" t="s">
        <v>81</v>
      </c>
      <c r="D5" s="7">
        <v>105.9</v>
      </c>
      <c r="E5" s="7">
        <v>101.92</v>
      </c>
      <c r="F5" s="7">
        <v>104.16</v>
      </c>
      <c r="G5" s="7">
        <v>107.41</v>
      </c>
      <c r="H5" s="7">
        <v>121.82</v>
      </c>
    </row>
    <row r="6" spans="1:8" x14ac:dyDescent="0.3">
      <c r="A6" t="s">
        <v>82</v>
      </c>
      <c r="B6" t="s">
        <v>83</v>
      </c>
      <c r="D6" s="7">
        <v>95.18</v>
      </c>
      <c r="E6" s="7">
        <v>95.77</v>
      </c>
      <c r="F6" s="7">
        <v>86.18</v>
      </c>
      <c r="G6" s="7">
        <v>86.44</v>
      </c>
      <c r="H6" s="7">
        <v>105.04</v>
      </c>
    </row>
    <row r="7" spans="1:8" x14ac:dyDescent="0.3">
      <c r="A7" t="s">
        <v>84</v>
      </c>
      <c r="B7" t="s">
        <v>85</v>
      </c>
      <c r="D7" s="7">
        <v>100.01</v>
      </c>
      <c r="E7" s="7">
        <v>94.93</v>
      </c>
      <c r="F7" s="7">
        <v>98.54</v>
      </c>
      <c r="G7" s="7">
        <v>101.65</v>
      </c>
      <c r="H7" s="7">
        <v>111.48</v>
      </c>
    </row>
    <row r="8" spans="1:8" x14ac:dyDescent="0.3">
      <c r="A8" t="s">
        <v>86</v>
      </c>
      <c r="B8" t="s">
        <v>87</v>
      </c>
      <c r="D8" s="7">
        <v>89.88</v>
      </c>
      <c r="E8" s="7">
        <v>89.19</v>
      </c>
      <c r="F8" s="7">
        <v>81.53</v>
      </c>
      <c r="G8" s="7">
        <v>81.8</v>
      </c>
      <c r="H8" s="7">
        <v>96.13</v>
      </c>
    </row>
    <row r="9" spans="1:8" x14ac:dyDescent="0.3">
      <c r="A9" t="s">
        <v>88</v>
      </c>
      <c r="B9" t="s">
        <v>89</v>
      </c>
      <c r="D9" s="7">
        <v>111.24</v>
      </c>
      <c r="E9" s="7">
        <v>103.66</v>
      </c>
      <c r="F9" s="7">
        <v>97.21</v>
      </c>
      <c r="G9" s="7">
        <v>88.3</v>
      </c>
      <c r="H9" s="7">
        <v>101.57</v>
      </c>
    </row>
    <row r="10" spans="1:8" x14ac:dyDescent="0.3">
      <c r="A10" t="s">
        <v>90</v>
      </c>
      <c r="B10" t="s">
        <v>91</v>
      </c>
      <c r="D10" s="7">
        <v>100.29</v>
      </c>
      <c r="E10" s="7">
        <v>99.04</v>
      </c>
      <c r="F10" s="7">
        <v>78.94</v>
      </c>
      <c r="G10" s="7">
        <v>82.81</v>
      </c>
      <c r="H10" s="7">
        <v>97.43</v>
      </c>
    </row>
    <row r="11" spans="1:8" x14ac:dyDescent="0.3">
      <c r="A11" t="s">
        <v>92</v>
      </c>
      <c r="B11" t="s">
        <v>93</v>
      </c>
      <c r="D11" s="7">
        <v>103.77</v>
      </c>
      <c r="E11" s="7">
        <v>97.97</v>
      </c>
      <c r="F11" s="7">
        <v>91.06</v>
      </c>
      <c r="G11" s="7">
        <v>83.1</v>
      </c>
      <c r="H11" s="7">
        <v>93.13</v>
      </c>
    </row>
    <row r="12" spans="1:8" x14ac:dyDescent="0.3">
      <c r="A12" s="8" t="s">
        <v>94</v>
      </c>
      <c r="B12" s="8" t="s">
        <v>95</v>
      </c>
      <c r="C12" s="9">
        <v>22</v>
      </c>
      <c r="D12" s="7">
        <v>93.55</v>
      </c>
      <c r="E12" s="7">
        <v>94.36</v>
      </c>
      <c r="F12" s="7">
        <v>73.94</v>
      </c>
      <c r="G12" s="7">
        <v>77.930000000000007</v>
      </c>
      <c r="H12" s="7">
        <v>89.33</v>
      </c>
    </row>
    <row r="13" spans="1:8" x14ac:dyDescent="0.3">
      <c r="A13" t="s">
        <v>96</v>
      </c>
      <c r="D13" s="7"/>
      <c r="E13" s="7"/>
      <c r="F13" s="7"/>
      <c r="G13" s="7"/>
      <c r="H13" s="7"/>
    </row>
    <row r="14" spans="1:8" x14ac:dyDescent="0.3">
      <c r="A14" t="s">
        <v>97</v>
      </c>
      <c r="B14" t="s">
        <v>98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</row>
    <row r="15" spans="1:8" x14ac:dyDescent="0.3">
      <c r="A15" s="8" t="s">
        <v>99</v>
      </c>
      <c r="B15" s="8" t="s">
        <v>100</v>
      </c>
      <c r="C15" s="9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</row>
    <row r="16" spans="1:8" x14ac:dyDescent="0.3">
      <c r="A16" t="s">
        <v>101</v>
      </c>
      <c r="D16" s="7"/>
      <c r="E16" s="7"/>
      <c r="F16" s="7"/>
      <c r="G16" s="7"/>
      <c r="H16" s="7"/>
    </row>
    <row r="17" spans="1:8" x14ac:dyDescent="0.3">
      <c r="A17" t="s">
        <v>102</v>
      </c>
      <c r="B17" t="s">
        <v>103</v>
      </c>
      <c r="D17" s="7">
        <v>3.27</v>
      </c>
      <c r="E17" s="7">
        <v>3.37</v>
      </c>
      <c r="F17" s="7">
        <v>3.51</v>
      </c>
      <c r="G17" s="7">
        <v>3.75</v>
      </c>
      <c r="H17" s="7">
        <v>3.5</v>
      </c>
    </row>
    <row r="18" spans="1:8" x14ac:dyDescent="0.3">
      <c r="A18" t="s">
        <v>104</v>
      </c>
      <c r="B18" t="s">
        <v>105</v>
      </c>
      <c r="D18" s="7">
        <v>3.94</v>
      </c>
      <c r="E18" s="7">
        <v>4.49</v>
      </c>
      <c r="F18" s="7">
        <v>4.42</v>
      </c>
      <c r="G18" s="7">
        <v>6.59</v>
      </c>
      <c r="H18" s="7">
        <v>5.65</v>
      </c>
    </row>
    <row r="19" spans="1:8" x14ac:dyDescent="0.3">
      <c r="A19" t="s">
        <v>106</v>
      </c>
      <c r="B19" t="s">
        <v>107</v>
      </c>
      <c r="D19" s="7">
        <v>3.38</v>
      </c>
      <c r="E19" s="7">
        <v>2.89</v>
      </c>
      <c r="F19" s="7">
        <v>3.06</v>
      </c>
      <c r="G19" s="7">
        <v>4.58</v>
      </c>
      <c r="H19" s="7">
        <v>5.18</v>
      </c>
    </row>
    <row r="20" spans="1:8" x14ac:dyDescent="0.3">
      <c r="A20" t="s">
        <v>108</v>
      </c>
      <c r="B20" t="s">
        <v>109</v>
      </c>
      <c r="D20" s="7">
        <v>151.5</v>
      </c>
      <c r="E20" s="7">
        <v>167.08</v>
      </c>
      <c r="F20" s="7">
        <v>173.17</v>
      </c>
      <c r="G20" s="7">
        <v>173.07</v>
      </c>
      <c r="H20" s="7">
        <v>158.02000000000001</v>
      </c>
    </row>
    <row r="21" spans="1:8" x14ac:dyDescent="0.3">
      <c r="A21" t="s">
        <v>110</v>
      </c>
      <c r="D21" s="7"/>
      <c r="E21" s="7"/>
      <c r="F21" s="7"/>
      <c r="G21" s="7"/>
      <c r="H21" s="7"/>
    </row>
    <row r="22" spans="1:8" x14ac:dyDescent="0.3">
      <c r="A22" t="s">
        <v>111</v>
      </c>
      <c r="B22" t="s">
        <v>112</v>
      </c>
      <c r="D22" s="7">
        <v>1.41</v>
      </c>
      <c r="E22" s="7">
        <v>2.0299999999999998</v>
      </c>
      <c r="F22" s="7">
        <v>3.27</v>
      </c>
      <c r="G22" s="7">
        <v>3.71</v>
      </c>
      <c r="H22" s="7">
        <v>3.68</v>
      </c>
    </row>
    <row r="23" spans="1:8" x14ac:dyDescent="0.3">
      <c r="A23" t="s">
        <v>113</v>
      </c>
      <c r="D23" s="7"/>
      <c r="E23" s="7"/>
      <c r="F23" s="7"/>
      <c r="G23" s="7"/>
      <c r="H23" s="7"/>
    </row>
    <row r="24" spans="1:8" x14ac:dyDescent="0.3">
      <c r="A24" t="s">
        <v>114</v>
      </c>
      <c r="B24" t="s">
        <v>115</v>
      </c>
      <c r="D24" s="7">
        <v>0.28000000000000003</v>
      </c>
      <c r="E24" s="7">
        <v>0.24</v>
      </c>
      <c r="F24" s="7">
        <v>0.24</v>
      </c>
      <c r="G24" s="7">
        <v>0.21</v>
      </c>
      <c r="H24" s="7">
        <v>0.16</v>
      </c>
    </row>
    <row r="25" spans="1:8" x14ac:dyDescent="0.3">
      <c r="A25" t="s">
        <v>116</v>
      </c>
      <c r="B25" t="s">
        <v>117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</row>
    <row r="26" spans="1:8" x14ac:dyDescent="0.3">
      <c r="A26" t="s">
        <v>118</v>
      </c>
      <c r="B26" t="s">
        <v>119</v>
      </c>
      <c r="D26" s="7">
        <v>0</v>
      </c>
      <c r="E26" s="7">
        <v>0</v>
      </c>
      <c r="F26" s="7">
        <v>0</v>
      </c>
      <c r="G26" s="7">
        <v>0.5</v>
      </c>
      <c r="H26" s="7">
        <v>0.7</v>
      </c>
    </row>
    <row r="27" spans="1:8" x14ac:dyDescent="0.3">
      <c r="A27" t="s">
        <v>120</v>
      </c>
      <c r="D27" s="7"/>
      <c r="E27" s="7"/>
      <c r="F27" s="7"/>
      <c r="G27" s="7"/>
      <c r="H27" s="7"/>
    </row>
    <row r="28" spans="1:8" x14ac:dyDescent="0.3">
      <c r="A28" t="s">
        <v>121</v>
      </c>
      <c r="B28" t="s">
        <v>122</v>
      </c>
      <c r="D28" s="7">
        <v>11.3</v>
      </c>
      <c r="E28" s="7">
        <v>11.68</v>
      </c>
      <c r="F28" s="7">
        <v>11.92</v>
      </c>
      <c r="G28" s="7">
        <v>12.52</v>
      </c>
      <c r="H28" s="7">
        <v>13.29</v>
      </c>
    </row>
    <row r="29" spans="1:8" x14ac:dyDescent="0.3">
      <c r="A29" t="s">
        <v>123</v>
      </c>
      <c r="B29" t="s">
        <v>124</v>
      </c>
      <c r="D29" s="7">
        <v>36.32</v>
      </c>
      <c r="E29" s="7">
        <v>48.86</v>
      </c>
      <c r="F29" s="7">
        <v>62.89</v>
      </c>
      <c r="G29" s="7">
        <v>38.93</v>
      </c>
      <c r="H29" s="7">
        <v>40.520000000000003</v>
      </c>
    </row>
    <row r="30" spans="1:8" x14ac:dyDescent="0.3">
      <c r="A30" t="s">
        <v>125</v>
      </c>
      <c r="B30" t="s">
        <v>126</v>
      </c>
      <c r="D30" s="7">
        <v>555.82000000000005</v>
      </c>
      <c r="E30" s="7">
        <v>612.71</v>
      </c>
      <c r="F30" s="7">
        <v>610.21</v>
      </c>
      <c r="G30" s="7">
        <v>624.59</v>
      </c>
      <c r="H30" s="7">
        <v>650.52</v>
      </c>
    </row>
    <row r="31" spans="1:8" x14ac:dyDescent="0.3">
      <c r="A31" t="s">
        <v>127</v>
      </c>
      <c r="B31" t="s">
        <v>128</v>
      </c>
      <c r="D31" s="7">
        <v>592.14</v>
      </c>
      <c r="E31" s="7">
        <v>661.57</v>
      </c>
      <c r="F31" s="7">
        <v>673.11</v>
      </c>
      <c r="G31" s="7">
        <v>663.52</v>
      </c>
      <c r="H31" s="7">
        <v>691.04</v>
      </c>
    </row>
    <row r="32" spans="1:8" x14ac:dyDescent="0.3">
      <c r="A32" t="s">
        <v>129</v>
      </c>
      <c r="B32" t="s">
        <v>130</v>
      </c>
      <c r="D32" s="7">
        <v>37.49</v>
      </c>
      <c r="E32" s="7">
        <v>31.49</v>
      </c>
      <c r="F32" s="7">
        <v>24.58</v>
      </c>
      <c r="G32" s="7">
        <v>68.650000000000006</v>
      </c>
      <c r="H32" s="7">
        <v>74.099999999999994</v>
      </c>
    </row>
    <row r="33" spans="1:8" x14ac:dyDescent="0.3">
      <c r="A33" t="s">
        <v>131</v>
      </c>
      <c r="B33" t="s">
        <v>132</v>
      </c>
      <c r="D33" s="7">
        <v>1.75</v>
      </c>
      <c r="E33" s="7">
        <v>0</v>
      </c>
      <c r="F33" s="7">
        <v>4.79</v>
      </c>
      <c r="G33" s="7">
        <v>10.61</v>
      </c>
      <c r="H33" s="7">
        <v>2.36</v>
      </c>
    </row>
    <row r="34" spans="1:8" x14ac:dyDescent="0.3">
      <c r="A34" t="s">
        <v>133</v>
      </c>
      <c r="B34" t="s">
        <v>134</v>
      </c>
      <c r="D34" s="7">
        <v>0</v>
      </c>
      <c r="E34" s="7">
        <v>3.23</v>
      </c>
      <c r="F34" s="7">
        <v>5.74</v>
      </c>
      <c r="G34" s="7">
        <v>6.79</v>
      </c>
      <c r="H34" s="7">
        <v>6.92</v>
      </c>
    </row>
    <row r="35" spans="1:8" x14ac:dyDescent="0.3">
      <c r="A35" t="s">
        <v>135</v>
      </c>
      <c r="D35" s="7"/>
      <c r="E35" s="7"/>
      <c r="F35" s="7"/>
      <c r="G35" s="7"/>
      <c r="H35" s="7"/>
    </row>
    <row r="36" spans="1:8" x14ac:dyDescent="0.3">
      <c r="A36" t="s">
        <v>136</v>
      </c>
      <c r="B36" t="s">
        <v>137</v>
      </c>
      <c r="D36" s="7">
        <v>94.6</v>
      </c>
      <c r="E36" s="7">
        <v>90.94</v>
      </c>
      <c r="F36" s="7">
        <v>90.6</v>
      </c>
      <c r="G36" s="7">
        <v>69</v>
      </c>
      <c r="H36" s="7">
        <v>88.65</v>
      </c>
    </row>
    <row r="37" spans="1:8" x14ac:dyDescent="0.3">
      <c r="A37" t="s">
        <v>138</v>
      </c>
      <c r="B37" t="s">
        <v>139</v>
      </c>
      <c r="D37" s="7">
        <v>93.99</v>
      </c>
      <c r="E37" s="7">
        <v>64.569999999999993</v>
      </c>
      <c r="F37" s="7">
        <v>61.73</v>
      </c>
      <c r="G37" s="7">
        <v>49.02</v>
      </c>
      <c r="H37" s="7">
        <v>41.45</v>
      </c>
    </row>
    <row r="38" spans="1:8" x14ac:dyDescent="0.3">
      <c r="A38" t="s">
        <v>140</v>
      </c>
      <c r="B38" t="s">
        <v>141</v>
      </c>
      <c r="D38" s="7">
        <v>32.36</v>
      </c>
      <c r="E38" s="7">
        <v>52.25</v>
      </c>
      <c r="F38" s="7">
        <v>68.55</v>
      </c>
      <c r="G38" s="7">
        <v>100</v>
      </c>
      <c r="H38" s="7">
        <v>25.07</v>
      </c>
    </row>
    <row r="39" spans="1:8" x14ac:dyDescent="0.3">
      <c r="A39" t="s">
        <v>142</v>
      </c>
      <c r="B39" t="s">
        <v>143</v>
      </c>
      <c r="D39" s="7">
        <v>61.29</v>
      </c>
      <c r="E39" s="7">
        <v>72.400000000000006</v>
      </c>
      <c r="F39" s="7">
        <v>79.209999999999994</v>
      </c>
      <c r="G39" s="7">
        <v>65.45</v>
      </c>
      <c r="H39" s="7">
        <v>74.63</v>
      </c>
    </row>
    <row r="40" spans="1:8" x14ac:dyDescent="0.3">
      <c r="A40" t="s">
        <v>144</v>
      </c>
      <c r="B40" t="s">
        <v>145</v>
      </c>
      <c r="D40" s="7">
        <v>17.29</v>
      </c>
      <c r="E40" s="7">
        <v>10.38</v>
      </c>
      <c r="F40" s="7">
        <v>19.190000000000001</v>
      </c>
      <c r="G40" s="7">
        <v>22.29</v>
      </c>
      <c r="H40" s="7">
        <v>21.72</v>
      </c>
    </row>
    <row r="41" spans="1:8" x14ac:dyDescent="0.3">
      <c r="A41" t="s">
        <v>146</v>
      </c>
      <c r="B41" t="s">
        <v>147</v>
      </c>
      <c r="D41" s="7">
        <v>30.11</v>
      </c>
      <c r="E41" s="7">
        <v>59.6</v>
      </c>
      <c r="F41" s="7">
        <v>39.659999999999997</v>
      </c>
      <c r="G41" s="7">
        <v>3.18</v>
      </c>
      <c r="H41" s="7">
        <v>11.98</v>
      </c>
    </row>
    <row r="42" spans="1:8" x14ac:dyDescent="0.3">
      <c r="A42" t="s">
        <v>148</v>
      </c>
      <c r="D42" s="7"/>
      <c r="E42" s="7"/>
      <c r="F42" s="7"/>
      <c r="G42" s="7"/>
      <c r="H42" s="7"/>
    </row>
    <row r="43" spans="1:8" x14ac:dyDescent="0.3">
      <c r="A43" t="s">
        <v>149</v>
      </c>
      <c r="B43" t="s">
        <v>150</v>
      </c>
      <c r="D43" s="7">
        <v>71.97</v>
      </c>
      <c r="E43" s="7">
        <v>66.569999999999993</v>
      </c>
      <c r="F43" s="7">
        <v>80.349999999999994</v>
      </c>
      <c r="G43" s="7">
        <v>80.38</v>
      </c>
      <c r="H43" s="7">
        <v>79.11</v>
      </c>
    </row>
    <row r="44" spans="1:8" x14ac:dyDescent="0.3">
      <c r="A44" t="s">
        <v>151</v>
      </c>
      <c r="B44" t="s">
        <v>152</v>
      </c>
      <c r="D44" s="7">
        <v>30.74</v>
      </c>
      <c r="E44" s="7">
        <v>73.09</v>
      </c>
      <c r="F44" s="7">
        <v>83.32</v>
      </c>
      <c r="G44" s="7">
        <v>76.12</v>
      </c>
      <c r="H44" s="7">
        <v>74.02</v>
      </c>
    </row>
    <row r="45" spans="1:8" x14ac:dyDescent="0.3">
      <c r="A45" t="s">
        <v>153</v>
      </c>
      <c r="B45" t="s">
        <v>154</v>
      </c>
      <c r="D45" s="7">
        <v>95.46</v>
      </c>
      <c r="E45" s="7">
        <v>92.99</v>
      </c>
      <c r="F45" s="7">
        <v>90.29</v>
      </c>
      <c r="G45" s="7">
        <v>96.69</v>
      </c>
      <c r="H45" s="7">
        <v>92.37</v>
      </c>
    </row>
    <row r="46" spans="1:8" x14ac:dyDescent="0.3">
      <c r="A46" t="s">
        <v>155</v>
      </c>
      <c r="B46" t="s">
        <v>156</v>
      </c>
      <c r="D46" s="7">
        <v>12.97</v>
      </c>
      <c r="E46" s="7">
        <v>48.14</v>
      </c>
      <c r="F46" s="7">
        <v>64.73</v>
      </c>
      <c r="G46" s="7">
        <v>69.59</v>
      </c>
      <c r="H46" s="7">
        <v>21.71</v>
      </c>
    </row>
    <row r="47" spans="1:8" x14ac:dyDescent="0.3">
      <c r="A47" t="s">
        <v>157</v>
      </c>
      <c r="B47" t="s">
        <v>158</v>
      </c>
      <c r="D47" s="7">
        <v>-10</v>
      </c>
      <c r="E47" s="7">
        <v>-13</v>
      </c>
      <c r="F47" s="7">
        <v>-10</v>
      </c>
      <c r="G47" s="7">
        <v>-13.67</v>
      </c>
      <c r="H47" s="7">
        <v>-20.18</v>
      </c>
    </row>
    <row r="48" spans="1:8" x14ac:dyDescent="0.3">
      <c r="A48" t="s">
        <v>159</v>
      </c>
      <c r="D48" s="7"/>
      <c r="E48" s="7"/>
      <c r="F48" s="7"/>
      <c r="G48" s="7"/>
      <c r="H48" s="7"/>
    </row>
    <row r="49" spans="1:8" x14ac:dyDescent="0.3">
      <c r="A49" t="s">
        <v>160</v>
      </c>
      <c r="B49" t="s">
        <v>161</v>
      </c>
      <c r="D49" s="7">
        <v>0</v>
      </c>
      <c r="E49" s="7">
        <v>0</v>
      </c>
      <c r="F49" s="7">
        <v>0.05</v>
      </c>
      <c r="G49" s="7">
        <v>0</v>
      </c>
      <c r="H49" s="7">
        <v>0</v>
      </c>
    </row>
    <row r="50" spans="1:8" x14ac:dyDescent="0.3">
      <c r="A50" t="s">
        <v>162</v>
      </c>
      <c r="B50" t="s">
        <v>163</v>
      </c>
      <c r="D50" s="7">
        <v>23.73</v>
      </c>
      <c r="E50" s="7">
        <v>28.6</v>
      </c>
      <c r="F50" s="7">
        <v>26.66</v>
      </c>
      <c r="G50" s="7">
        <v>31.18</v>
      </c>
      <c r="H50" s="7">
        <v>24.11</v>
      </c>
    </row>
    <row r="51" spans="1:8" x14ac:dyDescent="0.3">
      <c r="A51" s="8" t="s">
        <v>164</v>
      </c>
      <c r="B51" s="8" t="s">
        <v>165</v>
      </c>
      <c r="C51" s="9">
        <v>16</v>
      </c>
      <c r="D51" s="7">
        <v>1.76</v>
      </c>
      <c r="E51" s="7">
        <v>1.82</v>
      </c>
      <c r="F51" s="7">
        <v>1.64</v>
      </c>
      <c r="G51" s="7">
        <v>1.74</v>
      </c>
      <c r="H51" s="7">
        <v>1.23</v>
      </c>
    </row>
    <row r="52" spans="1:8" x14ac:dyDescent="0.3">
      <c r="A52" t="s">
        <v>166</v>
      </c>
      <c r="B52" t="s">
        <v>167</v>
      </c>
      <c r="D52" s="7">
        <v>426.7</v>
      </c>
      <c r="E52" s="7">
        <v>330.16</v>
      </c>
      <c r="F52" s="7">
        <v>303.89999999999998</v>
      </c>
      <c r="G52" s="7">
        <v>280.38</v>
      </c>
      <c r="H52" s="7">
        <v>262.61</v>
      </c>
    </row>
    <row r="53" spans="1:8" x14ac:dyDescent="0.3">
      <c r="A53" t="s">
        <v>168</v>
      </c>
      <c r="D53" s="7">
        <v>27.008847427878834</v>
      </c>
      <c r="E53" s="7">
        <v>6.4071687997874678</v>
      </c>
      <c r="F53" s="7">
        <v>12.586243932497519</v>
      </c>
      <c r="G53" s="7">
        <v>19.501246451897906</v>
      </c>
      <c r="H53" s="7">
        <v>17.220572431743708</v>
      </c>
    </row>
    <row r="54" spans="1:8" x14ac:dyDescent="0.3">
      <c r="A54" t="s">
        <v>169</v>
      </c>
      <c r="B54" t="s">
        <v>170</v>
      </c>
      <c r="D54" s="7">
        <v>27.008847427878834</v>
      </c>
      <c r="E54" s="7">
        <v>5.0747253776967307</v>
      </c>
      <c r="F54" s="7">
        <v>12.586187290533701</v>
      </c>
      <c r="G54" s="7">
        <v>19.088813647848028</v>
      </c>
      <c r="H54" s="7">
        <v>16.979178684395997</v>
      </c>
    </row>
    <row r="55" spans="1:8" x14ac:dyDescent="0.3">
      <c r="A55" t="s">
        <v>171</v>
      </c>
      <c r="B55" t="s">
        <v>172</v>
      </c>
      <c r="D55" s="7">
        <v>0</v>
      </c>
      <c r="E55" s="7">
        <v>1.3324434220907371</v>
      </c>
      <c r="F55" s="7">
        <v>5.6641963818369579E-5</v>
      </c>
      <c r="G55" s="7">
        <v>0.41243280404987842</v>
      </c>
      <c r="H55" s="7">
        <v>0.24139374734771143</v>
      </c>
    </row>
    <row r="56" spans="1:8" x14ac:dyDescent="0.3">
      <c r="A56" t="s">
        <v>173</v>
      </c>
      <c r="B56" t="s">
        <v>174</v>
      </c>
      <c r="D56" s="7">
        <v>28.705287541814904</v>
      </c>
      <c r="E56" s="7">
        <v>61.738193030094145</v>
      </c>
      <c r="F56" s="7">
        <v>54.341912681874149</v>
      </c>
      <c r="G56" s="7">
        <v>52.024461489434678</v>
      </c>
      <c r="H56" s="7">
        <v>57.613386004502978</v>
      </c>
    </row>
    <row r="57" spans="1:8" x14ac:dyDescent="0.3">
      <c r="A57" t="s">
        <v>175</v>
      </c>
      <c r="B57" t="s">
        <v>176</v>
      </c>
      <c r="D57" s="7">
        <v>44.285865030306262</v>
      </c>
      <c r="E57" s="7">
        <v>31.854638170118381</v>
      </c>
      <c r="F57" s="7">
        <v>33.071843385628334</v>
      </c>
      <c r="G57" s="7">
        <v>28.474292058667416</v>
      </c>
      <c r="H57" s="7">
        <v>25.166041563753318</v>
      </c>
    </row>
    <row r="58" spans="1:8" x14ac:dyDescent="0.3">
      <c r="A58" t="s">
        <v>177</v>
      </c>
      <c r="D58" s="7"/>
      <c r="E58" s="7"/>
      <c r="F58" s="7"/>
      <c r="G58" s="7"/>
      <c r="H58" s="7"/>
    </row>
    <row r="59" spans="1:8" x14ac:dyDescent="0.3">
      <c r="A59" t="s">
        <v>178</v>
      </c>
      <c r="B59" t="s">
        <v>179</v>
      </c>
      <c r="D59" s="7">
        <v>0</v>
      </c>
      <c r="E59" s="7">
        <v>0</v>
      </c>
      <c r="F59" s="7">
        <v>0</v>
      </c>
      <c r="G59" s="7" t="s">
        <v>372</v>
      </c>
      <c r="H59" s="7" t="s">
        <v>372</v>
      </c>
    </row>
    <row r="60" spans="1:8" x14ac:dyDescent="0.3">
      <c r="A60" t="s">
        <v>180</v>
      </c>
      <c r="B60" t="s">
        <v>181</v>
      </c>
      <c r="D60" s="7"/>
      <c r="E60" s="7"/>
      <c r="F60" s="7"/>
      <c r="G60" s="7" t="s">
        <v>372</v>
      </c>
      <c r="H60" s="7" t="s">
        <v>372</v>
      </c>
    </row>
    <row r="61" spans="1:8" x14ac:dyDescent="0.3">
      <c r="A61" t="s">
        <v>182</v>
      </c>
      <c r="B61" t="s">
        <v>183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</row>
    <row r="62" spans="1:8" x14ac:dyDescent="0.3">
      <c r="A62" s="8" t="s">
        <v>184</v>
      </c>
      <c r="B62" s="8" t="s">
        <v>185</v>
      </c>
      <c r="C62" s="9">
        <v>1.2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</row>
    <row r="63" spans="1:8" x14ac:dyDescent="0.3">
      <c r="A63" t="s">
        <v>352</v>
      </c>
      <c r="B63" t="s">
        <v>353</v>
      </c>
      <c r="C63" s="7"/>
      <c r="D63" s="7">
        <v>0</v>
      </c>
      <c r="E63" s="7">
        <v>0</v>
      </c>
      <c r="F63" s="7">
        <v>0</v>
      </c>
      <c r="G63" s="7">
        <v>0</v>
      </c>
      <c r="H63" s="7">
        <v>0</v>
      </c>
    </row>
    <row r="64" spans="1:8" x14ac:dyDescent="0.3">
      <c r="A64" t="s">
        <v>186</v>
      </c>
      <c r="D64" s="7"/>
      <c r="E64" s="7"/>
      <c r="F64" s="7"/>
      <c r="G64" s="7"/>
      <c r="H64" s="7"/>
    </row>
    <row r="65" spans="1:8" x14ac:dyDescent="0.3">
      <c r="A65" s="8" t="s">
        <v>187</v>
      </c>
      <c r="B65" s="8" t="s">
        <v>188</v>
      </c>
      <c r="C65" s="9">
        <v>1</v>
      </c>
      <c r="D65" s="7">
        <v>0</v>
      </c>
      <c r="E65" s="7">
        <v>0</v>
      </c>
      <c r="F65" s="7">
        <v>0.05</v>
      </c>
      <c r="G65" s="7">
        <v>0.04</v>
      </c>
      <c r="H65" s="7">
        <v>0.02</v>
      </c>
    </row>
    <row r="66" spans="1:8" x14ac:dyDescent="0.3">
      <c r="A66" s="8" t="s">
        <v>189</v>
      </c>
      <c r="B66" s="8" t="s">
        <v>190</v>
      </c>
      <c r="C66" s="9"/>
      <c r="D66" s="7">
        <v>0</v>
      </c>
      <c r="E66" s="7">
        <v>0</v>
      </c>
      <c r="F66" s="7">
        <v>0</v>
      </c>
      <c r="G66" s="7">
        <v>0</v>
      </c>
      <c r="H66" s="7">
        <v>0</v>
      </c>
    </row>
    <row r="67" spans="1:8" x14ac:dyDescent="0.3">
      <c r="A67" s="8" t="s">
        <v>191</v>
      </c>
      <c r="B67" s="8" t="s">
        <v>192</v>
      </c>
      <c r="C67" s="9">
        <v>0.6</v>
      </c>
      <c r="D67" s="7">
        <v>0</v>
      </c>
      <c r="E67" s="7">
        <v>0</v>
      </c>
      <c r="F67" s="7">
        <v>0.05</v>
      </c>
      <c r="G67" s="7">
        <v>0.04</v>
      </c>
      <c r="H67" s="7">
        <v>0</v>
      </c>
    </row>
    <row r="68" spans="1:8" x14ac:dyDescent="0.3">
      <c r="A68" t="s">
        <v>193</v>
      </c>
      <c r="D68" s="7"/>
      <c r="E68" s="7"/>
      <c r="F68" s="7"/>
      <c r="G68" s="7"/>
      <c r="H68" s="7"/>
    </row>
    <row r="69" spans="1:8" x14ac:dyDescent="0.3">
      <c r="A69" t="s">
        <v>194</v>
      </c>
      <c r="B69" t="s">
        <v>195</v>
      </c>
      <c r="D69" s="7">
        <v>33.9</v>
      </c>
      <c r="E69" s="7">
        <v>35.28</v>
      </c>
      <c r="F69" s="30">
        <v>27.05</v>
      </c>
      <c r="G69" s="30">
        <v>20.2</v>
      </c>
      <c r="H69" s="30">
        <v>22.16</v>
      </c>
    </row>
    <row r="70" spans="1:8" x14ac:dyDescent="0.3">
      <c r="A70" t="s">
        <v>196</v>
      </c>
      <c r="D70" s="7"/>
      <c r="E70" s="7"/>
      <c r="F70" s="7"/>
      <c r="G70" s="7"/>
      <c r="H70" s="7"/>
    </row>
    <row r="71" spans="1:8" x14ac:dyDescent="0.3">
      <c r="A71" t="s">
        <v>197</v>
      </c>
      <c r="B71" t="s">
        <v>198</v>
      </c>
      <c r="D71" s="7">
        <v>1.41</v>
      </c>
      <c r="E71" s="30">
        <v>1.94</v>
      </c>
      <c r="F71" s="7">
        <v>2.15</v>
      </c>
      <c r="G71" s="7">
        <v>2.31</v>
      </c>
      <c r="H71" s="7">
        <v>2.11</v>
      </c>
    </row>
    <row r="72" spans="1:8" x14ac:dyDescent="0.3">
      <c r="A72" t="s">
        <v>199</v>
      </c>
      <c r="B72" t="s">
        <v>200</v>
      </c>
      <c r="D72" s="7">
        <v>1.6</v>
      </c>
      <c r="E72" s="30">
        <v>2.11</v>
      </c>
      <c r="F72" s="7">
        <v>2.38</v>
      </c>
      <c r="G72" s="7">
        <v>2.73</v>
      </c>
      <c r="H72" s="7">
        <v>2.75</v>
      </c>
    </row>
    <row r="73" spans="1:8" x14ac:dyDescent="0.3">
      <c r="A73" t="s">
        <v>303</v>
      </c>
      <c r="D73" s="7"/>
      <c r="E73" s="7"/>
      <c r="F73" s="7"/>
      <c r="G73" s="7"/>
      <c r="H73" s="7"/>
    </row>
    <row r="74" spans="1:8" x14ac:dyDescent="0.3">
      <c r="B74" t="s">
        <v>201</v>
      </c>
      <c r="D74" s="7">
        <v>97.1</v>
      </c>
      <c r="E74" s="7">
        <v>97.03</v>
      </c>
      <c r="F74" s="7">
        <v>93.02</v>
      </c>
      <c r="G74" s="7">
        <v>96.95</v>
      </c>
      <c r="H74" s="7">
        <v>95.18</v>
      </c>
    </row>
    <row r="75" spans="1:8" x14ac:dyDescent="0.3">
      <c r="B75" t="s">
        <v>202</v>
      </c>
      <c r="D75" s="7">
        <v>97.1</v>
      </c>
      <c r="E75" s="7">
        <v>97.08</v>
      </c>
      <c r="F75" s="7">
        <v>92.82</v>
      </c>
      <c r="G75" s="7">
        <v>96.73</v>
      </c>
      <c r="H75" s="7">
        <v>95.03</v>
      </c>
    </row>
    <row r="76" spans="1:8" x14ac:dyDescent="0.3">
      <c r="B76" t="s">
        <v>203</v>
      </c>
      <c r="D76" s="7">
        <v>97.18</v>
      </c>
      <c r="E76" s="7">
        <v>95.35</v>
      </c>
      <c r="F76" s="7">
        <v>99.98</v>
      </c>
      <c r="G76" s="7">
        <v>99.99</v>
      </c>
      <c r="H76" s="7">
        <v>99.97</v>
      </c>
    </row>
    <row r="77" spans="1:8" x14ac:dyDescent="0.3">
      <c r="A77" s="8" t="s">
        <v>36</v>
      </c>
      <c r="B77" s="8"/>
      <c r="C77" s="9">
        <v>47</v>
      </c>
      <c r="D77" s="7">
        <v>89.173544184876604</v>
      </c>
      <c r="E77" s="7">
        <v>87.44626159324423</v>
      </c>
      <c r="F77" s="30">
        <v>85.847817303566984</v>
      </c>
      <c r="G77" s="30">
        <v>88.542267545339897</v>
      </c>
      <c r="H77" s="30">
        <v>87.630643068904888</v>
      </c>
    </row>
    <row r="78" spans="1:8" x14ac:dyDescent="0.3">
      <c r="A78" s="31" t="s">
        <v>333</v>
      </c>
      <c r="B78" s="31"/>
      <c r="C78" s="63"/>
      <c r="D78" s="30">
        <v>89.055776321662293</v>
      </c>
      <c r="E78" s="30">
        <v>87.441376498980887</v>
      </c>
      <c r="F78" s="30">
        <v>85.962176269485226</v>
      </c>
      <c r="G78" s="30">
        <v>88.692911117994626</v>
      </c>
      <c r="H78" s="30">
        <v>87.795228500067495</v>
      </c>
    </row>
    <row r="79" spans="1:8" x14ac:dyDescent="0.3">
      <c r="A79" t="s">
        <v>266</v>
      </c>
      <c r="D79" s="7"/>
      <c r="E79" s="7"/>
      <c r="F79" s="7"/>
      <c r="G79" s="7"/>
      <c r="H79" s="7"/>
    </row>
    <row r="80" spans="1:8" x14ac:dyDescent="0.3">
      <c r="A80">
        <v>4</v>
      </c>
      <c r="B80" t="s">
        <v>204</v>
      </c>
      <c r="D80" s="7">
        <v>1.5160703456640388</v>
      </c>
      <c r="E80" s="7">
        <v>1.4297302778341106</v>
      </c>
      <c r="F80" s="30">
        <v>1.4937506350980592</v>
      </c>
      <c r="G80" s="30">
        <v>1.4455868879161151</v>
      </c>
      <c r="H80" s="30">
        <v>1.6966309096135981</v>
      </c>
    </row>
    <row r="81" spans="1:8" x14ac:dyDescent="0.3">
      <c r="A81">
        <v>9</v>
      </c>
      <c r="B81" t="s">
        <v>345</v>
      </c>
      <c r="D81" s="7">
        <v>3.0220335556903177</v>
      </c>
      <c r="E81" s="7">
        <v>3.8328939363212329</v>
      </c>
      <c r="F81" s="30">
        <v>3.7292958032720249</v>
      </c>
      <c r="G81" s="30">
        <v>3.9499134683905117</v>
      </c>
      <c r="H81" s="30">
        <v>4.2718379582953707</v>
      </c>
    </row>
    <row r="82" spans="1:8" x14ac:dyDescent="0.3">
      <c r="A82">
        <v>10</v>
      </c>
      <c r="B82" t="s">
        <v>205</v>
      </c>
      <c r="D82" s="7">
        <v>8.1261370527592476</v>
      </c>
      <c r="E82" s="7">
        <v>8.6899209085378217</v>
      </c>
      <c r="F82" s="30">
        <v>8.8405649832334099</v>
      </c>
      <c r="G82" s="30">
        <v>9.538837422376055</v>
      </c>
      <c r="H82" s="30">
        <v>9.7236741151962143</v>
      </c>
    </row>
    <row r="83" spans="1:8" x14ac:dyDescent="0.3">
      <c r="A83">
        <v>12</v>
      </c>
      <c r="B83" t="s">
        <v>206</v>
      </c>
      <c r="D83" s="7">
        <v>3.3353547604608855</v>
      </c>
      <c r="E83" s="7">
        <v>3.2853376597039143</v>
      </c>
      <c r="F83" s="30">
        <v>3.3736408901534398</v>
      </c>
      <c r="G83" s="30">
        <v>3.5325257049781129</v>
      </c>
      <c r="H83" s="30">
        <v>4.0652221663380184</v>
      </c>
    </row>
    <row r="84" spans="1:8" x14ac:dyDescent="0.3">
      <c r="A84">
        <v>13</v>
      </c>
      <c r="B84" t="s">
        <v>354</v>
      </c>
      <c r="D84" s="7">
        <v>33.858904386496867</v>
      </c>
      <c r="E84" s="7">
        <v>35.418779152301759</v>
      </c>
      <c r="F84" s="30">
        <v>34.732242658266436</v>
      </c>
      <c r="G84" s="30">
        <v>36.974447724727675</v>
      </c>
      <c r="H84" s="30">
        <v>39.631592563821336</v>
      </c>
    </row>
    <row r="85" spans="1:8" x14ac:dyDescent="0.3">
      <c r="A85" t="s">
        <v>207</v>
      </c>
      <c r="D85" s="7"/>
      <c r="E85" s="7"/>
      <c r="F85" s="7"/>
      <c r="G85" s="7"/>
      <c r="H85" s="7"/>
    </row>
    <row r="86" spans="1:8" x14ac:dyDescent="0.3">
      <c r="A86">
        <v>4</v>
      </c>
      <c r="B86" t="s">
        <v>204</v>
      </c>
      <c r="D86" s="7">
        <v>94.702607845045492</v>
      </c>
      <c r="E86" s="7">
        <v>80.27</v>
      </c>
      <c r="F86" s="7">
        <v>68.37</v>
      </c>
      <c r="G86" s="7">
        <v>76.959999999999994</v>
      </c>
      <c r="H86" s="7">
        <v>88.82</v>
      </c>
    </row>
    <row r="87" spans="1:8" x14ac:dyDescent="0.3">
      <c r="A87">
        <v>9</v>
      </c>
      <c r="B87" t="s">
        <v>345</v>
      </c>
      <c r="D87" s="7">
        <v>79.73731187354133</v>
      </c>
      <c r="E87" s="7">
        <v>83.56</v>
      </c>
      <c r="F87" s="7">
        <v>79.510000000000005</v>
      </c>
      <c r="G87" s="7">
        <v>78.56</v>
      </c>
      <c r="H87" s="7">
        <v>80.53</v>
      </c>
    </row>
    <row r="88" spans="1:8" x14ac:dyDescent="0.3">
      <c r="A88">
        <v>10</v>
      </c>
      <c r="B88" t="s">
        <v>205</v>
      </c>
      <c r="D88" s="7">
        <v>86.148722209890067</v>
      </c>
      <c r="E88" s="7">
        <v>84.1</v>
      </c>
      <c r="F88" s="7">
        <v>72.34</v>
      </c>
      <c r="G88" s="7">
        <v>82.8</v>
      </c>
      <c r="H88" s="7">
        <v>78.58</v>
      </c>
    </row>
    <row r="89" spans="1:8" x14ac:dyDescent="0.3">
      <c r="A89">
        <v>12</v>
      </c>
      <c r="B89" t="s">
        <v>206</v>
      </c>
      <c r="D89" s="7">
        <v>95.85419921924229</v>
      </c>
      <c r="E89" s="7">
        <v>96.01</v>
      </c>
      <c r="F89" s="7">
        <v>96.72</v>
      </c>
      <c r="G89" s="7">
        <v>96.11</v>
      </c>
      <c r="H89" s="7">
        <v>94.74</v>
      </c>
    </row>
    <row r="90" spans="1:8" x14ac:dyDescent="0.3">
      <c r="A90">
        <v>13</v>
      </c>
      <c r="B90" t="s">
        <v>354</v>
      </c>
      <c r="D90" s="7">
        <v>97.355229265915114</v>
      </c>
      <c r="E90" s="7">
        <v>89.39</v>
      </c>
      <c r="F90" s="7">
        <v>96.34</v>
      </c>
      <c r="G90" s="7">
        <v>94.96</v>
      </c>
      <c r="H90" s="7">
        <v>93.51</v>
      </c>
    </row>
    <row r="91" spans="1:8" x14ac:dyDescent="0.3">
      <c r="B91" s="68" t="s">
        <v>357</v>
      </c>
      <c r="D91" s="7"/>
      <c r="E91" s="7"/>
      <c r="F91" s="7"/>
      <c r="G91" s="7"/>
      <c r="H91" s="7"/>
    </row>
    <row r="92" spans="1:8" x14ac:dyDescent="0.3">
      <c r="B92" t="s">
        <v>109</v>
      </c>
      <c r="D92" s="7">
        <v>93.080814543787938</v>
      </c>
      <c r="E92" s="7">
        <v>88.060780079821342</v>
      </c>
      <c r="F92" s="7">
        <v>89.823506154392092</v>
      </c>
      <c r="G92" s="7">
        <v>92.549410739486376</v>
      </c>
      <c r="H92" s="7"/>
    </row>
    <row r="93" spans="1:8" x14ac:dyDescent="0.3">
      <c r="B93" t="s">
        <v>128</v>
      </c>
      <c r="D93" s="7">
        <v>251.09759762080674</v>
      </c>
      <c r="E93" s="7">
        <v>226.20399780332346</v>
      </c>
      <c r="F93" s="7">
        <v>238.9835900012705</v>
      </c>
      <c r="G93" s="7">
        <v>254.8769995879359</v>
      </c>
      <c r="H93" s="7"/>
    </row>
    <row r="94" spans="1:8" x14ac:dyDescent="0.3">
      <c r="B94" t="s">
        <v>158</v>
      </c>
      <c r="D94" s="7">
        <v>5.1523529411764697</v>
      </c>
      <c r="E94" s="7">
        <v>-0.42166666666666625</v>
      </c>
      <c r="F94" s="7">
        <v>-3.3627777777777768</v>
      </c>
      <c r="G94" s="7">
        <v>-6.1844444444444466</v>
      </c>
      <c r="H94" s="7"/>
    </row>
    <row r="95" spans="1:8" x14ac:dyDescent="0.3">
      <c r="B95" t="s">
        <v>167</v>
      </c>
      <c r="D95" s="7">
        <v>1497.6574370098967</v>
      </c>
      <c r="E95" s="7">
        <v>1511.4496314108096</v>
      </c>
      <c r="F95" s="7">
        <v>1479.4297544978085</v>
      </c>
      <c r="G95" s="7">
        <v>1400.855257564868</v>
      </c>
      <c r="H95" s="7"/>
    </row>
    <row r="96" spans="1:8" x14ac:dyDescent="0.3">
      <c r="D96" s="7"/>
      <c r="E96" s="7"/>
      <c r="F96" s="7"/>
      <c r="G96" s="7"/>
      <c r="H96" s="7"/>
    </row>
    <row r="97" spans="2:8" x14ac:dyDescent="0.3">
      <c r="B97" s="39" t="s">
        <v>301</v>
      </c>
      <c r="D97" s="7"/>
      <c r="E97" s="7"/>
      <c r="F97" s="7"/>
      <c r="G97" s="7"/>
      <c r="H97" s="7"/>
    </row>
    <row r="98" spans="2:8" x14ac:dyDescent="0.3">
      <c r="D98" s="7"/>
      <c r="E98" s="7"/>
      <c r="F98" s="7"/>
      <c r="G98" s="7"/>
      <c r="H98" s="7"/>
    </row>
    <row r="99" spans="2:8" x14ac:dyDescent="0.3">
      <c r="D99" s="7"/>
      <c r="E99" s="7"/>
      <c r="F99" s="7"/>
      <c r="G99" s="7"/>
      <c r="H99" s="7"/>
    </row>
    <row r="100" spans="2:8" x14ac:dyDescent="0.3">
      <c r="D100" s="7"/>
      <c r="E100" s="7"/>
      <c r="F100" s="7"/>
      <c r="G100" s="7"/>
      <c r="H100" s="7"/>
    </row>
    <row r="101" spans="2:8" x14ac:dyDescent="0.3">
      <c r="D101" s="7"/>
      <c r="E101" s="7"/>
      <c r="F101" s="7"/>
      <c r="G101" s="7"/>
      <c r="H101" s="7"/>
    </row>
    <row r="102" spans="2:8" x14ac:dyDescent="0.3">
      <c r="D102" s="7"/>
      <c r="E102" s="7"/>
      <c r="F102" s="7"/>
      <c r="G102" s="7"/>
      <c r="H102" s="7"/>
    </row>
    <row r="103" spans="2:8" x14ac:dyDescent="0.3">
      <c r="D103" s="7"/>
      <c r="E103" s="7"/>
      <c r="F103" s="7"/>
      <c r="G103" s="7"/>
      <c r="H103" s="7"/>
    </row>
    <row r="104" spans="2:8" x14ac:dyDescent="0.3">
      <c r="D104" s="7"/>
      <c r="E104" s="7"/>
      <c r="F104" s="7"/>
      <c r="G104" s="7"/>
      <c r="H104" s="7"/>
    </row>
    <row r="105" spans="2:8" x14ac:dyDescent="0.3">
      <c r="D105" s="7"/>
      <c r="E105" s="7"/>
      <c r="F105" s="7"/>
      <c r="G105" s="7"/>
      <c r="H105" s="7"/>
    </row>
    <row r="106" spans="2:8" x14ac:dyDescent="0.3">
      <c r="D106" s="7"/>
      <c r="E106" s="7"/>
      <c r="F106" s="7"/>
      <c r="G106" s="7"/>
      <c r="H106" s="7"/>
    </row>
    <row r="107" spans="2:8" x14ac:dyDescent="0.3">
      <c r="D107" s="7"/>
      <c r="E107" s="7"/>
      <c r="F107" s="7"/>
      <c r="G107" s="7"/>
      <c r="H107" s="7"/>
    </row>
    <row r="108" spans="2:8" x14ac:dyDescent="0.3">
      <c r="D108" s="7"/>
      <c r="E108" s="7"/>
      <c r="F108" s="7"/>
      <c r="G108" s="7"/>
      <c r="H108" s="7"/>
    </row>
    <row r="109" spans="2:8" x14ac:dyDescent="0.3">
      <c r="D109" s="7"/>
      <c r="E109" s="7"/>
      <c r="F109" s="7"/>
      <c r="G109" s="7"/>
      <c r="H109" s="7"/>
    </row>
    <row r="110" spans="2:8" x14ac:dyDescent="0.3">
      <c r="D110" s="7"/>
      <c r="E110" s="7"/>
      <c r="F110" s="7"/>
      <c r="G110" s="7"/>
      <c r="H110" s="7"/>
    </row>
    <row r="111" spans="2:8" x14ac:dyDescent="0.3">
      <c r="D111" s="7"/>
      <c r="E111" s="7"/>
      <c r="F111" s="7"/>
      <c r="G111" s="7"/>
      <c r="H111" s="7"/>
    </row>
    <row r="112" spans="2:8" x14ac:dyDescent="0.3">
      <c r="D112" s="7"/>
      <c r="E112" s="7"/>
      <c r="F112" s="7"/>
      <c r="G112" s="7"/>
      <c r="H112" s="7"/>
    </row>
    <row r="113" spans="2:8" x14ac:dyDescent="0.3">
      <c r="D113" s="7"/>
      <c r="E113" s="7"/>
      <c r="F113" s="7"/>
      <c r="G113" s="7"/>
      <c r="H113" s="7"/>
    </row>
    <row r="114" spans="2:8" x14ac:dyDescent="0.3">
      <c r="D114" s="7"/>
      <c r="E114" s="7"/>
      <c r="F114" s="7"/>
      <c r="G114" s="7"/>
      <c r="H114" s="7"/>
    </row>
    <row r="115" spans="2:8" x14ac:dyDescent="0.3">
      <c r="D115" s="7"/>
      <c r="E115" s="7"/>
      <c r="F115" s="7"/>
      <c r="G115" s="7"/>
      <c r="H115" s="7"/>
    </row>
    <row r="116" spans="2:8" x14ac:dyDescent="0.3">
      <c r="D116" s="7"/>
      <c r="E116" s="7"/>
      <c r="F116" s="7"/>
      <c r="G116" s="7"/>
      <c r="H116" s="7"/>
    </row>
    <row r="117" spans="2:8" x14ac:dyDescent="0.3">
      <c r="D117" s="7"/>
      <c r="E117" s="7"/>
      <c r="F117" s="7"/>
      <c r="G117" s="7"/>
      <c r="H117" s="7"/>
    </row>
    <row r="118" spans="2:8" x14ac:dyDescent="0.3">
      <c r="B118" s="39" t="s">
        <v>302</v>
      </c>
      <c r="D118" s="7"/>
      <c r="E118" s="7"/>
      <c r="F118" s="7"/>
      <c r="G118" s="7"/>
      <c r="H118" s="7"/>
    </row>
    <row r="119" spans="2:8" x14ac:dyDescent="0.3">
      <c r="D119" s="7"/>
      <c r="E119" s="7"/>
      <c r="F119" s="7"/>
      <c r="G119" s="7"/>
      <c r="H119" s="7"/>
    </row>
    <row r="120" spans="2:8" x14ac:dyDescent="0.3">
      <c r="D120" s="7"/>
      <c r="E120" s="7"/>
      <c r="F120" s="7"/>
      <c r="G120" s="7"/>
      <c r="H120" s="7"/>
    </row>
    <row r="121" spans="2:8" x14ac:dyDescent="0.3">
      <c r="D121" s="7"/>
      <c r="E121" s="7"/>
      <c r="F121" s="7"/>
      <c r="G121" s="7"/>
      <c r="H121" s="7"/>
    </row>
    <row r="122" spans="2:8" x14ac:dyDescent="0.3">
      <c r="D122" s="7"/>
      <c r="E122" s="7"/>
      <c r="F122" s="7"/>
      <c r="G122" s="7"/>
      <c r="H122" s="7"/>
    </row>
    <row r="123" spans="2:8" x14ac:dyDescent="0.3">
      <c r="D123" s="7"/>
      <c r="E123" s="7"/>
      <c r="F123" s="7"/>
      <c r="G123" s="7"/>
      <c r="H123" s="7"/>
    </row>
    <row r="124" spans="2:8" x14ac:dyDescent="0.3">
      <c r="D124" s="7"/>
      <c r="E124" s="7"/>
      <c r="F124" s="7"/>
      <c r="G124" s="7"/>
      <c r="H124" s="7"/>
    </row>
    <row r="125" spans="2:8" x14ac:dyDescent="0.3">
      <c r="D125" s="7"/>
      <c r="E125" s="7"/>
      <c r="F125" s="7"/>
      <c r="G125" s="7"/>
      <c r="H125" s="7"/>
    </row>
    <row r="126" spans="2:8" x14ac:dyDescent="0.3">
      <c r="D126" s="7"/>
      <c r="E126" s="7"/>
      <c r="F126" s="7"/>
      <c r="G126" s="7"/>
      <c r="H126" s="7"/>
    </row>
    <row r="127" spans="2:8" x14ac:dyDescent="0.3">
      <c r="D127" s="7"/>
      <c r="E127" s="7"/>
      <c r="F127" s="7"/>
      <c r="G127" s="7"/>
      <c r="H127" s="7"/>
    </row>
    <row r="128" spans="2:8" x14ac:dyDescent="0.3">
      <c r="D128" s="7"/>
      <c r="E128" s="7"/>
      <c r="F128" s="7"/>
      <c r="G128" s="7"/>
      <c r="H128" s="7"/>
    </row>
    <row r="129" spans="2:8" x14ac:dyDescent="0.3">
      <c r="D129" s="7"/>
      <c r="E129" s="7"/>
      <c r="F129" s="7"/>
      <c r="G129" s="7"/>
      <c r="H129" s="7"/>
    </row>
    <row r="130" spans="2:8" x14ac:dyDescent="0.3">
      <c r="D130" s="7"/>
      <c r="E130" s="7"/>
      <c r="F130" s="7"/>
      <c r="G130" s="7"/>
      <c r="H130" s="7"/>
    </row>
    <row r="131" spans="2:8" x14ac:dyDescent="0.3">
      <c r="D131" s="7"/>
      <c r="E131" s="7"/>
      <c r="F131" s="7"/>
      <c r="G131" s="7"/>
      <c r="H131" s="7"/>
    </row>
    <row r="132" spans="2:8" x14ac:dyDescent="0.3">
      <c r="D132" s="7"/>
      <c r="E132" s="7"/>
      <c r="F132" s="7"/>
      <c r="G132" s="7"/>
      <c r="H132" s="7"/>
    </row>
    <row r="133" spans="2:8" x14ac:dyDescent="0.3">
      <c r="D133" s="7"/>
      <c r="E133" s="7"/>
      <c r="F133" s="7"/>
      <c r="G133" s="7"/>
      <c r="H133" s="7"/>
    </row>
    <row r="134" spans="2:8" x14ac:dyDescent="0.3">
      <c r="D134" s="7"/>
      <c r="E134" s="7"/>
      <c r="F134" s="7"/>
      <c r="G134" s="7"/>
      <c r="H134" s="7"/>
    </row>
    <row r="135" spans="2:8" x14ac:dyDescent="0.3">
      <c r="D135" s="7"/>
      <c r="E135" s="7"/>
      <c r="F135" s="7"/>
      <c r="G135" s="7"/>
      <c r="H135" s="7"/>
    </row>
    <row r="136" spans="2:8" x14ac:dyDescent="0.3">
      <c r="D136" s="7"/>
      <c r="E136" s="7"/>
      <c r="F136" s="7"/>
      <c r="G136" s="7"/>
      <c r="H136" s="7"/>
    </row>
    <row r="137" spans="2:8" x14ac:dyDescent="0.3">
      <c r="D137" s="7"/>
      <c r="E137" s="7"/>
      <c r="F137" s="7"/>
      <c r="G137" s="7"/>
      <c r="H137" s="7"/>
    </row>
    <row r="138" spans="2:8" x14ac:dyDescent="0.3">
      <c r="D138" s="7"/>
      <c r="E138" s="7"/>
      <c r="F138" s="7"/>
      <c r="G138" s="7"/>
      <c r="H138" s="7"/>
    </row>
    <row r="139" spans="2:8" x14ac:dyDescent="0.3">
      <c r="B139" s="39" t="s">
        <v>158</v>
      </c>
      <c r="D139" s="7"/>
      <c r="E139" s="7"/>
      <c r="F139" s="7"/>
      <c r="G139" s="7"/>
      <c r="H139" s="7"/>
    </row>
    <row r="140" spans="2:8" x14ac:dyDescent="0.3">
      <c r="D140" s="7"/>
      <c r="E140" s="7"/>
      <c r="F140" s="7"/>
      <c r="G140" s="7"/>
      <c r="H140" s="7"/>
    </row>
    <row r="141" spans="2:8" x14ac:dyDescent="0.3">
      <c r="D141" s="7"/>
      <c r="E141" s="7"/>
      <c r="F141" s="7"/>
      <c r="G141" s="7"/>
      <c r="H141" s="7"/>
    </row>
    <row r="142" spans="2:8" x14ac:dyDescent="0.3">
      <c r="D142" s="7"/>
      <c r="E142" s="7"/>
      <c r="F142" s="7"/>
      <c r="G142" s="7"/>
      <c r="H142" s="7"/>
    </row>
    <row r="143" spans="2:8" x14ac:dyDescent="0.3">
      <c r="D143" s="7"/>
      <c r="E143" s="7"/>
      <c r="F143" s="7"/>
      <c r="G143" s="7"/>
      <c r="H143" s="7"/>
    </row>
    <row r="144" spans="2:8" x14ac:dyDescent="0.3">
      <c r="D144" s="7"/>
      <c r="E144" s="7"/>
      <c r="F144" s="7"/>
      <c r="G144" s="7"/>
      <c r="H144" s="7"/>
    </row>
    <row r="145" spans="2:8" x14ac:dyDescent="0.3">
      <c r="D145" s="7"/>
      <c r="E145" s="7"/>
      <c r="F145" s="7"/>
      <c r="G145" s="7"/>
      <c r="H145" s="7"/>
    </row>
    <row r="146" spans="2:8" x14ac:dyDescent="0.3">
      <c r="D146" s="7"/>
      <c r="E146" s="7"/>
      <c r="F146" s="7"/>
      <c r="G146" s="7"/>
      <c r="H146" s="7"/>
    </row>
    <row r="147" spans="2:8" x14ac:dyDescent="0.3">
      <c r="D147" s="7"/>
      <c r="E147" s="7"/>
      <c r="F147" s="7"/>
      <c r="G147" s="7"/>
      <c r="H147" s="7"/>
    </row>
    <row r="148" spans="2:8" x14ac:dyDescent="0.3">
      <c r="D148" s="7"/>
      <c r="E148" s="7"/>
      <c r="F148" s="7"/>
      <c r="G148" s="7"/>
      <c r="H148" s="7"/>
    </row>
    <row r="149" spans="2:8" x14ac:dyDescent="0.3">
      <c r="D149" s="7"/>
      <c r="E149" s="7"/>
      <c r="F149" s="7"/>
      <c r="G149" s="7"/>
      <c r="H149" s="7"/>
    </row>
    <row r="150" spans="2:8" x14ac:dyDescent="0.3">
      <c r="D150" s="7"/>
      <c r="E150" s="7"/>
      <c r="F150" s="7"/>
      <c r="G150" s="7"/>
      <c r="H150" s="7"/>
    </row>
    <row r="151" spans="2:8" x14ac:dyDescent="0.3">
      <c r="D151" s="7"/>
      <c r="E151" s="7"/>
      <c r="F151" s="7"/>
      <c r="G151" s="7"/>
      <c r="H151" s="7"/>
    </row>
    <row r="152" spans="2:8" x14ac:dyDescent="0.3">
      <c r="D152" s="7"/>
      <c r="E152" s="7"/>
      <c r="F152" s="7"/>
      <c r="G152" s="7"/>
      <c r="H152" s="7"/>
    </row>
    <row r="153" spans="2:8" x14ac:dyDescent="0.3">
      <c r="D153" s="7"/>
      <c r="E153" s="7"/>
      <c r="F153" s="7"/>
      <c r="G153" s="7"/>
      <c r="H153" s="7"/>
    </row>
    <row r="154" spans="2:8" x14ac:dyDescent="0.3">
      <c r="D154" s="7"/>
      <c r="E154" s="7"/>
      <c r="F154" s="7"/>
      <c r="G154" s="7"/>
      <c r="H154" s="7"/>
    </row>
    <row r="155" spans="2:8" x14ac:dyDescent="0.3">
      <c r="D155" s="7"/>
      <c r="E155" s="7"/>
      <c r="F155" s="7"/>
      <c r="G155" s="7"/>
      <c r="H155" s="7"/>
    </row>
    <row r="156" spans="2:8" x14ac:dyDescent="0.3">
      <c r="D156" s="7"/>
      <c r="E156" s="7"/>
      <c r="F156" s="7"/>
      <c r="G156" s="7"/>
      <c r="H156" s="7"/>
    </row>
    <row r="157" spans="2:8" x14ac:dyDescent="0.3">
      <c r="D157" s="7"/>
      <c r="E157" s="7"/>
      <c r="F157" s="7"/>
      <c r="G157" s="7"/>
      <c r="H157" s="7"/>
    </row>
    <row r="158" spans="2:8" x14ac:dyDescent="0.3">
      <c r="D158" s="7"/>
      <c r="E158" s="7"/>
      <c r="F158" s="7"/>
      <c r="G158" s="7"/>
      <c r="H158" s="7"/>
    </row>
    <row r="159" spans="2:8" x14ac:dyDescent="0.3">
      <c r="D159" s="7"/>
      <c r="E159" s="7"/>
      <c r="F159" s="7"/>
      <c r="G159" s="7"/>
      <c r="H159" s="7"/>
    </row>
    <row r="160" spans="2:8" x14ac:dyDescent="0.3">
      <c r="B160" s="39" t="s">
        <v>167</v>
      </c>
      <c r="D160" s="7"/>
      <c r="E160" s="7"/>
      <c r="F160" s="7"/>
      <c r="G160" s="7"/>
      <c r="H160" s="7"/>
    </row>
    <row r="161" spans="4:8" x14ac:dyDescent="0.3">
      <c r="D161" s="7"/>
      <c r="E161" s="7"/>
      <c r="F161" s="7"/>
      <c r="G161" s="7"/>
      <c r="H161" s="7"/>
    </row>
    <row r="162" spans="4:8" x14ac:dyDescent="0.3">
      <c r="D162" s="7"/>
      <c r="E162" s="7"/>
      <c r="F162" s="7"/>
      <c r="G162" s="7"/>
      <c r="H162" s="7"/>
    </row>
    <row r="163" spans="4:8" x14ac:dyDescent="0.3">
      <c r="D163" s="7"/>
      <c r="E163" s="7"/>
      <c r="F163" s="7"/>
      <c r="G163" s="7"/>
      <c r="H163" s="7"/>
    </row>
    <row r="164" spans="4:8" x14ac:dyDescent="0.3">
      <c r="D164" s="7"/>
      <c r="E164" s="7"/>
      <c r="F164" s="7"/>
      <c r="G164" s="7"/>
      <c r="H164" s="7"/>
    </row>
    <row r="165" spans="4:8" x14ac:dyDescent="0.3">
      <c r="D165" s="7"/>
      <c r="E165" s="7"/>
      <c r="F165" s="7"/>
      <c r="G165" s="7"/>
      <c r="H165" s="7"/>
    </row>
    <row r="166" spans="4:8" x14ac:dyDescent="0.3">
      <c r="D166" s="7"/>
      <c r="E166" s="7"/>
      <c r="F166" s="7"/>
      <c r="G166" s="7"/>
      <c r="H166" s="7"/>
    </row>
    <row r="167" spans="4:8" x14ac:dyDescent="0.3">
      <c r="D167" s="7"/>
      <c r="E167" s="7"/>
      <c r="F167" s="7"/>
      <c r="G167" s="7"/>
      <c r="H167" s="7"/>
    </row>
    <row r="168" spans="4:8" x14ac:dyDescent="0.3">
      <c r="D168" s="7"/>
      <c r="E168" s="7"/>
      <c r="F168" s="7"/>
      <c r="G168" s="7"/>
      <c r="H168" s="7"/>
    </row>
    <row r="169" spans="4:8" x14ac:dyDescent="0.3">
      <c r="D169" s="7"/>
      <c r="E169" s="7"/>
      <c r="F169" s="7"/>
      <c r="G169" s="7"/>
      <c r="H169" s="7"/>
    </row>
    <row r="170" spans="4:8" x14ac:dyDescent="0.3">
      <c r="D170" s="7"/>
      <c r="E170" s="7"/>
      <c r="F170" s="7"/>
      <c r="G170" s="7"/>
      <c r="H170" s="7"/>
    </row>
    <row r="171" spans="4:8" x14ac:dyDescent="0.3">
      <c r="D171" s="7"/>
      <c r="E171" s="7"/>
      <c r="F171" s="7"/>
      <c r="G171" s="7"/>
      <c r="H171" s="7"/>
    </row>
    <row r="172" spans="4:8" x14ac:dyDescent="0.3">
      <c r="D172" s="7"/>
      <c r="E172" s="7"/>
      <c r="F172" s="7"/>
      <c r="G172" s="7"/>
      <c r="H172" s="7"/>
    </row>
    <row r="173" spans="4:8" x14ac:dyDescent="0.3">
      <c r="D173" s="7"/>
      <c r="E173" s="7"/>
      <c r="F173" s="7"/>
      <c r="G173" s="7"/>
      <c r="H173" s="7"/>
    </row>
    <row r="174" spans="4:8" x14ac:dyDescent="0.3">
      <c r="D174" s="7"/>
      <c r="E174" s="7"/>
      <c r="F174" s="7"/>
      <c r="G174" s="7"/>
      <c r="H174" s="7"/>
    </row>
    <row r="175" spans="4:8" x14ac:dyDescent="0.3">
      <c r="D175" s="7"/>
      <c r="E175" s="7"/>
      <c r="F175" s="7"/>
      <c r="G175" s="7"/>
      <c r="H175" s="7"/>
    </row>
    <row r="176" spans="4:8" x14ac:dyDescent="0.3">
      <c r="D176" s="7"/>
      <c r="E176" s="7"/>
      <c r="F176" s="7"/>
      <c r="G176" s="7"/>
      <c r="H176" s="7"/>
    </row>
    <row r="177" spans="2:8" x14ac:dyDescent="0.3">
      <c r="D177" s="7"/>
      <c r="E177" s="7"/>
      <c r="F177" s="7"/>
      <c r="G177" s="7"/>
      <c r="H177" s="7"/>
    </row>
    <row r="178" spans="2:8" x14ac:dyDescent="0.3">
      <c r="D178" s="7"/>
      <c r="E178" s="7"/>
      <c r="F178" s="7"/>
      <c r="G178" s="7"/>
      <c r="H178" s="7"/>
    </row>
    <row r="179" spans="2:8" x14ac:dyDescent="0.3">
      <c r="D179" s="7"/>
      <c r="E179" s="7"/>
      <c r="F179" s="7"/>
      <c r="G179" s="7"/>
      <c r="H179" s="7"/>
    </row>
    <row r="180" spans="2:8" x14ac:dyDescent="0.3">
      <c r="D180" s="7"/>
      <c r="E180" s="7"/>
      <c r="F180" s="7"/>
      <c r="G180" s="7"/>
      <c r="H180" s="7"/>
    </row>
    <row r="181" spans="2:8" x14ac:dyDescent="0.3">
      <c r="B181" s="39" t="s">
        <v>300</v>
      </c>
    </row>
    <row r="182" spans="2:8" x14ac:dyDescent="0.3">
      <c r="E182" s="31"/>
    </row>
    <row r="202" spans="2:2" x14ac:dyDescent="0.3">
      <c r="B202" s="39" t="s">
        <v>266</v>
      </c>
    </row>
    <row r="221" spans="2:2" x14ac:dyDescent="0.3">
      <c r="B221" s="39" t="s">
        <v>207</v>
      </c>
    </row>
  </sheetData>
  <mergeCells count="1">
    <mergeCell ref="A1:B1"/>
  </mergeCells>
  <conditionalFormatting sqref="D3">
    <cfRule type="cellIs" dxfId="47" priority="37" operator="greaterThan">
      <formula>$C3</formula>
    </cfRule>
  </conditionalFormatting>
  <conditionalFormatting sqref="D12">
    <cfRule type="cellIs" dxfId="46" priority="35" operator="lessThan">
      <formula>$C12</formula>
    </cfRule>
  </conditionalFormatting>
  <conditionalFormatting sqref="D15:F15 H15">
    <cfRule type="cellIs" dxfId="45" priority="33" operator="greaterThan">
      <formula>$C$15</formula>
    </cfRule>
  </conditionalFormatting>
  <conditionalFormatting sqref="E3:F3 H3">
    <cfRule type="cellIs" dxfId="44" priority="29" operator="greaterThan">
      <formula>$C3</formula>
    </cfRule>
  </conditionalFormatting>
  <conditionalFormatting sqref="D51:F51 H51">
    <cfRule type="cellIs" dxfId="43" priority="28" operator="greaterThan">
      <formula>$C51</formula>
    </cfRule>
  </conditionalFormatting>
  <conditionalFormatting sqref="D62:F63 H62:H63">
    <cfRule type="cellIs" dxfId="42" priority="27" operator="greaterThan">
      <formula>$C62</formula>
    </cfRule>
  </conditionalFormatting>
  <conditionalFormatting sqref="D65:F65 H65">
    <cfRule type="cellIs" dxfId="41" priority="26" operator="greaterThan">
      <formula>$C65</formula>
    </cfRule>
  </conditionalFormatting>
  <conditionalFormatting sqref="E12:F12 H12">
    <cfRule type="cellIs" dxfId="40" priority="25" operator="lessThan">
      <formula>$C12</formula>
    </cfRule>
  </conditionalFormatting>
  <conditionalFormatting sqref="D77:F78">
    <cfRule type="cellIs" dxfId="39" priority="24" operator="lessThan">
      <formula>$C77</formula>
    </cfRule>
  </conditionalFormatting>
  <conditionalFormatting sqref="E77:F78 H77:H78">
    <cfRule type="cellIs" dxfId="38" priority="23" operator="lessThan">
      <formula>$C77</formula>
    </cfRule>
  </conditionalFormatting>
  <conditionalFormatting sqref="D66">
    <cfRule type="expression" dxfId="37" priority="14">
      <formula>D$66+D$67&gt;=$C$67</formula>
    </cfRule>
  </conditionalFormatting>
  <conditionalFormatting sqref="E66:F66 H66">
    <cfRule type="expression" dxfId="36" priority="13">
      <formula>E$66+E$67&gt;=$C$67</formula>
    </cfRule>
  </conditionalFormatting>
  <conditionalFormatting sqref="D67">
    <cfRule type="expression" dxfId="35" priority="12">
      <formula>D$66+D$67&gt;=$C$67</formula>
    </cfRule>
  </conditionalFormatting>
  <conditionalFormatting sqref="E67:F67 H67">
    <cfRule type="expression" dxfId="34" priority="11">
      <formula>E$66+E$67&gt;=$C$67</formula>
    </cfRule>
  </conditionalFormatting>
  <conditionalFormatting sqref="C63">
    <cfRule type="cellIs" dxfId="33" priority="10" operator="greaterThan">
      <formula>$C63</formula>
    </cfRule>
  </conditionalFormatting>
  <conditionalFormatting sqref="G15">
    <cfRule type="cellIs" dxfId="32" priority="9" operator="greaterThan">
      <formula>$C$15</formula>
    </cfRule>
  </conditionalFormatting>
  <conditionalFormatting sqref="G3">
    <cfRule type="cellIs" dxfId="31" priority="8" operator="greaterThan">
      <formula>$C3</formula>
    </cfRule>
  </conditionalFormatting>
  <conditionalFormatting sqref="G51">
    <cfRule type="cellIs" dxfId="30" priority="7" operator="greaterThan">
      <formula>$C51</formula>
    </cfRule>
  </conditionalFormatting>
  <conditionalFormatting sqref="G62:G63">
    <cfRule type="cellIs" dxfId="29" priority="6" operator="greaterThan">
      <formula>$C62</formula>
    </cfRule>
  </conditionalFormatting>
  <conditionalFormatting sqref="G65">
    <cfRule type="cellIs" dxfId="28" priority="5" operator="greaterThan">
      <formula>$C65</formula>
    </cfRule>
  </conditionalFormatting>
  <conditionalFormatting sqref="G12">
    <cfRule type="cellIs" dxfId="27" priority="4" operator="lessThan">
      <formula>$C12</formula>
    </cfRule>
  </conditionalFormatting>
  <conditionalFormatting sqref="G77:G78">
    <cfRule type="cellIs" dxfId="26" priority="3" operator="lessThan">
      <formula>$C77</formula>
    </cfRule>
  </conditionalFormatting>
  <conditionalFormatting sqref="G66">
    <cfRule type="expression" dxfId="25" priority="2">
      <formula>G$66+G$67&gt;=$C$67</formula>
    </cfRule>
  </conditionalFormatting>
  <conditionalFormatting sqref="G67">
    <cfRule type="expression" dxfId="24" priority="1">
      <formula>G$66+G$67&gt;=$C$67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Entrate_Uscite</vt:lpstr>
      <vt:lpstr>Tav_Entrate</vt:lpstr>
      <vt:lpstr>Tav_Uscite</vt:lpstr>
      <vt:lpstr>Tav_Saldi</vt:lpstr>
      <vt:lpstr>Risultato_amministrazione</vt:lpstr>
      <vt:lpstr>Conto_economico</vt:lpstr>
      <vt:lpstr>Tav_contoeconomico</vt:lpstr>
      <vt:lpstr>Stato_patrimoniale</vt:lpstr>
      <vt:lpstr>Piano_indicatori</vt:lpstr>
      <vt:lpstr>Tav_indicatori</vt:lpstr>
      <vt:lpstr>Popolazione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</dc:creator>
  <cp:lastModifiedBy>Franco</cp:lastModifiedBy>
  <dcterms:created xsi:type="dcterms:W3CDTF">2019-02-06T21:02:13Z</dcterms:created>
  <dcterms:modified xsi:type="dcterms:W3CDTF">2022-06-19T09:57:15Z</dcterms:modified>
</cp:coreProperties>
</file>