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27" i="8" s="1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5" i="7" s="1"/>
  <c r="E10" i="7"/>
  <c r="E9" i="7"/>
  <c r="E8" i="7"/>
  <c r="E7" i="7"/>
  <c r="E6" i="7"/>
  <c r="E4" i="7"/>
  <c r="E3" i="7"/>
  <c r="E5" i="7" s="1"/>
  <c r="E2" i="7"/>
  <c r="N55" i="2"/>
  <c r="O54" i="2"/>
  <c r="N54" i="2"/>
  <c r="O53" i="2"/>
  <c r="N53" i="2"/>
  <c r="Q53" i="2" s="1"/>
  <c r="O52" i="2"/>
  <c r="N52" i="2"/>
  <c r="O51" i="2"/>
  <c r="N51" i="2"/>
  <c r="O50" i="2"/>
  <c r="N50" i="2"/>
  <c r="O20" i="2"/>
  <c r="O21" i="2" s="1"/>
  <c r="R21" i="2" s="1"/>
  <c r="N20" i="2"/>
  <c r="N21" i="2" s="1"/>
  <c r="Q21" i="2" s="1"/>
  <c r="O16" i="2"/>
  <c r="N16" i="2"/>
  <c r="O15" i="2"/>
  <c r="N15" i="2"/>
  <c r="O14" i="2"/>
  <c r="R14" i="2" s="1"/>
  <c r="N14" i="2"/>
  <c r="Q14" i="2" s="1"/>
  <c r="R60" i="2"/>
  <c r="R59" i="2"/>
  <c r="Q59" i="2"/>
  <c r="R58" i="2"/>
  <c r="R55" i="2"/>
  <c r="Q55" i="2"/>
  <c r="R54" i="2"/>
  <c r="Q54" i="2"/>
  <c r="R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Q16" i="2"/>
  <c r="R15" i="2"/>
  <c r="Q15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10" i="8" l="1"/>
  <c r="E20" i="8"/>
  <c r="E30" i="8"/>
  <c r="E31" i="8" s="1"/>
  <c r="E21" i="8"/>
  <c r="E11" i="7"/>
  <c r="E20" i="7" s="1"/>
  <c r="E21" i="7" s="1"/>
  <c r="E16" i="7"/>
  <c r="Q20" i="2"/>
  <c r="R20" i="2"/>
  <c r="K59" i="2" l="1"/>
  <c r="K55" i="2"/>
  <c r="M55" i="2" s="1"/>
  <c r="L54" i="2"/>
  <c r="K54" i="2"/>
  <c r="M54" i="2" s="1"/>
  <c r="L53" i="2"/>
  <c r="K53" i="2"/>
  <c r="M53" i="2" s="1"/>
  <c r="L52" i="2"/>
  <c r="K52" i="2"/>
  <c r="M52" i="2" s="1"/>
  <c r="L51" i="2"/>
  <c r="K51" i="2"/>
  <c r="M51" i="2" s="1"/>
  <c r="L50" i="2"/>
  <c r="L63" i="2" s="1"/>
  <c r="K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K20" i="2"/>
  <c r="K21" i="2" s="1"/>
  <c r="M19" i="2"/>
  <c r="M18" i="2"/>
  <c r="M17" i="2"/>
  <c r="M16" i="2"/>
  <c r="L16" i="2"/>
  <c r="K16" i="2"/>
  <c r="L15" i="2"/>
  <c r="L59" i="2" s="1"/>
  <c r="K15" i="2"/>
  <c r="L14" i="2"/>
  <c r="L58" i="2" s="1"/>
  <c r="K14" i="2"/>
  <c r="K58" i="2" s="1"/>
  <c r="M13" i="2"/>
  <c r="M12" i="2"/>
  <c r="M11" i="2"/>
  <c r="M10" i="2"/>
  <c r="M9" i="2"/>
  <c r="M8" i="2"/>
  <c r="M7" i="2"/>
  <c r="M6" i="2"/>
  <c r="M5" i="2"/>
  <c r="M4" i="2"/>
  <c r="M3" i="2"/>
  <c r="G28" i="5"/>
  <c r="G27" i="5"/>
  <c r="G15" i="5"/>
  <c r="F14" i="10"/>
  <c r="F12" i="10"/>
  <c r="F11" i="10"/>
  <c r="F10" i="10"/>
  <c r="F8" i="10"/>
  <c r="F7" i="10"/>
  <c r="F6" i="10"/>
  <c r="F5" i="10"/>
  <c r="F4" i="10"/>
  <c r="F3" i="10"/>
  <c r="F2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G21" i="6"/>
  <c r="G10" i="6"/>
  <c r="G52" i="1"/>
  <c r="G24" i="1"/>
  <c r="G20" i="1"/>
  <c r="G14" i="1"/>
  <c r="G7" i="1"/>
  <c r="F3" i="13"/>
  <c r="C2" i="13"/>
  <c r="M15" i="2" l="1"/>
  <c r="L20" i="2"/>
  <c r="L21" i="2" s="1"/>
  <c r="M50" i="2"/>
  <c r="L56" i="2"/>
  <c r="L57" i="2" s="1"/>
  <c r="K56" i="2"/>
  <c r="K60" i="2"/>
  <c r="L60" i="2"/>
  <c r="M14" i="2"/>
  <c r="L62" i="2"/>
  <c r="G29" i="5"/>
  <c r="F9" i="10"/>
  <c r="F13" i="10"/>
  <c r="G28" i="6"/>
  <c r="G22" i="1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D5" i="7" l="1"/>
  <c r="D15" i="7"/>
  <c r="M20" i="2"/>
  <c r="L61" i="2"/>
  <c r="K57" i="2"/>
  <c r="M56" i="2"/>
  <c r="M21" i="2"/>
  <c r="F15" i="10"/>
  <c r="D27" i="8"/>
  <c r="D10" i="8"/>
  <c r="D15" i="8"/>
  <c r="D20" i="8"/>
  <c r="D11" i="7"/>
  <c r="M57" i="2" l="1"/>
  <c r="K61" i="2"/>
  <c r="D16" i="7"/>
  <c r="D21" i="8"/>
  <c r="D20" i="7"/>
  <c r="D21" i="7" l="1"/>
  <c r="H4" i="9"/>
  <c r="H55" i="2"/>
  <c r="J55" i="2" s="1"/>
  <c r="I54" i="2"/>
  <c r="H54" i="2"/>
  <c r="I53" i="2"/>
  <c r="H53" i="2"/>
  <c r="I52" i="2"/>
  <c r="H52" i="2"/>
  <c r="I51" i="2"/>
  <c r="H51" i="2"/>
  <c r="J51" i="2" s="1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J16" i="2" s="1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8" i="5"/>
  <c r="F27" i="5"/>
  <c r="F15" i="5"/>
  <c r="E14" i="10"/>
  <c r="G14" i="10" s="1"/>
  <c r="E12" i="10"/>
  <c r="G12" i="10" s="1"/>
  <c r="E11" i="10"/>
  <c r="G11" i="10" s="1"/>
  <c r="E10" i="10"/>
  <c r="G10" i="10" s="1"/>
  <c r="E8" i="10"/>
  <c r="G8" i="10" s="1"/>
  <c r="E7" i="10"/>
  <c r="G7" i="10" s="1"/>
  <c r="E6" i="10"/>
  <c r="G6" i="10" s="1"/>
  <c r="E4" i="10"/>
  <c r="G4" i="10" s="1"/>
  <c r="E3" i="10"/>
  <c r="G3" i="10" s="1"/>
  <c r="F21" i="6"/>
  <c r="H21" i="6" s="1"/>
  <c r="F10" i="6"/>
  <c r="F52" i="1"/>
  <c r="F24" i="1"/>
  <c r="F20" i="1"/>
  <c r="F14" i="1"/>
  <c r="F7" i="1"/>
  <c r="F4" i="13"/>
  <c r="C3" i="13"/>
  <c r="E52" i="1"/>
  <c r="D52" i="1"/>
  <c r="C52" i="1"/>
  <c r="B52" i="1"/>
  <c r="E24" i="1"/>
  <c r="D24" i="1"/>
  <c r="C24" i="1"/>
  <c r="B24" i="1"/>
  <c r="F8" i="13"/>
  <c r="F7" i="13"/>
  <c r="C7" i="13"/>
  <c r="F6" i="13"/>
  <c r="C6" i="13"/>
  <c r="F5" i="13"/>
  <c r="C5" i="13"/>
  <c r="C4" i="13"/>
  <c r="D27" i="5"/>
  <c r="E27" i="5"/>
  <c r="E55" i="2"/>
  <c r="F54" i="2"/>
  <c r="E54" i="2"/>
  <c r="F53" i="2"/>
  <c r="E53" i="2"/>
  <c r="F52" i="2"/>
  <c r="E52" i="2"/>
  <c r="F51" i="2"/>
  <c r="E51" i="2"/>
  <c r="F50" i="2"/>
  <c r="E50" i="2"/>
  <c r="F16" i="2"/>
  <c r="E16" i="2"/>
  <c r="C4" i="9" s="1"/>
  <c r="F15" i="2"/>
  <c r="F59" i="2" s="1"/>
  <c r="E15" i="2"/>
  <c r="F14" i="2"/>
  <c r="E14" i="2"/>
  <c r="E20" i="2" l="1"/>
  <c r="E21" i="2" s="1"/>
  <c r="E2" i="10"/>
  <c r="G2" i="10" s="1"/>
  <c r="H10" i="6"/>
  <c r="F20" i="2"/>
  <c r="F21" i="2" s="1"/>
  <c r="E59" i="2"/>
  <c r="C3" i="9" s="1"/>
  <c r="J14" i="2"/>
  <c r="H60" i="2"/>
  <c r="H58" i="2"/>
  <c r="O63" i="2"/>
  <c r="I62" i="2"/>
  <c r="I60" i="2"/>
  <c r="I58" i="2"/>
  <c r="N60" i="2"/>
  <c r="N58" i="2"/>
  <c r="D29" i="8"/>
  <c r="J15" i="2"/>
  <c r="H59" i="2"/>
  <c r="J52" i="2"/>
  <c r="O62" i="2"/>
  <c r="O58" i="2"/>
  <c r="H2" i="9" s="1"/>
  <c r="H5" i="9"/>
  <c r="O60" i="2"/>
  <c r="E60" i="2"/>
  <c r="C5" i="9" s="1"/>
  <c r="E58" i="2"/>
  <c r="C2" i="9" s="1"/>
  <c r="I59" i="2"/>
  <c r="J50" i="2"/>
  <c r="J53" i="2"/>
  <c r="N59" i="2"/>
  <c r="F3" i="9" s="1"/>
  <c r="F60" i="2"/>
  <c r="F58" i="2"/>
  <c r="F62" i="2"/>
  <c r="F63" i="2"/>
  <c r="E5" i="10"/>
  <c r="D4" i="9"/>
  <c r="I56" i="2"/>
  <c r="I63" i="2"/>
  <c r="O59" i="2"/>
  <c r="H3" i="9" s="1"/>
  <c r="J54" i="2"/>
  <c r="D28" i="8"/>
  <c r="F4" i="9"/>
  <c r="H20" i="2"/>
  <c r="H56" i="2"/>
  <c r="I20" i="2"/>
  <c r="F29" i="5"/>
  <c r="F28" i="6"/>
  <c r="H28" i="6" s="1"/>
  <c r="F22" i="1"/>
  <c r="B55" i="2"/>
  <c r="C54" i="2"/>
  <c r="B54" i="2"/>
  <c r="C53" i="2"/>
  <c r="B53" i="2"/>
  <c r="C52" i="2"/>
  <c r="B52" i="2"/>
  <c r="C51" i="2"/>
  <c r="B51" i="2"/>
  <c r="C50" i="2"/>
  <c r="B50" i="2"/>
  <c r="C16" i="2"/>
  <c r="B16" i="2"/>
  <c r="C15" i="2"/>
  <c r="B15" i="2"/>
  <c r="C14" i="2"/>
  <c r="B14" i="2"/>
  <c r="F2" i="9" l="1"/>
  <c r="Q58" i="2"/>
  <c r="F5" i="9"/>
  <c r="Q60" i="2"/>
  <c r="E9" i="10"/>
  <c r="G9" i="10" s="1"/>
  <c r="G5" i="10"/>
  <c r="C59" i="2"/>
  <c r="B4" i="9"/>
  <c r="D2" i="9"/>
  <c r="E13" i="10"/>
  <c r="G13" i="10" s="1"/>
  <c r="D5" i="9"/>
  <c r="I21" i="2"/>
  <c r="B20" i="2"/>
  <c r="B21" i="2" s="1"/>
  <c r="B60" i="2"/>
  <c r="B5" i="9" s="1"/>
  <c r="B58" i="2"/>
  <c r="B2" i="9" s="1"/>
  <c r="C20" i="2"/>
  <c r="C21" i="2" s="1"/>
  <c r="C60" i="2"/>
  <c r="C58" i="2"/>
  <c r="C62" i="2"/>
  <c r="C63" i="2"/>
  <c r="B59" i="2"/>
  <c r="B3" i="9" s="1"/>
  <c r="D30" i="8"/>
  <c r="D3" i="9"/>
  <c r="I57" i="2"/>
  <c r="J20" i="2"/>
  <c r="H21" i="2"/>
  <c r="J56" i="2"/>
  <c r="H57" i="2"/>
  <c r="B25" i="5"/>
  <c r="B27" i="5" s="1"/>
  <c r="C25" i="5"/>
  <c r="C27" i="5" s="1"/>
  <c r="B15" i="5"/>
  <c r="C15" i="5"/>
  <c r="D15" i="5"/>
  <c r="E15" i="5"/>
  <c r="E15" i="10" l="1"/>
  <c r="G15" i="10" s="1"/>
  <c r="I61" i="2"/>
  <c r="J57" i="2"/>
  <c r="H61" i="2"/>
  <c r="D6" i="9" s="1"/>
  <c r="D31" i="8"/>
  <c r="J21" i="2"/>
  <c r="D7" i="1"/>
  <c r="C28" i="5"/>
  <c r="B7" i="1"/>
  <c r="C7" i="1"/>
  <c r="E7" i="1"/>
  <c r="C10" i="6"/>
  <c r="C21" i="6"/>
  <c r="F56" i="2"/>
  <c r="F57" i="2" s="1"/>
  <c r="F61" i="2" s="1"/>
  <c r="E56" i="2"/>
  <c r="E57" i="2" s="1"/>
  <c r="E61" i="2" s="1"/>
  <c r="C6" i="9" s="1"/>
  <c r="C28" i="6" l="1"/>
  <c r="B14" i="1" l="1"/>
  <c r="B20" i="1"/>
  <c r="B22" i="1" l="1"/>
  <c r="D21" i="6" l="1"/>
  <c r="E21" i="6"/>
  <c r="E10" i="6"/>
  <c r="D10" i="6"/>
  <c r="B28" i="5" l="1"/>
  <c r="D20" i="1"/>
  <c r="C20" i="1"/>
  <c r="E20" i="1"/>
  <c r="C14" i="1"/>
  <c r="D14" i="1"/>
  <c r="E14" i="1"/>
  <c r="E28" i="5" l="1"/>
  <c r="D28" i="5"/>
  <c r="D28" i="6"/>
  <c r="E28" i="6"/>
  <c r="E29" i="5" l="1"/>
  <c r="C22" i="1"/>
  <c r="D22" i="1"/>
  <c r="E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I2" i="8" l="1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F18" i="8"/>
  <c r="F17" i="8"/>
  <c r="J17" i="8" s="1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5" i="8" l="1"/>
  <c r="J9" i="8"/>
  <c r="J19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J21" i="8"/>
  <c r="G16" i="7"/>
  <c r="J16" i="7"/>
  <c r="G21" i="7"/>
  <c r="G3" i="7"/>
  <c r="G7" i="7"/>
  <c r="G2" i="7"/>
  <c r="G8" i="7"/>
  <c r="G17" i="7"/>
  <c r="G18" i="7"/>
  <c r="G13" i="7"/>
  <c r="G10" i="7"/>
  <c r="G6" i="7"/>
  <c r="G14" i="7"/>
  <c r="G12" i="7"/>
  <c r="G9" i="7"/>
  <c r="G4" i="7"/>
  <c r="G15" i="7"/>
  <c r="G5" i="7"/>
  <c r="J20" i="7"/>
  <c r="J21" i="7"/>
  <c r="I28" i="8"/>
  <c r="I30" i="8" s="1"/>
  <c r="I31" i="8" s="1"/>
  <c r="G11" i="7" l="1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P55" i="2" l="1"/>
  <c r="F29" i="8"/>
  <c r="J28" i="8"/>
  <c r="P51" i="2"/>
  <c r="P54" i="2"/>
  <c r="P53" i="2"/>
  <c r="P52" i="2"/>
  <c r="P50" i="2"/>
  <c r="P16" i="2"/>
  <c r="P14" i="2"/>
  <c r="P15" i="2"/>
  <c r="O56" i="2"/>
  <c r="R56" i="2" s="1"/>
  <c r="N56" i="2"/>
  <c r="Q56" i="2" s="1"/>
  <c r="O57" i="2" l="1"/>
  <c r="R57" i="2" s="1"/>
  <c r="F30" i="8"/>
  <c r="F31" i="8"/>
  <c r="J30" i="8"/>
  <c r="J29" i="8"/>
  <c r="P21" i="2"/>
  <c r="P20" i="2"/>
  <c r="N57" i="2"/>
  <c r="Q57" i="2" s="1"/>
  <c r="P56" i="2"/>
  <c r="G12" i="2"/>
  <c r="D55" i="2"/>
  <c r="D54" i="2"/>
  <c r="G21" i="8" l="1"/>
  <c r="P57" i="2"/>
  <c r="N61" i="2"/>
  <c r="F6" i="9" s="1"/>
  <c r="O61" i="2"/>
  <c r="H6" i="9" s="1"/>
  <c r="G17" i="8"/>
  <c r="G13" i="8"/>
  <c r="G23" i="8"/>
  <c r="G18" i="8"/>
  <c r="G14" i="8"/>
  <c r="G31" i="8"/>
  <c r="G16" i="8"/>
  <c r="G12" i="8"/>
  <c r="G8" i="8"/>
  <c r="G9" i="8"/>
  <c r="G24" i="8"/>
  <c r="G26" i="8"/>
  <c r="G11" i="8"/>
  <c r="G3" i="8"/>
  <c r="G6" i="8"/>
  <c r="G5" i="8"/>
  <c r="G25" i="8"/>
  <c r="G22" i="8"/>
  <c r="G7" i="8"/>
  <c r="G2" i="8"/>
  <c r="G15" i="8"/>
  <c r="G4" i="8"/>
  <c r="G19" i="8"/>
  <c r="G20" i="8"/>
  <c r="G10" i="8"/>
  <c r="G27" i="8"/>
  <c r="J31" i="8"/>
  <c r="G28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G20" i="2" l="1"/>
  <c r="G56" i="2"/>
  <c r="G16" i="2"/>
  <c r="D21" i="2"/>
  <c r="D20" i="2"/>
  <c r="B57" i="2"/>
  <c r="D56" i="2"/>
  <c r="D57" i="2" l="1"/>
  <c r="B61" i="2"/>
  <c r="B6" i="9" s="1"/>
  <c r="G21" i="2"/>
  <c r="G57" i="2"/>
</calcChain>
</file>

<file path=xl/sharedStrings.xml><?xml version="1.0" encoding="utf-8"?>
<sst xmlns="http://schemas.openxmlformats.org/spreadsheetml/2006/main" count="475" uniqueCount="372">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</sst>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6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648936704479"/>
          <c:y val="3.6416650591281879E-2"/>
          <c:w val="0.86554832861490816"/>
          <c:h val="0.78902477947494853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Risultato_amministrazione!$B$3:$G$3</c:f>
              <c:numCache>
                <c:formatCode>#,##0</c:formatCode>
                <c:ptCount val="6"/>
                <c:pt idx="0">
                  <c:v>5672149328.3800001</c:v>
                </c:pt>
                <c:pt idx="1">
                  <c:v>4913933982.7600002</c:v>
                </c:pt>
                <c:pt idx="2">
                  <c:v>5130656623.6800003</c:v>
                </c:pt>
                <c:pt idx="3">
                  <c:v>4728144815.96</c:v>
                </c:pt>
                <c:pt idx="4">
                  <c:v>4073782761.9499998</c:v>
                </c:pt>
                <c:pt idx="5">
                  <c:v>3634582714.5900002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Risultato_amministrazione!$B$4:$G$4</c:f>
              <c:numCache>
                <c:formatCode>#,##0</c:formatCode>
                <c:ptCount val="6"/>
                <c:pt idx="0">
                  <c:v>5862727287.2799997</c:v>
                </c:pt>
                <c:pt idx="1">
                  <c:v>4899086823.6899996</c:v>
                </c:pt>
                <c:pt idx="2">
                  <c:v>5029208200.9300003</c:v>
                </c:pt>
                <c:pt idx="3">
                  <c:v>4557448478.9399996</c:v>
                </c:pt>
                <c:pt idx="4">
                  <c:v>4014975940.6300001</c:v>
                </c:pt>
                <c:pt idx="5">
                  <c:v>3835507092.2600002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0402480"/>
        <c:axId val="-1450389968"/>
      </c:lineChart>
      <c:catAx>
        <c:axId val="-14504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50389968"/>
        <c:crosses val="autoZero"/>
        <c:auto val="1"/>
        <c:lblAlgn val="ctr"/>
        <c:lblOffset val="100"/>
        <c:noMultiLvlLbl val="0"/>
      </c:catAx>
      <c:valAx>
        <c:axId val="-1450389968"/>
        <c:scaling>
          <c:orientation val="minMax"/>
          <c:min val="35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450402480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5.9095106186518934E-2"/>
          <c:w val="0.95679921453118866"/>
          <c:h val="0.75447233915705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64.569999999999993</c:v>
                </c:pt>
                <c:pt idx="1">
                  <c:v>71.209999999999994</c:v>
                </c:pt>
                <c:pt idx="2">
                  <c:v>84.76</c:v>
                </c:pt>
                <c:pt idx="3">
                  <c:v>86.62</c:v>
                </c:pt>
                <c:pt idx="4">
                  <c:v>90.27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8306320"/>
        <c:axId val="-1458295440"/>
      </c:barChart>
      <c:catAx>
        <c:axId val="-145830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8295440"/>
        <c:crosses val="autoZero"/>
        <c:auto val="1"/>
        <c:lblAlgn val="ctr"/>
        <c:lblOffset val="100"/>
        <c:noMultiLvlLbl val="0"/>
      </c:catAx>
      <c:valAx>
        <c:axId val="-1458295440"/>
        <c:scaling>
          <c:orientation val="minMax"/>
          <c:max val="26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45830632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8948232163500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-3.2</c:v>
                </c:pt>
                <c:pt idx="1">
                  <c:v>-8.4600000000000009</c:v>
                </c:pt>
                <c:pt idx="2">
                  <c:v>-10.02</c:v>
                </c:pt>
                <c:pt idx="3">
                  <c:v>-12.44</c:v>
                </c:pt>
                <c:pt idx="4">
                  <c:v>-17.920000000000002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8303600"/>
        <c:axId val="-1458301968"/>
      </c:barChart>
      <c:catAx>
        <c:axId val="-14583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8301968"/>
        <c:crosses val="autoZero"/>
        <c:auto val="1"/>
        <c:lblAlgn val="ctr"/>
        <c:lblOffset val="100"/>
        <c:noMultiLvlLbl val="0"/>
      </c:catAx>
      <c:valAx>
        <c:axId val="-1458301968"/>
        <c:scaling>
          <c:orientation val="minMax"/>
          <c:max val="10"/>
          <c:min val="-20"/>
        </c:scaling>
        <c:delete val="1"/>
        <c:axPos val="l"/>
        <c:numFmt formatCode="0" sourceLinked="0"/>
        <c:majorTickMark val="out"/>
        <c:minorTickMark val="none"/>
        <c:tickLblPos val="nextTo"/>
        <c:crossAx val="-145830360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151.87</c:v>
                </c:pt>
                <c:pt idx="1">
                  <c:v>151.77000000000001</c:v>
                </c:pt>
                <c:pt idx="2">
                  <c:v>134.34</c:v>
                </c:pt>
                <c:pt idx="3">
                  <c:v>839.97333657960348</c:v>
                </c:pt>
                <c:pt idx="4">
                  <c:v>285.34070157179946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2324544"/>
        <c:axId val="-1342317472"/>
      </c:barChart>
      <c:catAx>
        <c:axId val="-13423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342317472"/>
        <c:crosses val="autoZero"/>
        <c:auto val="1"/>
        <c:lblAlgn val="ctr"/>
        <c:lblOffset val="100"/>
        <c:noMultiLvlLbl val="0"/>
      </c:catAx>
      <c:valAx>
        <c:axId val="-1342317472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34232454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9455982310043105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4438937</c:v>
                </c:pt>
                <c:pt idx="1">
                  <c:v>4464119</c:v>
                </c:pt>
                <c:pt idx="2">
                  <c:v>4459453</c:v>
                </c:pt>
                <c:pt idx="3">
                  <c:v>4445920</c:v>
                </c:pt>
                <c:pt idx="4">
                  <c:v>4439768</c:v>
                </c:pt>
                <c:pt idx="5">
                  <c:v>4435480</c:v>
                </c:pt>
                <c:pt idx="6">
                  <c:v>4434377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2319104"/>
        <c:axId val="-1342318016"/>
      </c:barChart>
      <c:catAx>
        <c:axId val="-1342319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342318016"/>
        <c:crosses val="autoZero"/>
        <c:auto val="1"/>
        <c:lblAlgn val="ctr"/>
        <c:lblOffset val="100"/>
        <c:noMultiLvlLbl val="0"/>
      </c:catAx>
      <c:valAx>
        <c:axId val="-1342318016"/>
        <c:scaling>
          <c:orientation val="minMax"/>
          <c:max val="46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34231910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63732981.899999999</c:v>
                </c:pt>
                <c:pt idx="1">
                  <c:v>111147202.3</c:v>
                </c:pt>
                <c:pt idx="2">
                  <c:v>171401679.88</c:v>
                </c:pt>
                <c:pt idx="3">
                  <c:v>219253703.21000001</c:v>
                </c:pt>
                <c:pt idx="4">
                  <c:v>258084974.06</c:v>
                </c:pt>
                <c:pt idx="5">
                  <c:v>248576626.47999999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Risultato_amministrazione!$B$9:$G$9</c:f>
              <c:numCache>
                <c:formatCode>#,##0</c:formatCode>
                <c:ptCount val="6"/>
                <c:pt idx="0">
                  <c:v>217717184.38999999</c:v>
                </c:pt>
                <c:pt idx="1">
                  <c:v>150006271.13</c:v>
                </c:pt>
                <c:pt idx="2">
                  <c:v>100710691.31999999</c:v>
                </c:pt>
                <c:pt idx="3">
                  <c:v>62150512.859999999</c:v>
                </c:pt>
                <c:pt idx="4">
                  <c:v>50503027.07</c:v>
                </c:pt>
                <c:pt idx="5">
                  <c:v>34045896.640000001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Risultato_amministrazione!$B$10:$G$10</c:f>
              <c:numCache>
                <c:formatCode>#,##0</c:formatCode>
                <c:ptCount val="6"/>
                <c:pt idx="0">
                  <c:v>937356898.73000002</c:v>
                </c:pt>
                <c:pt idx="1">
                  <c:v>916963541.29999995</c:v>
                </c:pt>
                <c:pt idx="2">
                  <c:v>895976672.40999997</c:v>
                </c:pt>
                <c:pt idx="3">
                  <c:v>874378328.37</c:v>
                </c:pt>
                <c:pt idx="4">
                  <c:v>852149988.80999994</c:v>
                </c:pt>
                <c:pt idx="5">
                  <c:v>829272559.23000002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Risultato_amministrazione!$B$52:$G$52</c:f>
              <c:numCache>
                <c:formatCode>#,##0</c:formatCode>
                <c:ptCount val="6"/>
                <c:pt idx="0">
                  <c:v>16610092.200000048</c:v>
                </c:pt>
                <c:pt idx="1">
                  <c:v>23154769.250000048</c:v>
                </c:pt>
                <c:pt idx="2">
                  <c:v>25298747.500000048</c:v>
                </c:pt>
                <c:pt idx="3">
                  <c:v>52442298.500000015</c:v>
                </c:pt>
                <c:pt idx="4">
                  <c:v>47991639.479999974</c:v>
                </c:pt>
                <c:pt idx="5">
                  <c:v>91108294.820000067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0389424"/>
        <c:axId val="-1450401392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31289111389254E-2"/>
                  <c:y val="3.661326351507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31289111389254E-2"/>
                  <c:y val="2.1357737050460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687526074259502E-2"/>
                  <c:y val="4.5766579393843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0250312891114E-2"/>
                  <c:y val="4.5766579393843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Risultato_amministrazione!$B$24:$G$24</c:f>
              <c:numCache>
                <c:formatCode>0.0</c:formatCode>
                <c:ptCount val="6"/>
                <c:pt idx="0">
                  <c:v>1.1236125533775838</c:v>
                </c:pt>
                <c:pt idx="1">
                  <c:v>2.2618782159049715</c:v>
                </c:pt>
                <c:pt idx="2">
                  <c:v>3.3407357469395582</c:v>
                </c:pt>
                <c:pt idx="3">
                  <c:v>4.6372036336514544</c:v>
                </c:pt>
                <c:pt idx="4">
                  <c:v>6.3352659957857531</c:v>
                </c:pt>
                <c:pt idx="5">
                  <c:v>6.8392067535609984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0388880"/>
        <c:axId val="-1450395408"/>
      </c:lineChart>
      <c:catAx>
        <c:axId val="-145038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50401392"/>
        <c:crosses val="autoZero"/>
        <c:auto val="1"/>
        <c:lblAlgn val="ctr"/>
        <c:lblOffset val="100"/>
        <c:noMultiLvlLbl val="0"/>
      </c:catAx>
      <c:valAx>
        <c:axId val="-14504013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50389424"/>
        <c:crosses val="autoZero"/>
        <c:crossBetween val="between"/>
      </c:valAx>
      <c:valAx>
        <c:axId val="-14503954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50388880"/>
        <c:crosses val="max"/>
        <c:crossBetween val="between"/>
        <c:majorUnit val="1"/>
      </c:valAx>
      <c:catAx>
        <c:axId val="-145038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4503954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12E-2"/>
          <c:y val="1.9227205294990467E-2"/>
          <c:w val="0.84720989801576563"/>
          <c:h val="0.968978964585948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343348025842577E-3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038449359335609E-3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338991206.59000504</c:v>
                </c:pt>
                <c:pt idx="1">
                  <c:v>393746670.19000292</c:v>
                </c:pt>
                <c:pt idx="2">
                  <c:v>457199862.10999984</c:v>
                </c:pt>
                <c:pt idx="3">
                  <c:v>378533598.03999996</c:v>
                </c:pt>
                <c:pt idx="4">
                  <c:v>254072653.92999825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88336"/>
        <c:axId val="-1450400848"/>
      </c:barChart>
      <c:catAx>
        <c:axId val="-145038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450400848"/>
        <c:crosses val="autoZero"/>
        <c:auto val="1"/>
        <c:lblAlgn val="ctr"/>
        <c:lblOffset val="100"/>
        <c:noMultiLvlLbl val="0"/>
      </c:catAx>
      <c:valAx>
        <c:axId val="-14504008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4503883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4737839078.7299995</c:v>
                </c:pt>
                <c:pt idx="1">
                  <c:v>4420149665.8900003</c:v>
                </c:pt>
                <c:pt idx="2">
                  <c:v>4493696310.2399998</c:v>
                </c:pt>
                <c:pt idx="3">
                  <c:v>4393367167.25</c:v>
                </c:pt>
                <c:pt idx="4">
                  <c:v>3745841775.0900002</c:v>
                </c:pt>
                <c:pt idx="5">
                  <c:v>1273794847.3599999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89819596.780000001</c:v>
                </c:pt>
                <c:pt idx="1">
                  <c:v>80184837.790000007</c:v>
                </c:pt>
                <c:pt idx="2">
                  <c:v>85706800.810000002</c:v>
                </c:pt>
                <c:pt idx="3">
                  <c:v>91228320.25</c:v>
                </c:pt>
                <c:pt idx="4">
                  <c:v>89482719.299999997</c:v>
                </c:pt>
                <c:pt idx="5">
                  <c:v>79853639.040000007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2647723056.6100001</c:v>
                </c:pt>
                <c:pt idx="1">
                  <c:v>1895734438.98</c:v>
                </c:pt>
                <c:pt idx="2">
                  <c:v>1856993113.99</c:v>
                </c:pt>
                <c:pt idx="3">
                  <c:v>1400171408.77</c:v>
                </c:pt>
                <c:pt idx="4">
                  <c:v>1439913890.46</c:v>
                </c:pt>
                <c:pt idx="5">
                  <c:v>1794041572.6099999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284185367.98000002</c:v>
                </c:pt>
                <c:pt idx="1">
                  <c:v>225511383.65000001</c:v>
                </c:pt>
                <c:pt idx="2">
                  <c:v>167255778.99000001</c:v>
                </c:pt>
                <c:pt idx="3">
                  <c:v>121478593.40000001</c:v>
                </c:pt>
                <c:pt idx="4">
                  <c:v>111053844.34</c:v>
                </c:pt>
                <c:pt idx="5">
                  <c:v>1992157777.25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0400304"/>
        <c:axId val="-1346814560"/>
      </c:barChart>
      <c:catAx>
        <c:axId val="-145040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6814560"/>
        <c:crosses val="autoZero"/>
        <c:auto val="1"/>
        <c:lblAlgn val="ctr"/>
        <c:lblOffset val="100"/>
        <c:noMultiLvlLbl val="0"/>
      </c:catAx>
      <c:valAx>
        <c:axId val="-1346814560"/>
        <c:scaling>
          <c:orientation val="minMax"/>
          <c:max val="8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45040030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899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-2473867415.8699999</c:v>
                </c:pt>
                <c:pt idx="1">
                  <c:v>-2467758756.96</c:v>
                </c:pt>
                <c:pt idx="2">
                  <c:v>-2160500543.52</c:v>
                </c:pt>
                <c:pt idx="3">
                  <c:v>-1766753873.3299999</c:v>
                </c:pt>
                <c:pt idx="4">
                  <c:v>-1310591488.74</c:v>
                </c:pt>
                <c:pt idx="5">
                  <c:v>-952107059.91999996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23629998.82</c:v>
                </c:pt>
                <c:pt idx="1">
                  <c:v>23629998.82</c:v>
                </c:pt>
                <c:pt idx="2">
                  <c:v>493526460.33999997</c:v>
                </c:pt>
                <c:pt idx="3">
                  <c:v>398838593.32999998</c:v>
                </c:pt>
                <c:pt idx="4">
                  <c:v>399876070.85000002</c:v>
                </c:pt>
                <c:pt idx="5">
                  <c:v>797601900.65999997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338991206.58999997</c:v>
                </c:pt>
                <c:pt idx="2">
                  <c:v>393746670.19</c:v>
                </c:pt>
                <c:pt idx="3">
                  <c:v>457199862.11000001</c:v>
                </c:pt>
                <c:pt idx="4">
                  <c:v>378533598.04000002</c:v>
                </c:pt>
                <c:pt idx="5">
                  <c:v>254072653.93000001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6818912"/>
        <c:axId val="-1346818368"/>
      </c:barChart>
      <c:catAx>
        <c:axId val="-134681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346818368"/>
        <c:crosses val="autoZero"/>
        <c:auto val="1"/>
        <c:lblAlgn val="ctr"/>
        <c:lblOffset val="100"/>
        <c:noMultiLvlLbl val="0"/>
      </c:catAx>
      <c:valAx>
        <c:axId val="-1346818368"/>
        <c:scaling>
          <c:orientation val="minMax"/>
          <c:max val="1500000000"/>
          <c:min val="-25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-1346818912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E-2"/>
          <c:w val="0.912266379073744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72.53</c:v>
                </c:pt>
                <c:pt idx="1">
                  <c:v>70.39</c:v>
                </c:pt>
                <c:pt idx="2">
                  <c:v>72.709999999999994</c:v>
                </c:pt>
                <c:pt idx="3">
                  <c:v>75.89</c:v>
                </c:pt>
                <c:pt idx="4">
                  <c:v>79.45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74.392310629328506</c:v>
                </c:pt>
                <c:pt idx="1">
                  <c:v>71.621571587127974</c:v>
                </c:pt>
                <c:pt idx="2">
                  <c:v>74.61878009081218</c:v>
                </c:pt>
                <c:pt idx="3">
                  <c:v>77.631096386458481</c:v>
                </c:pt>
                <c:pt idx="4">
                  <c:v>80.519169701301379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69.89502619315482</c:v>
                </c:pt>
                <c:pt idx="1">
                  <c:v>67.564652872612029</c:v>
                </c:pt>
                <c:pt idx="2">
                  <c:v>71.475237299352841</c:v>
                </c:pt>
                <c:pt idx="3">
                  <c:v>75.064632794940096</c:v>
                </c:pt>
                <c:pt idx="4">
                  <c:v>77.659802301304936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6820544"/>
        <c:axId val="-1346820000"/>
      </c:lineChart>
      <c:catAx>
        <c:axId val="-134682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6820000"/>
        <c:crosses val="autoZero"/>
        <c:auto val="1"/>
        <c:lblAlgn val="ctr"/>
        <c:lblOffset val="100"/>
        <c:noMultiLvlLbl val="0"/>
      </c:catAx>
      <c:valAx>
        <c:axId val="-1346820000"/>
        <c:scaling>
          <c:orientation val="minMax"/>
          <c:max val="82"/>
          <c:min val="6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34682054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21"/>
          <c:w val="0.96177967444791601"/>
          <c:h val="0.1795680460155260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4495336004729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0.76078822649039646</c:v>
                </c:pt>
                <c:pt idx="1">
                  <c:v>0.67218821269955598</c:v>
                </c:pt>
                <c:pt idx="2">
                  <c:v>0.69273218269343662</c:v>
                </c:pt>
                <c:pt idx="3">
                  <c:v>0.67028776147001035</c:v>
                </c:pt>
                <c:pt idx="4">
                  <c:v>0.62900545929266549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1.0725866799700672</c:v>
                </c:pt>
                <c:pt idx="1">
                  <c:v>1.1403192894010321</c:v>
                </c:pt>
                <c:pt idx="2">
                  <c:v>1.1271574498062698</c:v>
                </c:pt>
                <c:pt idx="3">
                  <c:v>1.6063792904195078</c:v>
                </c:pt>
                <c:pt idx="4">
                  <c:v>0.90197009257061478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6.1985532551758542</c:v>
                </c:pt>
                <c:pt idx="1">
                  <c:v>6.5418317128796062</c:v>
                </c:pt>
                <c:pt idx="2">
                  <c:v>5.8471292708700249</c:v>
                </c:pt>
                <c:pt idx="3">
                  <c:v>6.1481567086559581</c:v>
                </c:pt>
                <c:pt idx="4">
                  <c:v>6.1001661523854729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1.2846096283362434</c:v>
                </c:pt>
                <c:pt idx="1">
                  <c:v>1.1283159284599686</c:v>
                </c:pt>
                <c:pt idx="2">
                  <c:v>1.4676529294352472</c:v>
                </c:pt>
                <c:pt idx="3">
                  <c:v>1.3521322084826071</c:v>
                </c:pt>
                <c:pt idx="4">
                  <c:v>2.1837170662235934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80.144674482414572</c:v>
                </c:pt>
                <c:pt idx="1">
                  <c:v>80.818629216180526</c:v>
                </c:pt>
                <c:pt idx="2">
                  <c:v>78.71316191147119</c:v>
                </c:pt>
                <c:pt idx="3">
                  <c:v>78.412111406448631</c:v>
                </c:pt>
                <c:pt idx="4">
                  <c:v>78.067885117493475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6817280"/>
        <c:axId val="-1346816736"/>
      </c:barChart>
      <c:catAx>
        <c:axId val="-134681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346816736"/>
        <c:crosses val="autoZero"/>
        <c:auto val="1"/>
        <c:lblAlgn val="ctr"/>
        <c:lblOffset val="100"/>
        <c:noMultiLvlLbl val="0"/>
      </c:catAx>
      <c:valAx>
        <c:axId val="-1346816736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34681728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45563394884009523"/>
          <c:h val="0.2191561640750369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07E-2"/>
          <c:w val="0.9122665336936"/>
          <c:h val="0.71915787122354569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95.92</c:v>
                </c:pt>
                <c:pt idx="1">
                  <c:v>90.85</c:v>
                </c:pt>
                <c:pt idx="2">
                  <c:v>94.3</c:v>
                </c:pt>
                <c:pt idx="3">
                  <c:v>94.46</c:v>
                </c:pt>
                <c:pt idx="4">
                  <c:v>79.52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60.35</c:v>
                </c:pt>
                <c:pt idx="1">
                  <c:v>69.06</c:v>
                </c:pt>
                <c:pt idx="2">
                  <c:v>67.42</c:v>
                </c:pt>
                <c:pt idx="3">
                  <c:v>70.81</c:v>
                </c:pt>
                <c:pt idx="4">
                  <c:v>75.3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90.15</c:v>
                </c:pt>
                <c:pt idx="1">
                  <c:v>85.42</c:v>
                </c:pt>
                <c:pt idx="2">
                  <c:v>92.06</c:v>
                </c:pt>
                <c:pt idx="3">
                  <c:v>86.08</c:v>
                </c:pt>
                <c:pt idx="4">
                  <c:v>87.82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49.51</c:v>
                </c:pt>
                <c:pt idx="1">
                  <c:v>69.069999999999993</c:v>
                </c:pt>
                <c:pt idx="2">
                  <c:v>79.37</c:v>
                </c:pt>
                <c:pt idx="3">
                  <c:v>84.23</c:v>
                </c:pt>
                <c:pt idx="4">
                  <c:v>85.13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86</c:v>
                </c:pt>
                <c:pt idx="1">
                  <c:v>86.26</c:v>
                </c:pt>
                <c:pt idx="2">
                  <c:v>90.58</c:v>
                </c:pt>
                <c:pt idx="3">
                  <c:v>89.93</c:v>
                </c:pt>
                <c:pt idx="4">
                  <c:v>87.93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6815104"/>
        <c:axId val="-1458300336"/>
      </c:lineChart>
      <c:catAx>
        <c:axId val="-134681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8300336"/>
        <c:crosses val="autoZero"/>
        <c:auto val="1"/>
        <c:lblAlgn val="ctr"/>
        <c:lblOffset val="100"/>
        <c:noMultiLvlLbl val="0"/>
      </c:catAx>
      <c:valAx>
        <c:axId val="-1458300336"/>
        <c:scaling>
          <c:orientation val="minMax"/>
          <c:max val="100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34681510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7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27E-2"/>
          <c:y val="0"/>
          <c:w val="0.95679921453118799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41.26</c:v>
                </c:pt>
                <c:pt idx="1">
                  <c:v>40.83</c:v>
                </c:pt>
                <c:pt idx="2">
                  <c:v>42.25</c:v>
                </c:pt>
                <c:pt idx="3">
                  <c:v>41.98</c:v>
                </c:pt>
                <c:pt idx="4">
                  <c:v>41.04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8305232"/>
        <c:axId val="-1458295984"/>
      </c:barChart>
      <c:catAx>
        <c:axId val="-145830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8295984"/>
        <c:crosses val="autoZero"/>
        <c:auto val="1"/>
        <c:lblAlgn val="ctr"/>
        <c:lblOffset val="100"/>
        <c:noMultiLvlLbl val="0"/>
      </c:catAx>
      <c:valAx>
        <c:axId val="-1458295984"/>
        <c:scaling>
          <c:orientation val="minMax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45830523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10</xdr:col>
      <xdr:colOff>247650</xdr:colOff>
      <xdr:row>49</xdr:row>
      <xdr:rowOff>38099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2381250</xdr:colOff>
      <xdr:row>52</xdr:row>
      <xdr:rowOff>133350</xdr:rowOff>
    </xdr:from>
    <xdr:to>
      <xdr:col>11</xdr:col>
      <xdr:colOff>9525</xdr:colOff>
      <xdr:row>74</xdr:row>
      <xdr:rowOff>104776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257173</xdr:colOff>
      <xdr:row>10</xdr:row>
      <xdr:rowOff>47624</xdr:rowOff>
    </xdr:from>
    <xdr:to>
      <xdr:col>10</xdr:col>
      <xdr:colOff>9525</xdr:colOff>
      <xdr:row>27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workbookViewId="0">
      <pane xSplit="1" ySplit="2" topLeftCell="G38" activePane="bottomRight" state="frozen"/>
      <selection pane="topRight" activeCell="B1" sqref="B1"/>
      <selection pane="bottomLeft" activeCell="A3" sqref="A3"/>
      <selection pane="bottomRight" activeCell="Q2" sqref="Q1:R1048576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1">
        <v>2016</v>
      </c>
      <c r="C1" s="111"/>
      <c r="D1" s="112"/>
      <c r="E1" s="113">
        <v>2017</v>
      </c>
      <c r="F1" s="111"/>
      <c r="G1" s="112"/>
      <c r="H1" s="113">
        <v>2018</v>
      </c>
      <c r="I1" s="111"/>
      <c r="J1" s="112"/>
      <c r="K1" s="113">
        <v>2019</v>
      </c>
      <c r="L1" s="111"/>
      <c r="M1" s="112"/>
      <c r="N1" s="113">
        <v>2020</v>
      </c>
      <c r="O1" s="111"/>
      <c r="P1" s="112"/>
      <c r="Q1" s="110" t="s">
        <v>232</v>
      </c>
      <c r="R1" s="110"/>
    </row>
    <row r="2" spans="1:18" x14ac:dyDescent="0.3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 x14ac:dyDescent="0.3">
      <c r="A3" t="s">
        <v>19</v>
      </c>
      <c r="B3" s="28">
        <v>9766223580.75</v>
      </c>
      <c r="C3" s="28">
        <v>7808308160.9399996</v>
      </c>
      <c r="D3" s="20">
        <f>IF(B3&gt;0,C3/B3*100,"-")</f>
        <v>79.95217492594368</v>
      </c>
      <c r="E3" s="28">
        <v>9849534544.6299992</v>
      </c>
      <c r="F3" s="28">
        <v>8116313200.3900003</v>
      </c>
      <c r="G3" s="20">
        <f>IF(E3&gt;0,F3/E3*100,"-")</f>
        <v>82.403012686676064</v>
      </c>
      <c r="H3" s="28">
        <v>9970790967.5100002</v>
      </c>
      <c r="I3" s="28">
        <v>8306594188.4200001</v>
      </c>
      <c r="J3" s="20">
        <f>IF(H3&gt;0,I3/H3*100,"-")</f>
        <v>83.30928023150004</v>
      </c>
      <c r="K3" s="28">
        <v>10005078193</v>
      </c>
      <c r="L3" s="28">
        <v>8899038148.5499992</v>
      </c>
      <c r="M3" s="20">
        <f>IF(K3&gt;0,L3/K3*100,"-")</f>
        <v>88.945213389498193</v>
      </c>
      <c r="N3" s="28">
        <v>10213154515.82</v>
      </c>
      <c r="O3" s="28">
        <v>8780960606.6399994</v>
      </c>
      <c r="P3" s="20">
        <f>IF(N3&gt;0,O3/N3*100,"-")</f>
        <v>85.976968164326152</v>
      </c>
      <c r="Q3" s="13">
        <f t="shared" ref="Q3:R18" si="0">IF(K3&gt;0,N3/K3*100-100,"-")</f>
        <v>2.0797071127897766</v>
      </c>
      <c r="R3" s="13">
        <f t="shared" si="0"/>
        <v>-1.3268573517604096</v>
      </c>
    </row>
    <row r="4" spans="1:18" x14ac:dyDescent="0.3">
      <c r="A4" t="s">
        <v>20</v>
      </c>
      <c r="B4" s="28">
        <v>508043996.87</v>
      </c>
      <c r="C4" s="28">
        <v>342906898.25999999</v>
      </c>
      <c r="D4" s="20">
        <f t="shared" ref="D4:D21" si="1">IF(B4&gt;0,C4/B4*100,"-")</f>
        <v>67.495512273072706</v>
      </c>
      <c r="E4" s="28">
        <v>533011287.47000003</v>
      </c>
      <c r="F4" s="28">
        <v>281295955.67000002</v>
      </c>
      <c r="G4" s="20">
        <f t="shared" ref="G4:G21" si="2">IF(E4&gt;0,F4/E4*100,"-")</f>
        <v>52.774859047583014</v>
      </c>
      <c r="H4" s="28">
        <v>668311736.40999997</v>
      </c>
      <c r="I4" s="28">
        <v>535189927.33999997</v>
      </c>
      <c r="J4" s="20">
        <f t="shared" ref="J4:J13" si="3">IF(H4&gt;0,I4/H4*100,"-")</f>
        <v>80.080881149103206</v>
      </c>
      <c r="K4" s="28">
        <v>805686189.87</v>
      </c>
      <c r="L4" s="28">
        <v>675344782.96000004</v>
      </c>
      <c r="M4" s="20">
        <f t="shared" ref="M4:M13" si="4">IF(K4&gt;0,L4/K4*100,"-")</f>
        <v>83.822310901092777</v>
      </c>
      <c r="N4" s="28">
        <v>1281972658.79</v>
      </c>
      <c r="O4" s="28">
        <v>909312771.92999995</v>
      </c>
      <c r="P4" s="20">
        <f t="shared" ref="P4:P21" si="5">IF(N4&gt;0,O4/N4*100,"-")</f>
        <v>70.930746119676385</v>
      </c>
      <c r="Q4" s="13">
        <f t="shared" si="0"/>
        <v>59.115630242694152</v>
      </c>
      <c r="R4" s="13">
        <f t="shared" si="0"/>
        <v>34.644228381321142</v>
      </c>
    </row>
    <row r="5" spans="1:18" x14ac:dyDescent="0.3">
      <c r="A5" t="s">
        <v>21</v>
      </c>
      <c r="B5" s="28">
        <v>291065305</v>
      </c>
      <c r="C5" s="28">
        <v>286324324.86000001</v>
      </c>
      <c r="D5" s="20">
        <f t="shared" si="1"/>
        <v>98.371162739578338</v>
      </c>
      <c r="E5" s="28">
        <v>297529784.79000002</v>
      </c>
      <c r="F5" s="28">
        <v>291569822.51999998</v>
      </c>
      <c r="G5" s="20">
        <f t="shared" si="2"/>
        <v>97.996851886876925</v>
      </c>
      <c r="H5" s="28">
        <v>372010077.52999997</v>
      </c>
      <c r="I5" s="28">
        <v>363665165.01999998</v>
      </c>
      <c r="J5" s="20">
        <f t="shared" si="3"/>
        <v>97.756804717386444</v>
      </c>
      <c r="K5" s="28">
        <v>361719674.93000001</v>
      </c>
      <c r="L5" s="28">
        <v>352720534.60000002</v>
      </c>
      <c r="M5" s="20">
        <f t="shared" si="4"/>
        <v>97.512123073830168</v>
      </c>
      <c r="N5" s="28">
        <v>351492845.19999999</v>
      </c>
      <c r="O5" s="28">
        <v>344400167.44999999</v>
      </c>
      <c r="P5" s="20">
        <f t="shared" si="5"/>
        <v>97.982127418279518</v>
      </c>
      <c r="Q5" s="13">
        <f t="shared" si="0"/>
        <v>-2.8272804712597122</v>
      </c>
      <c r="R5" s="13">
        <f t="shared" si="0"/>
        <v>-2.3589120376662152</v>
      </c>
    </row>
    <row r="6" spans="1:18" x14ac:dyDescent="0.3">
      <c r="A6" t="s">
        <v>22</v>
      </c>
      <c r="B6" s="28">
        <v>14174.58</v>
      </c>
      <c r="C6" s="28">
        <v>14174.58</v>
      </c>
      <c r="D6" s="20">
        <f t="shared" si="1"/>
        <v>100</v>
      </c>
      <c r="E6" s="28">
        <v>11898.28</v>
      </c>
      <c r="F6" s="28">
        <v>10179.84</v>
      </c>
      <c r="G6" s="20">
        <f t="shared" si="2"/>
        <v>85.557240206147441</v>
      </c>
      <c r="H6" s="28">
        <v>10198.26</v>
      </c>
      <c r="I6" s="28">
        <v>10127.06</v>
      </c>
      <c r="J6" s="20">
        <f t="shared" si="3"/>
        <v>99.301841686719101</v>
      </c>
      <c r="K6" s="28">
        <v>13419.95</v>
      </c>
      <c r="L6" s="28">
        <v>13224.53</v>
      </c>
      <c r="M6" s="20">
        <f t="shared" si="4"/>
        <v>98.543809775744322</v>
      </c>
      <c r="N6" s="28">
        <v>2823.39</v>
      </c>
      <c r="O6" s="28">
        <v>1947.89</v>
      </c>
      <c r="P6" s="20">
        <f t="shared" si="5"/>
        <v>68.991177272711184</v>
      </c>
      <c r="Q6" s="13">
        <f t="shared" si="0"/>
        <v>-78.961247992727252</v>
      </c>
      <c r="R6" s="13">
        <f t="shared" si="0"/>
        <v>-85.270629655647497</v>
      </c>
    </row>
    <row r="7" spans="1:18" x14ac:dyDescent="0.3">
      <c r="A7" t="s">
        <v>23</v>
      </c>
      <c r="B7" s="28">
        <v>139405683.11000001</v>
      </c>
      <c r="C7" s="28">
        <v>95749421.040000007</v>
      </c>
      <c r="D7" s="20">
        <f t="shared" si="1"/>
        <v>68.684015532169923</v>
      </c>
      <c r="E7" s="28">
        <v>165952615.38999999</v>
      </c>
      <c r="F7" s="28">
        <v>59792440.020000003</v>
      </c>
      <c r="G7" s="20">
        <f t="shared" si="2"/>
        <v>36.029826875270196</v>
      </c>
      <c r="H7" s="28">
        <v>200525995.84999999</v>
      </c>
      <c r="I7" s="28">
        <v>70461623.900000006</v>
      </c>
      <c r="J7" s="20">
        <f t="shared" si="3"/>
        <v>35.138398690565595</v>
      </c>
      <c r="K7" s="28">
        <v>198741176.94999999</v>
      </c>
      <c r="L7" s="28">
        <v>33196639.350000001</v>
      </c>
      <c r="M7" s="20">
        <f t="shared" si="4"/>
        <v>16.703453134098993</v>
      </c>
      <c r="N7" s="28">
        <v>225950933.68000001</v>
      </c>
      <c r="O7" s="28">
        <v>121410502.91</v>
      </c>
      <c r="P7" s="20">
        <f t="shared" si="5"/>
        <v>53.733127335488682</v>
      </c>
      <c r="Q7" s="13">
        <f t="shared" si="0"/>
        <v>13.691051420534535</v>
      </c>
      <c r="R7" s="13">
        <f t="shared" si="0"/>
        <v>265.73130680470518</v>
      </c>
    </row>
    <row r="8" spans="1:18" x14ac:dyDescent="0.3">
      <c r="A8" t="s">
        <v>24</v>
      </c>
      <c r="B8" s="28">
        <v>0</v>
      </c>
      <c r="C8" s="28">
        <v>0</v>
      </c>
      <c r="D8" s="20" t="str">
        <f t="shared" si="1"/>
        <v>-</v>
      </c>
      <c r="E8" s="28">
        <v>0</v>
      </c>
      <c r="F8" s="28">
        <v>0</v>
      </c>
      <c r="G8" s="20" t="str">
        <f t="shared" si="2"/>
        <v>-</v>
      </c>
      <c r="H8" s="28">
        <v>0</v>
      </c>
      <c r="I8" s="28">
        <v>0</v>
      </c>
      <c r="J8" s="20" t="str">
        <f t="shared" si="3"/>
        <v>-</v>
      </c>
      <c r="K8" s="28">
        <v>0</v>
      </c>
      <c r="L8" s="28">
        <v>0</v>
      </c>
      <c r="M8" s="20" t="str">
        <f t="shared" si="4"/>
        <v>-</v>
      </c>
      <c r="N8" s="28">
        <v>21266447.370000001</v>
      </c>
      <c r="O8" s="28">
        <v>21266447.370000001</v>
      </c>
      <c r="P8" s="20">
        <f t="shared" si="5"/>
        <v>100</v>
      </c>
      <c r="Q8" s="13" t="str">
        <f t="shared" si="0"/>
        <v>-</v>
      </c>
      <c r="R8" s="13" t="str">
        <f t="shared" si="0"/>
        <v>-</v>
      </c>
    </row>
    <row r="9" spans="1:18" x14ac:dyDescent="0.3">
      <c r="A9" t="s">
        <v>25</v>
      </c>
      <c r="B9" s="28">
        <v>2816010.56</v>
      </c>
      <c r="C9" s="28">
        <v>2772848.39</v>
      </c>
      <c r="D9" s="20">
        <f t="shared" si="1"/>
        <v>98.467258233577084</v>
      </c>
      <c r="E9" s="28">
        <v>604369.65</v>
      </c>
      <c r="F9" s="28">
        <v>554363.35</v>
      </c>
      <c r="G9" s="20">
        <f t="shared" si="2"/>
        <v>91.725875050145206</v>
      </c>
      <c r="H9" s="28">
        <v>1276008.81</v>
      </c>
      <c r="I9" s="28">
        <v>1237941.4099999999</v>
      </c>
      <c r="J9" s="20">
        <f t="shared" si="3"/>
        <v>97.016682039993114</v>
      </c>
      <c r="K9" s="28">
        <v>595692.16</v>
      </c>
      <c r="L9" s="28">
        <v>553028.38</v>
      </c>
      <c r="M9" s="20">
        <f t="shared" si="4"/>
        <v>92.8379483792434</v>
      </c>
      <c r="N9" s="28">
        <v>405428.78</v>
      </c>
      <c r="O9" s="28">
        <v>360389.19</v>
      </c>
      <c r="P9" s="20">
        <f t="shared" si="5"/>
        <v>88.890874989190451</v>
      </c>
      <c r="Q9" s="13">
        <f t="shared" si="0"/>
        <v>-31.939883177243772</v>
      </c>
      <c r="R9" s="13">
        <f t="shared" si="0"/>
        <v>-34.833508905998642</v>
      </c>
    </row>
    <row r="10" spans="1:18" x14ac:dyDescent="0.3">
      <c r="A10" t="s">
        <v>26</v>
      </c>
      <c r="B10" s="28">
        <v>5493987.1900000004</v>
      </c>
      <c r="C10" s="28">
        <v>5147153.9800000004</v>
      </c>
      <c r="D10" s="20">
        <f t="shared" si="1"/>
        <v>93.68704006752516</v>
      </c>
      <c r="E10" s="28">
        <v>13611783.109999999</v>
      </c>
      <c r="F10" s="28">
        <v>13201006.359999999</v>
      </c>
      <c r="G10" s="20">
        <f t="shared" si="2"/>
        <v>96.982197360328058</v>
      </c>
      <c r="H10" s="28">
        <v>7360998.5199999996</v>
      </c>
      <c r="I10" s="28">
        <v>4672062.8</v>
      </c>
      <c r="J10" s="20">
        <f t="shared" si="3"/>
        <v>63.470503183853374</v>
      </c>
      <c r="K10" s="28">
        <v>5706104.4199999999</v>
      </c>
      <c r="L10" s="28">
        <v>4543134.04</v>
      </c>
      <c r="M10" s="20">
        <f t="shared" si="4"/>
        <v>79.618838100407558</v>
      </c>
      <c r="N10" s="28">
        <v>15345322.91</v>
      </c>
      <c r="O10" s="28">
        <v>13500005.17</v>
      </c>
      <c r="P10" s="20">
        <f t="shared" si="5"/>
        <v>87.974721999512482</v>
      </c>
      <c r="Q10" s="13">
        <f t="shared" si="0"/>
        <v>168.92818253052582</v>
      </c>
      <c r="R10" s="13">
        <f t="shared" si="0"/>
        <v>197.15181306867186</v>
      </c>
    </row>
    <row r="11" spans="1:18" x14ac:dyDescent="0.3">
      <c r="A11" t="s">
        <v>27</v>
      </c>
      <c r="B11" s="28">
        <v>35873.72</v>
      </c>
      <c r="C11" s="28">
        <v>35873.72</v>
      </c>
      <c r="D11" s="20">
        <f t="shared" si="1"/>
        <v>100</v>
      </c>
      <c r="E11" s="28">
        <v>204392.36</v>
      </c>
      <c r="F11" s="28">
        <v>204392.36</v>
      </c>
      <c r="G11" s="20">
        <f t="shared" si="2"/>
        <v>100</v>
      </c>
      <c r="H11" s="28">
        <v>87586.89</v>
      </c>
      <c r="I11" s="28">
        <v>87586.89</v>
      </c>
      <c r="J11" s="20">
        <f t="shared" si="3"/>
        <v>100</v>
      </c>
      <c r="K11" s="28">
        <v>20000</v>
      </c>
      <c r="L11" s="28">
        <v>20000</v>
      </c>
      <c r="M11" s="20">
        <f t="shared" si="4"/>
        <v>100</v>
      </c>
      <c r="N11" s="28">
        <v>0</v>
      </c>
      <c r="O11" s="28">
        <v>0</v>
      </c>
      <c r="P11" s="20" t="str">
        <f t="shared" si="5"/>
        <v>-</v>
      </c>
      <c r="Q11" s="13">
        <f t="shared" si="0"/>
        <v>-100</v>
      </c>
      <c r="R11" s="13">
        <f t="shared" si="0"/>
        <v>-100</v>
      </c>
    </row>
    <row r="12" spans="1:18" x14ac:dyDescent="0.3">
      <c r="A12" t="s">
        <v>28</v>
      </c>
      <c r="B12" s="28">
        <v>6678665.5700000003</v>
      </c>
      <c r="C12" s="28">
        <v>6578726.9800000004</v>
      </c>
      <c r="D12" s="20">
        <f t="shared" si="1"/>
        <v>98.503614397928303</v>
      </c>
      <c r="E12" s="28">
        <v>2521758</v>
      </c>
      <c r="F12" s="28">
        <v>2521758</v>
      </c>
      <c r="G12" s="20">
        <f t="shared" si="2"/>
        <v>100</v>
      </c>
      <c r="H12" s="28">
        <v>2780174.82</v>
      </c>
      <c r="I12" s="28">
        <v>2780174.82</v>
      </c>
      <c r="J12" s="20">
        <f t="shared" si="3"/>
        <v>100</v>
      </c>
      <c r="K12" s="28">
        <v>2223072.15</v>
      </c>
      <c r="L12" s="28">
        <v>2223072.15</v>
      </c>
      <c r="M12" s="20">
        <f t="shared" si="4"/>
        <v>100</v>
      </c>
      <c r="N12" s="28">
        <v>1987279.58</v>
      </c>
      <c r="O12" s="28">
        <v>1987279.58</v>
      </c>
      <c r="P12" s="20">
        <f t="shared" si="5"/>
        <v>100</v>
      </c>
      <c r="Q12" s="13">
        <f t="shared" si="0"/>
        <v>-10.606608966784989</v>
      </c>
      <c r="R12" s="13">
        <f t="shared" si="0"/>
        <v>-10.606608966784989</v>
      </c>
    </row>
    <row r="13" spans="1:18" x14ac:dyDescent="0.3">
      <c r="A13" t="s">
        <v>29</v>
      </c>
      <c r="B13" s="28">
        <v>59410860.920000002</v>
      </c>
      <c r="C13" s="28">
        <v>19951692.59</v>
      </c>
      <c r="D13" s="20">
        <f t="shared" si="1"/>
        <v>33.582567700653343</v>
      </c>
      <c r="E13" s="28">
        <v>66273011.829999998</v>
      </c>
      <c r="F13" s="28">
        <v>45801258.909999996</v>
      </c>
      <c r="G13" s="20">
        <f t="shared" si="2"/>
        <v>69.109970477103033</v>
      </c>
      <c r="H13" s="28">
        <v>228843093.5</v>
      </c>
      <c r="I13" s="28">
        <v>173469386.28999999</v>
      </c>
      <c r="J13" s="20">
        <f t="shared" si="3"/>
        <v>75.802762336806111</v>
      </c>
      <c r="K13" s="28">
        <v>244762213.22</v>
      </c>
      <c r="L13" s="28">
        <v>225062207.46000001</v>
      </c>
      <c r="M13" s="20">
        <f t="shared" si="4"/>
        <v>91.951369657581495</v>
      </c>
      <c r="N13" s="28">
        <v>145309537.05000001</v>
      </c>
      <c r="O13" s="28">
        <v>142769139.96000001</v>
      </c>
      <c r="P13" s="20">
        <f t="shared" si="5"/>
        <v>98.251734097035992</v>
      </c>
      <c r="Q13" s="13">
        <f t="shared" si="0"/>
        <v>-40.632365127622371</v>
      </c>
      <c r="R13" s="13">
        <f t="shared" si="0"/>
        <v>-36.564587377303603</v>
      </c>
    </row>
    <row r="14" spans="1:18" x14ac:dyDescent="0.3">
      <c r="A14" t="s">
        <v>30</v>
      </c>
      <c r="B14" s="28">
        <f t="shared" ref="B14:C14" si="6">SUM(B3:B5)</f>
        <v>10565332882.620001</v>
      </c>
      <c r="C14" s="28">
        <f t="shared" si="6"/>
        <v>8437539384.0599995</v>
      </c>
      <c r="D14" s="20">
        <f>IF(B14&gt;0,C14/B14*100,"-")</f>
        <v>79.860610903606954</v>
      </c>
      <c r="E14" s="28">
        <f t="shared" ref="E14:F14" si="7">SUM(E3:E5)</f>
        <v>10680075616.889999</v>
      </c>
      <c r="F14" s="28">
        <f t="shared" si="7"/>
        <v>8689178978.5799999</v>
      </c>
      <c r="G14" s="20">
        <f>IF(E14&gt;0,F14/E14*100,"-")</f>
        <v>81.358777692907935</v>
      </c>
      <c r="H14" s="28">
        <f t="shared" ref="H14:I14" si="8">SUM(H3:H5)</f>
        <v>11011112781.450001</v>
      </c>
      <c r="I14" s="28">
        <f t="shared" si="8"/>
        <v>9205449280.7800007</v>
      </c>
      <c r="J14" s="20">
        <f>IF(H14&gt;0,I14/H14*100,"-")</f>
        <v>83.601443954766026</v>
      </c>
      <c r="K14" s="28">
        <f t="shared" ref="K14:L14" si="9">SUM(K3:K5)</f>
        <v>11172484057.800001</v>
      </c>
      <c r="L14" s="28">
        <f t="shared" si="9"/>
        <v>9927103466.1099987</v>
      </c>
      <c r="M14" s="20">
        <f>IF(K14&gt;0,L14/K14*100,"-")</f>
        <v>88.853145054876606</v>
      </c>
      <c r="N14" s="28">
        <f t="shared" ref="N14:O14" si="10">SUM(N3:N5)</f>
        <v>11846620019.810001</v>
      </c>
      <c r="O14" s="28">
        <f t="shared" si="10"/>
        <v>10034673546.02</v>
      </c>
      <c r="P14" s="20">
        <f>IF(N14&gt;0,O14/N14*100,"-")</f>
        <v>84.704949844258948</v>
      </c>
      <c r="Q14" s="13">
        <f t="shared" si="0"/>
        <v>6.0338950453847815</v>
      </c>
      <c r="R14" s="13">
        <f t="shared" si="0"/>
        <v>1.0835998665394584</v>
      </c>
    </row>
    <row r="15" spans="1:18" x14ac:dyDescent="0.3">
      <c r="A15" t="s">
        <v>31</v>
      </c>
      <c r="B15" s="27">
        <f t="shared" ref="B15:C15" si="11">SUM(B6:B10)</f>
        <v>147729855.44000003</v>
      </c>
      <c r="C15" s="27">
        <f t="shared" si="11"/>
        <v>103683597.99000001</v>
      </c>
      <c r="D15" s="20">
        <f>IF(B15&gt;0,C15/B15*100,"-")</f>
        <v>70.184593142115915</v>
      </c>
      <c r="E15" s="27">
        <f t="shared" ref="E15:F15" si="12">SUM(E6:E10)</f>
        <v>180180666.43000001</v>
      </c>
      <c r="F15" s="27">
        <f t="shared" si="12"/>
        <v>73557989.570000008</v>
      </c>
      <c r="G15" s="20">
        <f>IF(E15&gt;0,F15/E15*100,"-")</f>
        <v>40.824574038623176</v>
      </c>
      <c r="H15" s="27">
        <f t="shared" ref="H15:I15" si="13">SUM(H6:H10)</f>
        <v>209173201.44</v>
      </c>
      <c r="I15" s="27">
        <f t="shared" si="13"/>
        <v>76381755.170000002</v>
      </c>
      <c r="J15" s="20">
        <f>IF(H15&gt;0,I15/H15*100,"-")</f>
        <v>36.51603295458937</v>
      </c>
      <c r="K15" s="27">
        <f t="shared" ref="K15:L15" si="14">SUM(K6:K10)</f>
        <v>205056393.47999996</v>
      </c>
      <c r="L15" s="27">
        <f t="shared" si="14"/>
        <v>38306026.300000004</v>
      </c>
      <c r="M15" s="20">
        <f>IF(K15&gt;0,L15/K15*100,"-")</f>
        <v>18.680727603714615</v>
      </c>
      <c r="N15" s="27">
        <f t="shared" ref="N15:O15" si="15">SUM(N6:N10)</f>
        <v>262970956.13</v>
      </c>
      <c r="O15" s="27">
        <f t="shared" si="15"/>
        <v>156539292.52999997</v>
      </c>
      <c r="P15" s="20">
        <f>IF(N15&gt;0,O15/N15*100,"-")</f>
        <v>59.527217314681167</v>
      </c>
      <c r="Q15" s="13">
        <f t="shared" si="0"/>
        <v>28.243236734605262</v>
      </c>
      <c r="R15" s="13">
        <f t="shared" si="0"/>
        <v>308.65447985660666</v>
      </c>
    </row>
    <row r="16" spans="1:18" x14ac:dyDescent="0.3">
      <c r="A16" t="s">
        <v>32</v>
      </c>
      <c r="B16" s="28">
        <f t="shared" ref="B16:C16" si="16">SUM(B11:B13)</f>
        <v>66125400.210000001</v>
      </c>
      <c r="C16" s="28">
        <f t="shared" si="16"/>
        <v>26566293.289999999</v>
      </c>
      <c r="D16" s="20">
        <f t="shared" si="1"/>
        <v>40.175625713615624</v>
      </c>
      <c r="E16" s="28">
        <f t="shared" ref="E16:F16" si="17">SUM(E11:E13)</f>
        <v>68999162.189999998</v>
      </c>
      <c r="F16" s="28">
        <f t="shared" si="17"/>
        <v>48527409.269999996</v>
      </c>
      <c r="G16" s="20">
        <f t="shared" si="2"/>
        <v>70.330432616518124</v>
      </c>
      <c r="H16" s="28">
        <f t="shared" ref="H16:I16" si="18">SUM(H11:H13)</f>
        <v>231710855.21000001</v>
      </c>
      <c r="I16" s="28">
        <f t="shared" si="18"/>
        <v>176337148</v>
      </c>
      <c r="J16" s="20">
        <f t="shared" ref="J16:J21" si="19">IF(H16&gt;0,I16/H16*100,"-")</f>
        <v>76.1022386457403</v>
      </c>
      <c r="K16" s="28">
        <f t="shared" ref="K16:L16" si="20">SUM(K11:K13)</f>
        <v>247005285.37</v>
      </c>
      <c r="L16" s="28">
        <f t="shared" si="20"/>
        <v>227305279.61000001</v>
      </c>
      <c r="M16" s="20">
        <f t="shared" ref="M16:M21" si="21">IF(K16&gt;0,L16/K16*100,"-")</f>
        <v>92.024459828667034</v>
      </c>
      <c r="N16" s="28">
        <f t="shared" ref="N16:O16" si="22">SUM(N11:N13)</f>
        <v>147296816.63000003</v>
      </c>
      <c r="O16" s="28">
        <f t="shared" si="22"/>
        <v>144756419.54000002</v>
      </c>
      <c r="P16" s="20">
        <f t="shared" si="5"/>
        <v>98.275321118187293</v>
      </c>
      <c r="Q16" s="13">
        <f t="shared" si="0"/>
        <v>-40.36693732712736</v>
      </c>
      <c r="R16" s="13">
        <f t="shared" si="0"/>
        <v>-36.31629683729016</v>
      </c>
    </row>
    <row r="17" spans="1:18" x14ac:dyDescent="0.3">
      <c r="A17" t="s">
        <v>33</v>
      </c>
      <c r="B17" s="28">
        <v>0</v>
      </c>
      <c r="C17" s="28">
        <v>0</v>
      </c>
      <c r="D17" s="20" t="str">
        <f t="shared" si="1"/>
        <v>-</v>
      </c>
      <c r="E17" s="28">
        <v>0</v>
      </c>
      <c r="F17" s="28">
        <v>0</v>
      </c>
      <c r="G17" s="20" t="str">
        <f t="shared" si="2"/>
        <v>-</v>
      </c>
      <c r="H17" s="28">
        <v>0</v>
      </c>
      <c r="I17" s="28">
        <v>0</v>
      </c>
      <c r="J17" s="20" t="str">
        <f t="shared" si="19"/>
        <v>-</v>
      </c>
      <c r="K17" s="28">
        <v>0</v>
      </c>
      <c r="L17" s="28">
        <v>0</v>
      </c>
      <c r="M17" s="20" t="str">
        <f t="shared" si="21"/>
        <v>-</v>
      </c>
      <c r="N17" s="28">
        <v>0</v>
      </c>
      <c r="O17" s="28">
        <v>0</v>
      </c>
      <c r="P17" s="20" t="str">
        <f t="shared" si="5"/>
        <v>-</v>
      </c>
      <c r="Q17" s="13" t="str">
        <f t="shared" si="0"/>
        <v>-</v>
      </c>
      <c r="R17" s="13" t="str">
        <f t="shared" si="0"/>
        <v>-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9"/>
        <v>-</v>
      </c>
      <c r="K18" s="28">
        <v>0</v>
      </c>
      <c r="L18" s="28">
        <v>0</v>
      </c>
      <c r="M18" s="20" t="str">
        <f t="shared" si="21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2754285165.3600001</v>
      </c>
      <c r="C19" s="28">
        <v>2751495917.3800001</v>
      </c>
      <c r="D19" s="20">
        <f t="shared" si="1"/>
        <v>99.898730602949911</v>
      </c>
      <c r="E19" s="28">
        <v>2263544045.71</v>
      </c>
      <c r="F19" s="28">
        <v>2262006313.96</v>
      </c>
      <c r="G19" s="20">
        <f t="shared" si="2"/>
        <v>99.932065304719188</v>
      </c>
      <c r="H19" s="28">
        <v>2056387666.6400001</v>
      </c>
      <c r="I19" s="28">
        <v>2055054170.8399999</v>
      </c>
      <c r="J19" s="20">
        <f t="shared" si="19"/>
        <v>99.935153481922072</v>
      </c>
      <c r="K19" s="28">
        <v>1874711115.71</v>
      </c>
      <c r="L19" s="28">
        <v>1874439037.8900001</v>
      </c>
      <c r="M19" s="20">
        <f t="shared" si="21"/>
        <v>99.985486946883711</v>
      </c>
      <c r="N19" s="28">
        <v>2389604620.8200002</v>
      </c>
      <c r="O19" s="28">
        <v>2389301284.6700001</v>
      </c>
      <c r="P19" s="20">
        <f t="shared" si="5"/>
        <v>99.987306010904177</v>
      </c>
      <c r="Q19" s="13">
        <f t="shared" ref="Q19:R60" si="23">IF(K19&gt;0,N19/K19*100-100,"-")</f>
        <v>27.465218549952269</v>
      </c>
      <c r="R19" s="13">
        <f t="shared" si="23"/>
        <v>27.467537560440761</v>
      </c>
    </row>
    <row r="20" spans="1:18" x14ac:dyDescent="0.3">
      <c r="A20" t="s">
        <v>36</v>
      </c>
      <c r="B20" s="28">
        <f t="shared" ref="B20:C20" si="24">B14+B15+B16+B17+B18+B19</f>
        <v>13533473303.630001</v>
      </c>
      <c r="C20" s="28">
        <f t="shared" si="24"/>
        <v>11319285192.719999</v>
      </c>
      <c r="D20" s="20">
        <f t="shared" si="1"/>
        <v>83.639173320598317</v>
      </c>
      <c r="E20" s="28">
        <f t="shared" ref="E20:F20" si="25">E14+E15+E16+E17+E18+E19</f>
        <v>13192799491.220001</v>
      </c>
      <c r="F20" s="28">
        <f t="shared" si="25"/>
        <v>11073270691.380001</v>
      </c>
      <c r="G20" s="20">
        <f t="shared" si="2"/>
        <v>83.934199854620871</v>
      </c>
      <c r="H20" s="28">
        <f t="shared" ref="H20:I20" si="26">H14+H15+H16+H17+H18+H19</f>
        <v>13508384504.74</v>
      </c>
      <c r="I20" s="28">
        <f t="shared" si="26"/>
        <v>11513222354.790001</v>
      </c>
      <c r="J20" s="20">
        <f t="shared" si="19"/>
        <v>85.230194260091494</v>
      </c>
      <c r="K20" s="28">
        <f t="shared" ref="K20:L20" si="27">K14+K15+K16+K17+K18+K19</f>
        <v>13499256852.360001</v>
      </c>
      <c r="L20" s="28">
        <f t="shared" si="27"/>
        <v>12067153809.909998</v>
      </c>
      <c r="M20" s="20">
        <f t="shared" si="21"/>
        <v>89.391245324740694</v>
      </c>
      <c r="N20" s="28">
        <f t="shared" ref="N20:O20" si="28">N14+N15+N16+N17+N18+N19</f>
        <v>14646492413.389999</v>
      </c>
      <c r="O20" s="28">
        <f t="shared" si="28"/>
        <v>12725270542.760002</v>
      </c>
      <c r="P20" s="20">
        <f t="shared" si="5"/>
        <v>86.882716923585107</v>
      </c>
      <c r="Q20" s="13">
        <f t="shared" si="23"/>
        <v>8.4985090185126353</v>
      </c>
      <c r="R20" s="13">
        <f t="shared" si="23"/>
        <v>5.4537858986228684</v>
      </c>
    </row>
    <row r="21" spans="1:18" x14ac:dyDescent="0.3">
      <c r="A21" t="s">
        <v>37</v>
      </c>
      <c r="B21" s="28">
        <f t="shared" ref="B21:C21" si="29">B20-B19</f>
        <v>10779188138.27</v>
      </c>
      <c r="C21" s="28">
        <f t="shared" si="29"/>
        <v>8567789275.3399992</v>
      </c>
      <c r="D21" s="20">
        <f t="shared" si="1"/>
        <v>79.484550834781899</v>
      </c>
      <c r="E21" s="28">
        <f t="shared" ref="E21:F21" si="30">E20-E19</f>
        <v>10929255445.510002</v>
      </c>
      <c r="F21" s="28">
        <f t="shared" si="30"/>
        <v>8811264377.420002</v>
      </c>
      <c r="G21" s="20">
        <f t="shared" si="2"/>
        <v>80.620902506582723</v>
      </c>
      <c r="H21" s="28">
        <f t="shared" ref="H21:I21" si="31">H20-H19</f>
        <v>11451996838.1</v>
      </c>
      <c r="I21" s="28">
        <f t="shared" si="31"/>
        <v>9458168183.9500008</v>
      </c>
      <c r="J21" s="20">
        <f t="shared" si="19"/>
        <v>82.589685603853212</v>
      </c>
      <c r="K21" s="28">
        <f t="shared" ref="K21:L21" si="32">K20-K19</f>
        <v>11624545736.650002</v>
      </c>
      <c r="L21" s="28">
        <f t="shared" si="32"/>
        <v>10192714772.019999</v>
      </c>
      <c r="M21" s="20">
        <f t="shared" si="21"/>
        <v>87.682693181586359</v>
      </c>
      <c r="N21" s="28">
        <f t="shared" ref="N21:O21" si="33">N20-N19</f>
        <v>12256887792.57</v>
      </c>
      <c r="O21" s="28">
        <f t="shared" si="33"/>
        <v>10335969258.090002</v>
      </c>
      <c r="P21" s="20">
        <f t="shared" si="5"/>
        <v>84.327844335456518</v>
      </c>
      <c r="Q21" s="13">
        <f t="shared" si="23"/>
        <v>5.4397141208395254</v>
      </c>
      <c r="R21" s="13">
        <f t="shared" si="23"/>
        <v>1.4054595784751029</v>
      </c>
    </row>
    <row r="22" spans="1:18" x14ac:dyDescent="0.3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 x14ac:dyDescent="0.3">
      <c r="A23" s="5" t="s">
        <v>38</v>
      </c>
      <c r="B23" s="27">
        <v>169888541.59999999</v>
      </c>
      <c r="C23" s="27">
        <v>163344788.84</v>
      </c>
      <c r="D23" s="20">
        <f>IF(B23&gt;0,C23/B23*100,"-")</f>
        <v>96.148208290935145</v>
      </c>
      <c r="E23" s="27">
        <v>169921011.47</v>
      </c>
      <c r="F23" s="27">
        <v>163595554.41</v>
      </c>
      <c r="G23" s="20">
        <f>IF(E23&gt;0,F23/E23*100,"-")</f>
        <v>96.277413249086749</v>
      </c>
      <c r="H23" s="27">
        <v>173221496.84999999</v>
      </c>
      <c r="I23" s="27">
        <v>165902133.72999999</v>
      </c>
      <c r="J23" s="20">
        <f>IF(H23&gt;0,I23/H23*100,"-")</f>
        <v>95.774564212236228</v>
      </c>
      <c r="K23" s="27">
        <v>172552912.25999999</v>
      </c>
      <c r="L23" s="27">
        <v>165799099.15000001</v>
      </c>
      <c r="M23" s="20">
        <f>IF(K23&gt;0,L23/K23*100,"-")</f>
        <v>96.085946611075769</v>
      </c>
      <c r="N23" s="27">
        <v>167989426.13</v>
      </c>
      <c r="O23" s="27">
        <v>160558324.43000001</v>
      </c>
      <c r="P23" s="20">
        <f>IF(N23&gt;0,O23/N23*100,"-")</f>
        <v>95.57644676144713</v>
      </c>
      <c r="Q23" s="13">
        <f t="shared" si="23"/>
        <v>-2.6446879801853527</v>
      </c>
      <c r="R23" s="13">
        <f t="shared" si="23"/>
        <v>-3.1609186942919507</v>
      </c>
    </row>
    <row r="24" spans="1:18" x14ac:dyDescent="0.3">
      <c r="A24" s="5" t="s">
        <v>39</v>
      </c>
      <c r="B24" s="27">
        <v>12371286.720000001</v>
      </c>
      <c r="C24" s="27">
        <v>10601618.84</v>
      </c>
      <c r="D24" s="20">
        <f t="shared" ref="D24:D57" si="34">IF(B24&gt;0,C24/B24*100,"-")</f>
        <v>85.695361201684278</v>
      </c>
      <c r="E24" s="27">
        <v>12167529.32</v>
      </c>
      <c r="F24" s="27">
        <v>10593676.99</v>
      </c>
      <c r="G24" s="20">
        <f t="shared" ref="G24:G57" si="35">IF(E24&gt;0,F24/E24*100,"-")</f>
        <v>87.065144544891055</v>
      </c>
      <c r="H24" s="27">
        <v>12437939.140000001</v>
      </c>
      <c r="I24" s="27">
        <v>10840875.470000001</v>
      </c>
      <c r="J24" s="20">
        <f t="shared" ref="J24:J26" si="36">IF(H24&gt;0,I24/H24*100,"-")</f>
        <v>87.159740435906329</v>
      </c>
      <c r="K24" s="27">
        <v>12262698.15</v>
      </c>
      <c r="L24" s="27">
        <v>10721643.539999999</v>
      </c>
      <c r="M24" s="20">
        <f t="shared" ref="M24:M26" si="37">IF(K24&gt;0,L24/K24*100,"-")</f>
        <v>87.432989125643601</v>
      </c>
      <c r="N24" s="27">
        <v>11933602.07</v>
      </c>
      <c r="O24" s="27">
        <v>10353735.689999999</v>
      </c>
      <c r="P24" s="20">
        <f t="shared" ref="P24:P57" si="38">IF(N24&gt;0,O24/N24*100,"-")</f>
        <v>86.761194392666724</v>
      </c>
      <c r="Q24" s="13">
        <f t="shared" si="23"/>
        <v>-2.6837167153135937</v>
      </c>
      <c r="R24" s="13">
        <f t="shared" si="23"/>
        <v>-3.4314501188872697</v>
      </c>
    </row>
    <row r="25" spans="1:18" x14ac:dyDescent="0.3">
      <c r="A25" s="5" t="s">
        <v>40</v>
      </c>
      <c r="B25" s="27">
        <v>380383628.62</v>
      </c>
      <c r="C25" s="27">
        <v>323463667.30000001</v>
      </c>
      <c r="D25" s="20">
        <f t="shared" si="34"/>
        <v>85.036169530612852</v>
      </c>
      <c r="E25" s="27">
        <v>402680423.01999998</v>
      </c>
      <c r="F25" s="27">
        <v>337738318.25</v>
      </c>
      <c r="G25" s="20">
        <f t="shared" si="35"/>
        <v>83.872544812844183</v>
      </c>
      <c r="H25" s="27">
        <v>405458300.06</v>
      </c>
      <c r="I25" s="27">
        <v>349137490.92000002</v>
      </c>
      <c r="J25" s="20">
        <f t="shared" si="36"/>
        <v>86.109346107438029</v>
      </c>
      <c r="K25" s="27">
        <v>446200672.12</v>
      </c>
      <c r="L25" s="27">
        <v>381297176.69999999</v>
      </c>
      <c r="M25" s="20">
        <f t="shared" si="37"/>
        <v>85.454191471377911</v>
      </c>
      <c r="N25" s="27">
        <v>434510552.64999998</v>
      </c>
      <c r="O25" s="27">
        <v>371623914.56</v>
      </c>
      <c r="P25" s="20">
        <f t="shared" si="38"/>
        <v>85.527017075542602</v>
      </c>
      <c r="Q25" s="13">
        <f t="shared" si="23"/>
        <v>-2.6199242180558855</v>
      </c>
      <c r="R25" s="13">
        <f t="shared" si="23"/>
        <v>-2.5369351600551653</v>
      </c>
    </row>
    <row r="26" spans="1:18" x14ac:dyDescent="0.3">
      <c r="A26" s="5" t="s">
        <v>41</v>
      </c>
      <c r="B26" s="27">
        <v>9523900522.1399994</v>
      </c>
      <c r="C26" s="27">
        <v>8840843649.6000004</v>
      </c>
      <c r="D26" s="20">
        <f t="shared" si="34"/>
        <v>92.827971365806349</v>
      </c>
      <c r="E26" s="27">
        <v>9637268500.6800003</v>
      </c>
      <c r="F26" s="27">
        <v>8985395400.4599991</v>
      </c>
      <c r="G26" s="20">
        <f t="shared" si="35"/>
        <v>93.235914303165828</v>
      </c>
      <c r="H26" s="27">
        <v>9851792530.3400002</v>
      </c>
      <c r="I26" s="27">
        <v>9307680662.1700001</v>
      </c>
      <c r="J26" s="20">
        <f t="shared" si="36"/>
        <v>94.477026728949781</v>
      </c>
      <c r="K26" s="27">
        <v>10011633860.309999</v>
      </c>
      <c r="L26" s="27">
        <v>9569561951.5499992</v>
      </c>
      <c r="M26" s="20">
        <f t="shared" si="37"/>
        <v>95.584417938888635</v>
      </c>
      <c r="N26" s="27">
        <v>10772978644.1</v>
      </c>
      <c r="O26" s="27">
        <v>9968973756.7800007</v>
      </c>
      <c r="P26" s="20">
        <f t="shared" si="38"/>
        <v>92.53683763904678</v>
      </c>
      <c r="Q26" s="13">
        <f t="shared" si="23"/>
        <v>7.6046007516142424</v>
      </c>
      <c r="R26" s="13">
        <f t="shared" si="23"/>
        <v>4.1737731283019457</v>
      </c>
    </row>
    <row r="27" spans="1:18" x14ac:dyDescent="0.3">
      <c r="A27" s="5" t="s">
        <v>350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23"/>
        <v>-</v>
      </c>
      <c r="R27" s="13" t="str">
        <f t="shared" si="23"/>
        <v>-</v>
      </c>
    </row>
    <row r="28" spans="1:18" x14ac:dyDescent="0.3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61932022.149999999</v>
      </c>
      <c r="C29" s="27">
        <v>61932022.149999999</v>
      </c>
      <c r="D29" s="20">
        <f t="shared" si="34"/>
        <v>100</v>
      </c>
      <c r="E29" s="27">
        <v>57661554.799999997</v>
      </c>
      <c r="F29" s="27">
        <v>57661554.799999997</v>
      </c>
      <c r="G29" s="20">
        <f t="shared" si="35"/>
        <v>100</v>
      </c>
      <c r="H29" s="27">
        <v>53694322.119999997</v>
      </c>
      <c r="I29" s="27">
        <v>53694322.119999997</v>
      </c>
      <c r="J29" s="20">
        <f t="shared" ref="J29:J57" si="39">IF(H29&gt;0,I29/H29*100,"-")</f>
        <v>100</v>
      </c>
      <c r="K29" s="27">
        <v>50134505.25</v>
      </c>
      <c r="L29" s="27">
        <v>50134505.25</v>
      </c>
      <c r="M29" s="20">
        <f t="shared" ref="M29:M57" si="40">IF(K29&gt;0,L29/K29*100,"-")</f>
        <v>100</v>
      </c>
      <c r="N29" s="27">
        <v>47505432.759999998</v>
      </c>
      <c r="O29" s="27">
        <v>47505432.759999998</v>
      </c>
      <c r="P29" s="20">
        <f t="shared" si="38"/>
        <v>100</v>
      </c>
      <c r="Q29" s="13">
        <f t="shared" si="23"/>
        <v>-5.2440379672441253</v>
      </c>
      <c r="R29" s="13">
        <f t="shared" si="23"/>
        <v>-5.2440379672441253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34"/>
        <v>-</v>
      </c>
      <c r="E30" s="27">
        <v>0</v>
      </c>
      <c r="F30" s="27">
        <v>0</v>
      </c>
      <c r="G30" s="20" t="str">
        <f t="shared" si="35"/>
        <v>-</v>
      </c>
      <c r="H30" s="27">
        <v>0</v>
      </c>
      <c r="I30" s="27">
        <v>0</v>
      </c>
      <c r="J30" s="20" t="str">
        <f t="shared" si="39"/>
        <v>-</v>
      </c>
      <c r="K30" s="27">
        <v>0</v>
      </c>
      <c r="L30" s="27">
        <v>0</v>
      </c>
      <c r="M30" s="20" t="str">
        <f t="shared" si="40"/>
        <v>-</v>
      </c>
      <c r="N30" s="27">
        <v>0</v>
      </c>
      <c r="O30" s="27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6691573.71</v>
      </c>
      <c r="C31" s="27">
        <v>4488564.87</v>
      </c>
      <c r="D31" s="20">
        <f t="shared" si="34"/>
        <v>67.077866351411672</v>
      </c>
      <c r="E31" s="27">
        <v>3535672.37</v>
      </c>
      <c r="F31" s="27">
        <v>2109946.46</v>
      </c>
      <c r="G31" s="20">
        <f t="shared" si="35"/>
        <v>59.675960869643582</v>
      </c>
      <c r="H31" s="27">
        <v>2517226.81</v>
      </c>
      <c r="I31" s="27">
        <v>1445953.82</v>
      </c>
      <c r="J31" s="20">
        <f t="shared" si="39"/>
        <v>57.442333533703305</v>
      </c>
      <c r="K31" s="27">
        <v>4606300.68</v>
      </c>
      <c r="L31" s="27">
        <v>3639699.05</v>
      </c>
      <c r="M31" s="20">
        <f t="shared" si="40"/>
        <v>79.015663606223825</v>
      </c>
      <c r="N31" s="27">
        <v>2758906.21</v>
      </c>
      <c r="O31" s="27">
        <v>1914496.55</v>
      </c>
      <c r="P31" s="20">
        <f t="shared" si="38"/>
        <v>69.393317651055639</v>
      </c>
      <c r="Q31" s="13">
        <f t="shared" si="23"/>
        <v>-40.105815888684013</v>
      </c>
      <c r="R31" s="13">
        <f t="shared" si="23"/>
        <v>-47.399592007476542</v>
      </c>
    </row>
    <row r="32" spans="1:18" x14ac:dyDescent="0.3">
      <c r="A32" s="5" t="s">
        <v>45</v>
      </c>
      <c r="B32" s="27">
        <v>1855037.12</v>
      </c>
      <c r="C32" s="27">
        <v>1283322.52</v>
      </c>
      <c r="D32" s="20">
        <f t="shared" si="34"/>
        <v>69.180422653752601</v>
      </c>
      <c r="E32" s="27">
        <v>2341497.17</v>
      </c>
      <c r="F32" s="27">
        <v>1689460.26</v>
      </c>
      <c r="G32" s="20">
        <f t="shared" si="35"/>
        <v>72.152991754416689</v>
      </c>
      <c r="H32" s="27">
        <v>2823999.82</v>
      </c>
      <c r="I32" s="27">
        <v>1425232.81</v>
      </c>
      <c r="J32" s="20">
        <f t="shared" si="39"/>
        <v>50.468587140349044</v>
      </c>
      <c r="K32" s="27">
        <v>3304943.25</v>
      </c>
      <c r="L32" s="27">
        <v>1351831.45</v>
      </c>
      <c r="M32" s="20">
        <f t="shared" si="40"/>
        <v>40.903318082693247</v>
      </c>
      <c r="N32" s="27">
        <v>4066075.25</v>
      </c>
      <c r="O32" s="27">
        <v>1721916.11</v>
      </c>
      <c r="P32" s="20">
        <f t="shared" si="38"/>
        <v>42.348358161841695</v>
      </c>
      <c r="Q32" s="13">
        <f t="shared" si="23"/>
        <v>23.03010800563672</v>
      </c>
      <c r="R32" s="13">
        <f t="shared" si="23"/>
        <v>27.376538694968232</v>
      </c>
    </row>
    <row r="33" spans="1:18" x14ac:dyDescent="0.3">
      <c r="A33" s="5" t="s">
        <v>46</v>
      </c>
      <c r="B33" s="28">
        <v>0</v>
      </c>
      <c r="C33" s="28">
        <v>0</v>
      </c>
      <c r="D33" s="20" t="str">
        <f t="shared" si="34"/>
        <v>-</v>
      </c>
      <c r="E33" s="28">
        <v>0</v>
      </c>
      <c r="F33" s="28">
        <v>0</v>
      </c>
      <c r="G33" s="20" t="str">
        <f t="shared" si="35"/>
        <v>-</v>
      </c>
      <c r="H33" s="28">
        <v>0</v>
      </c>
      <c r="I33" s="28">
        <v>0</v>
      </c>
      <c r="J33" s="20" t="str">
        <f t="shared" si="39"/>
        <v>-</v>
      </c>
      <c r="K33" s="28">
        <v>0</v>
      </c>
      <c r="L33" s="28">
        <v>0</v>
      </c>
      <c r="M33" s="20" t="str">
        <f t="shared" si="40"/>
        <v>-</v>
      </c>
      <c r="N33" s="28">
        <v>0</v>
      </c>
      <c r="O33" s="28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80131318.969999999</v>
      </c>
      <c r="C34" s="27">
        <v>53091272.909999996</v>
      </c>
      <c r="D34" s="20">
        <f t="shared" si="34"/>
        <v>66.255333860006218</v>
      </c>
      <c r="E34" s="27">
        <v>40606691.640000001</v>
      </c>
      <c r="F34" s="27">
        <v>23345551.59</v>
      </c>
      <c r="G34" s="20">
        <f t="shared" si="35"/>
        <v>57.49188285756145</v>
      </c>
      <c r="H34" s="27">
        <v>51330222.270000003</v>
      </c>
      <c r="I34" s="27">
        <v>25991215.960000001</v>
      </c>
      <c r="J34" s="20">
        <f t="shared" si="39"/>
        <v>50.635307642512572</v>
      </c>
      <c r="K34" s="27">
        <v>58997524.509999998</v>
      </c>
      <c r="L34" s="27">
        <v>35577081.289999999</v>
      </c>
      <c r="M34" s="20">
        <f t="shared" si="40"/>
        <v>60.302667926295342</v>
      </c>
      <c r="N34" s="27">
        <v>75843665.200000003</v>
      </c>
      <c r="O34" s="27">
        <v>50130747.43</v>
      </c>
      <c r="P34" s="20">
        <f t="shared" si="38"/>
        <v>66.097474716978738</v>
      </c>
      <c r="Q34" s="13">
        <f t="shared" si="23"/>
        <v>28.55397888286754</v>
      </c>
      <c r="R34" s="13">
        <f t="shared" si="23"/>
        <v>40.90742020507102</v>
      </c>
    </row>
    <row r="35" spans="1:18" x14ac:dyDescent="0.3">
      <c r="A35" s="5" t="s">
        <v>48</v>
      </c>
      <c r="B35" s="27">
        <v>207504280.46000001</v>
      </c>
      <c r="C35" s="27">
        <v>124329401.73</v>
      </c>
      <c r="D35" s="20">
        <f t="shared" si="34"/>
        <v>59.916547964400479</v>
      </c>
      <c r="E35" s="27">
        <v>276815967.63999999</v>
      </c>
      <c r="F35" s="27">
        <v>117041163.20999999</v>
      </c>
      <c r="G35" s="20">
        <f t="shared" si="35"/>
        <v>42.281218170988019</v>
      </c>
      <c r="H35" s="27">
        <v>326820832.55000001</v>
      </c>
      <c r="I35" s="27">
        <v>131141859.54000001</v>
      </c>
      <c r="J35" s="20">
        <f t="shared" si="39"/>
        <v>40.126530036893143</v>
      </c>
      <c r="K35" s="27">
        <v>328323843.54000002</v>
      </c>
      <c r="L35" s="27">
        <v>99485196.040000007</v>
      </c>
      <c r="M35" s="20">
        <f t="shared" si="40"/>
        <v>30.300935493245596</v>
      </c>
      <c r="N35" s="27">
        <v>328034498.00999999</v>
      </c>
      <c r="O35" s="27">
        <v>121891411.78</v>
      </c>
      <c r="P35" s="20">
        <f t="shared" si="38"/>
        <v>37.158107613512101</v>
      </c>
      <c r="Q35" s="13">
        <f t="shared" si="23"/>
        <v>-8.8128089291444667E-2</v>
      </c>
      <c r="R35" s="13">
        <f t="shared" si="23"/>
        <v>22.522160715239607</v>
      </c>
    </row>
    <row r="36" spans="1:18" x14ac:dyDescent="0.3">
      <c r="A36" s="5" t="s">
        <v>49</v>
      </c>
      <c r="B36" s="27">
        <v>0</v>
      </c>
      <c r="C36" s="27">
        <v>0</v>
      </c>
      <c r="D36" s="20" t="str">
        <f t="shared" si="34"/>
        <v>-</v>
      </c>
      <c r="E36" s="27">
        <v>0</v>
      </c>
      <c r="F36" s="27">
        <v>0</v>
      </c>
      <c r="G36" s="20" t="str">
        <f t="shared" si="35"/>
        <v>-</v>
      </c>
      <c r="H36" s="27">
        <v>0</v>
      </c>
      <c r="I36" s="27">
        <v>0</v>
      </c>
      <c r="J36" s="20" t="str">
        <f t="shared" si="39"/>
        <v>-</v>
      </c>
      <c r="K36" s="27">
        <v>0</v>
      </c>
      <c r="L36" s="27">
        <v>0</v>
      </c>
      <c r="M36" s="20" t="str">
        <f t="shared" si="40"/>
        <v>-</v>
      </c>
      <c r="N36" s="27">
        <v>32500000</v>
      </c>
      <c r="O36" s="27">
        <v>32500000</v>
      </c>
      <c r="P36" s="20">
        <f t="shared" si="38"/>
        <v>100</v>
      </c>
      <c r="Q36" s="13" t="str">
        <f t="shared" si="23"/>
        <v>-</v>
      </c>
      <c r="R36" s="13" t="str">
        <f t="shared" si="23"/>
        <v>-</v>
      </c>
    </row>
    <row r="37" spans="1:18" x14ac:dyDescent="0.3">
      <c r="A37" s="5" t="s">
        <v>50</v>
      </c>
      <c r="B37" s="27">
        <v>0</v>
      </c>
      <c r="C37" s="27">
        <v>0</v>
      </c>
      <c r="D37" s="20" t="str">
        <f t="shared" si="34"/>
        <v>-</v>
      </c>
      <c r="E37" s="27">
        <v>0</v>
      </c>
      <c r="F37" s="27">
        <v>0</v>
      </c>
      <c r="G37" s="20" t="str">
        <f t="shared" si="35"/>
        <v>-</v>
      </c>
      <c r="H37" s="27">
        <v>0</v>
      </c>
      <c r="I37" s="27">
        <v>0</v>
      </c>
      <c r="J37" s="20" t="str">
        <f t="shared" si="39"/>
        <v>-</v>
      </c>
      <c r="K37" s="27">
        <v>0</v>
      </c>
      <c r="L37" s="27">
        <v>0</v>
      </c>
      <c r="M37" s="20" t="str">
        <f t="shared" si="40"/>
        <v>-</v>
      </c>
      <c r="N37" s="27">
        <v>0</v>
      </c>
      <c r="O37" s="27">
        <v>0</v>
      </c>
      <c r="P37" s="20" t="str">
        <f t="shared" si="38"/>
        <v>-</v>
      </c>
      <c r="Q37" s="13" t="str">
        <f t="shared" si="23"/>
        <v>-</v>
      </c>
      <c r="R37" s="13" t="str">
        <f t="shared" si="23"/>
        <v>-</v>
      </c>
    </row>
    <row r="38" spans="1:18" x14ac:dyDescent="0.3">
      <c r="A38" s="5" t="s">
        <v>51</v>
      </c>
      <c r="B38" s="27">
        <v>7454000</v>
      </c>
      <c r="C38" s="27">
        <v>1854000</v>
      </c>
      <c r="D38" s="20">
        <f t="shared" si="34"/>
        <v>24.872551650120741</v>
      </c>
      <c r="E38" s="27">
        <v>150000</v>
      </c>
      <c r="F38" s="27">
        <v>150000</v>
      </c>
      <c r="G38" s="20">
        <f t="shared" si="35"/>
        <v>100</v>
      </c>
      <c r="H38" s="27">
        <v>100000</v>
      </c>
      <c r="I38" s="27">
        <v>100000</v>
      </c>
      <c r="J38" s="20">
        <f t="shared" si="39"/>
        <v>100</v>
      </c>
      <c r="K38" s="27">
        <v>0</v>
      </c>
      <c r="L38" s="27">
        <v>0</v>
      </c>
      <c r="M38" s="20" t="str">
        <f t="shared" si="40"/>
        <v>-</v>
      </c>
      <c r="N38" s="27">
        <v>800000</v>
      </c>
      <c r="O38" s="27">
        <v>800000</v>
      </c>
      <c r="P38" s="20">
        <f t="shared" si="38"/>
        <v>100</v>
      </c>
      <c r="Q38" s="13" t="str">
        <f t="shared" si="23"/>
        <v>-</v>
      </c>
      <c r="R38" s="13" t="str">
        <f t="shared" si="23"/>
        <v>-</v>
      </c>
    </row>
    <row r="39" spans="1:18" x14ac:dyDescent="0.3">
      <c r="A39" s="5" t="s">
        <v>261</v>
      </c>
      <c r="B39" s="27">
        <v>0</v>
      </c>
      <c r="C39" s="27">
        <v>0</v>
      </c>
      <c r="D39" s="20" t="str">
        <f t="shared" si="34"/>
        <v>-</v>
      </c>
      <c r="E39" s="27">
        <v>0</v>
      </c>
      <c r="F39" s="27">
        <v>0</v>
      </c>
      <c r="G39" s="20" t="str">
        <f t="shared" si="35"/>
        <v>-</v>
      </c>
      <c r="H39" s="27">
        <v>0</v>
      </c>
      <c r="I39" s="27">
        <v>0</v>
      </c>
      <c r="J39" s="20" t="str">
        <f t="shared" si="39"/>
        <v>-</v>
      </c>
      <c r="K39" s="27">
        <v>0</v>
      </c>
      <c r="L39" s="27">
        <v>0</v>
      </c>
      <c r="M39" s="20" t="str">
        <f t="shared" si="40"/>
        <v>-</v>
      </c>
      <c r="N39" s="27">
        <v>0</v>
      </c>
      <c r="O39" s="27">
        <v>0</v>
      </c>
      <c r="P39" s="20" t="str">
        <f t="shared" si="38"/>
        <v>-</v>
      </c>
      <c r="Q39" s="13" t="str">
        <f t="shared" si="23"/>
        <v>-</v>
      </c>
      <c r="R39" s="13" t="str">
        <f t="shared" si="23"/>
        <v>-</v>
      </c>
    </row>
    <row r="40" spans="1:18" x14ac:dyDescent="0.3">
      <c r="A40" s="5" t="s">
        <v>52</v>
      </c>
      <c r="B40" s="27">
        <v>3980000</v>
      </c>
      <c r="C40" s="27">
        <v>480000</v>
      </c>
      <c r="D40" s="20">
        <f t="shared" si="34"/>
        <v>12.060301507537687</v>
      </c>
      <c r="E40" s="27">
        <v>8923854.4900000002</v>
      </c>
      <c r="F40" s="27">
        <v>2125730.0499999998</v>
      </c>
      <c r="G40" s="20">
        <f t="shared" si="35"/>
        <v>23.820760999432206</v>
      </c>
      <c r="H40" s="27">
        <v>15500000</v>
      </c>
      <c r="I40" s="27">
        <v>15500000</v>
      </c>
      <c r="J40" s="20">
        <f t="shared" si="39"/>
        <v>100</v>
      </c>
      <c r="K40" s="27">
        <v>3167873.4</v>
      </c>
      <c r="L40" s="27">
        <v>1250000</v>
      </c>
      <c r="M40" s="20">
        <f t="shared" si="40"/>
        <v>39.4586475583273</v>
      </c>
      <c r="N40" s="27">
        <v>12500000</v>
      </c>
      <c r="O40" s="27">
        <v>9000000</v>
      </c>
      <c r="P40" s="20">
        <f t="shared" si="38"/>
        <v>72</v>
      </c>
      <c r="Q40" s="13">
        <f t="shared" si="23"/>
        <v>294.586475583273</v>
      </c>
      <c r="R40" s="13">
        <f t="shared" si="23"/>
        <v>620</v>
      </c>
    </row>
    <row r="41" spans="1:18" x14ac:dyDescent="0.3">
      <c r="A41" s="5" t="s">
        <v>53</v>
      </c>
      <c r="B41" s="27">
        <v>59410860.920000002</v>
      </c>
      <c r="C41" s="27">
        <v>59410860.920000002</v>
      </c>
      <c r="D41" s="20">
        <f t="shared" si="34"/>
        <v>100</v>
      </c>
      <c r="E41" s="27">
        <v>66273011.829999998</v>
      </c>
      <c r="F41" s="27">
        <v>66273011.829999998</v>
      </c>
      <c r="G41" s="20">
        <f t="shared" si="35"/>
        <v>100</v>
      </c>
      <c r="H41" s="27">
        <v>228843093.5</v>
      </c>
      <c r="I41" s="27">
        <v>228843093.5</v>
      </c>
      <c r="J41" s="20">
        <f t="shared" si="39"/>
        <v>100</v>
      </c>
      <c r="K41" s="27">
        <v>244762213.22</v>
      </c>
      <c r="L41" s="27">
        <v>244762213.22</v>
      </c>
      <c r="M41" s="20">
        <f t="shared" si="40"/>
        <v>100</v>
      </c>
      <c r="N41" s="27">
        <v>145309537.05000001</v>
      </c>
      <c r="O41" s="27">
        <v>145309537.05000001</v>
      </c>
      <c r="P41" s="20">
        <f t="shared" si="38"/>
        <v>100</v>
      </c>
      <c r="Q41" s="13">
        <f t="shared" si="23"/>
        <v>-40.632365127622371</v>
      </c>
      <c r="R41" s="13">
        <f t="shared" si="23"/>
        <v>-40.632365127622371</v>
      </c>
    </row>
    <row r="42" spans="1:18" x14ac:dyDescent="0.3">
      <c r="A42" s="5" t="s">
        <v>54</v>
      </c>
      <c r="B42" s="27">
        <v>10619537.939999999</v>
      </c>
      <c r="C42" s="27">
        <v>10619537.939999999</v>
      </c>
      <c r="D42" s="20">
        <f t="shared" si="34"/>
        <v>100</v>
      </c>
      <c r="E42" s="27">
        <v>10619537.939999999</v>
      </c>
      <c r="F42" s="27">
        <v>10619537.939999999</v>
      </c>
      <c r="G42" s="20">
        <f t="shared" si="35"/>
        <v>100</v>
      </c>
      <c r="H42" s="27">
        <v>10619537.939999999</v>
      </c>
      <c r="I42" s="27">
        <v>10619537.939999999</v>
      </c>
      <c r="J42" s="20">
        <f t="shared" si="39"/>
        <v>100</v>
      </c>
      <c r="K42" s="27">
        <v>10619537.939999999</v>
      </c>
      <c r="L42" s="27">
        <v>10619537.939999999</v>
      </c>
      <c r="M42" s="20">
        <f t="shared" si="40"/>
        <v>100</v>
      </c>
      <c r="N42" s="27">
        <v>10635468.84</v>
      </c>
      <c r="O42" s="27">
        <v>10635468.84</v>
      </c>
      <c r="P42" s="20">
        <f t="shared" si="38"/>
        <v>100</v>
      </c>
      <c r="Q42" s="13">
        <f t="shared" si="23"/>
        <v>0.15001500150016511</v>
      </c>
      <c r="R42" s="13">
        <f t="shared" si="23"/>
        <v>0.15001500150016511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27">
        <v>0</v>
      </c>
      <c r="F43" s="27">
        <v>0</v>
      </c>
      <c r="G43" s="20" t="str">
        <f t="shared" si="35"/>
        <v>-</v>
      </c>
      <c r="H43" s="27">
        <v>0</v>
      </c>
      <c r="I43" s="27">
        <v>0</v>
      </c>
      <c r="J43" s="20" t="str">
        <f t="shared" si="39"/>
        <v>-</v>
      </c>
      <c r="K43" s="27">
        <v>0</v>
      </c>
      <c r="L43" s="27">
        <v>0</v>
      </c>
      <c r="M43" s="20" t="str">
        <f t="shared" si="40"/>
        <v>-</v>
      </c>
      <c r="N43" s="27">
        <v>0</v>
      </c>
      <c r="O43" s="27">
        <v>0</v>
      </c>
      <c r="P43" s="20" t="str">
        <f t="shared" si="38"/>
        <v>-</v>
      </c>
      <c r="Q43" s="13" t="str">
        <f t="shared" si="23"/>
        <v>-</v>
      </c>
      <c r="R43" s="13" t="str">
        <f t="shared" si="23"/>
        <v>-</v>
      </c>
    </row>
    <row r="44" spans="1:18" x14ac:dyDescent="0.3">
      <c r="A44" s="5" t="s">
        <v>56</v>
      </c>
      <c r="B44" s="27">
        <v>95928653.379999995</v>
      </c>
      <c r="C44" s="27">
        <v>95928653.379999995</v>
      </c>
      <c r="D44" s="20">
        <f t="shared" si="34"/>
        <v>100</v>
      </c>
      <c r="E44" s="27">
        <v>88107109.469999999</v>
      </c>
      <c r="F44" s="27">
        <v>88107109.469999999</v>
      </c>
      <c r="G44" s="20">
        <f t="shared" si="35"/>
        <v>100</v>
      </c>
      <c r="H44" s="27">
        <v>76467075.969999999</v>
      </c>
      <c r="I44" s="27">
        <v>76467075.969999999</v>
      </c>
      <c r="J44" s="20">
        <f t="shared" si="39"/>
        <v>100</v>
      </c>
      <c r="K44" s="27">
        <v>55213698.439999998</v>
      </c>
      <c r="L44" s="27">
        <v>55213698.439999998</v>
      </c>
      <c r="M44" s="20">
        <f t="shared" si="40"/>
        <v>100</v>
      </c>
      <c r="N44" s="27">
        <v>36382945.289999999</v>
      </c>
      <c r="O44" s="27">
        <v>36382945.289999999</v>
      </c>
      <c r="P44" s="20">
        <f t="shared" si="38"/>
        <v>100</v>
      </c>
      <c r="Q44" s="13">
        <f t="shared" si="23"/>
        <v>-34.105219686493442</v>
      </c>
      <c r="R44" s="13">
        <f t="shared" si="23"/>
        <v>-34.105219686493442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27">
        <v>0</v>
      </c>
      <c r="G45" s="20" t="str">
        <f t="shared" si="35"/>
        <v>-</v>
      </c>
      <c r="H45" s="27">
        <v>0</v>
      </c>
      <c r="I45" s="27">
        <v>0</v>
      </c>
      <c r="J45" s="20" t="str">
        <f t="shared" si="39"/>
        <v>-</v>
      </c>
      <c r="K45" s="27">
        <v>0</v>
      </c>
      <c r="L45" s="27">
        <v>0</v>
      </c>
      <c r="M45" s="20" t="str">
        <f t="shared" si="40"/>
        <v>-</v>
      </c>
      <c r="N45" s="27">
        <v>0</v>
      </c>
      <c r="O45" s="27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27">
        <v>0</v>
      </c>
      <c r="G46" s="20" t="str">
        <f t="shared" si="35"/>
        <v>-</v>
      </c>
      <c r="H46" s="27">
        <v>0</v>
      </c>
      <c r="I46" s="27">
        <v>0</v>
      </c>
      <c r="J46" s="20" t="str">
        <f t="shared" si="39"/>
        <v>-</v>
      </c>
      <c r="K46" s="27">
        <v>0</v>
      </c>
      <c r="L46" s="27">
        <v>0</v>
      </c>
      <c r="M46" s="20" t="str">
        <f t="shared" si="40"/>
        <v>-</v>
      </c>
      <c r="N46" s="27">
        <v>0</v>
      </c>
      <c r="O46" s="27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27">
        <v>0</v>
      </c>
      <c r="G47" s="20" t="str">
        <f t="shared" si="35"/>
        <v>-</v>
      </c>
      <c r="H47" s="27">
        <v>0</v>
      </c>
      <c r="I47" s="27">
        <v>0</v>
      </c>
      <c r="J47" s="20" t="str">
        <f t="shared" si="39"/>
        <v>-</v>
      </c>
      <c r="K47" s="27">
        <v>0</v>
      </c>
      <c r="L47" s="27">
        <v>0</v>
      </c>
      <c r="M47" s="20" t="str">
        <f t="shared" si="40"/>
        <v>-</v>
      </c>
      <c r="N47" s="27">
        <v>0</v>
      </c>
      <c r="O47" s="27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2749963924.5700002</v>
      </c>
      <c r="C48" s="27">
        <v>0</v>
      </c>
      <c r="D48" s="20">
        <f t="shared" si="34"/>
        <v>0</v>
      </c>
      <c r="E48" s="27">
        <v>2262144848.5799999</v>
      </c>
      <c r="F48" s="27">
        <v>0</v>
      </c>
      <c r="G48" s="20">
        <f t="shared" si="35"/>
        <v>0</v>
      </c>
      <c r="H48" s="27">
        <v>2053158943.1500001</v>
      </c>
      <c r="I48" s="27">
        <v>0</v>
      </c>
      <c r="J48" s="20">
        <f t="shared" si="39"/>
        <v>0</v>
      </c>
      <c r="K48" s="27">
        <v>1867028346.1300001</v>
      </c>
      <c r="L48" s="27">
        <v>0</v>
      </c>
      <c r="M48" s="20">
        <f t="shared" si="40"/>
        <v>0</v>
      </c>
      <c r="N48" s="27">
        <v>2377287342.71</v>
      </c>
      <c r="O48" s="27">
        <v>0</v>
      </c>
      <c r="P48" s="20">
        <f t="shared" si="38"/>
        <v>0</v>
      </c>
      <c r="Q48" s="13">
        <f t="shared" si="23"/>
        <v>27.330008011805035</v>
      </c>
      <c r="R48" s="13" t="str">
        <f t="shared" si="23"/>
        <v>-</v>
      </c>
    </row>
    <row r="49" spans="1:18" x14ac:dyDescent="0.3">
      <c r="A49" s="5" t="s">
        <v>61</v>
      </c>
      <c r="B49" s="27">
        <v>4321240.79</v>
      </c>
      <c r="C49" s="27">
        <v>0</v>
      </c>
      <c r="D49" s="20">
        <f t="shared" si="34"/>
        <v>0</v>
      </c>
      <c r="E49" s="27">
        <v>1399197.13</v>
      </c>
      <c r="F49" s="27">
        <v>0</v>
      </c>
      <c r="G49" s="20">
        <f t="shared" si="35"/>
        <v>0</v>
      </c>
      <c r="H49" s="27">
        <v>3228723.49</v>
      </c>
      <c r="I49" s="27">
        <v>0</v>
      </c>
      <c r="J49" s="20">
        <f t="shared" si="39"/>
        <v>0</v>
      </c>
      <c r="K49" s="27">
        <v>7682769.5800000001</v>
      </c>
      <c r="L49" s="27">
        <v>0</v>
      </c>
      <c r="M49" s="20">
        <f t="shared" si="40"/>
        <v>0</v>
      </c>
      <c r="N49" s="27">
        <v>12317278.109999999</v>
      </c>
      <c r="O49" s="27">
        <v>0</v>
      </c>
      <c r="P49" s="20">
        <f t="shared" si="38"/>
        <v>0</v>
      </c>
      <c r="Q49" s="13">
        <f t="shared" si="23"/>
        <v>60.323409178698796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10157022612.059999</v>
      </c>
      <c r="C50" s="27">
        <f t="shared" si="41"/>
        <v>9405957634.1200008</v>
      </c>
      <c r="D50" s="20">
        <f t="shared" si="34"/>
        <v>92.605461200330325</v>
      </c>
      <c r="E50" s="27">
        <f t="shared" ref="E50:F50" si="42">SUM(E23:E32)</f>
        <v>10285576188.83</v>
      </c>
      <c r="F50" s="27">
        <f t="shared" si="42"/>
        <v>9558783911.6299973</v>
      </c>
      <c r="G50" s="20">
        <f t="shared" si="35"/>
        <v>92.933869101185707</v>
      </c>
      <c r="H50" s="27">
        <f t="shared" ref="H50:I50" si="43">SUM(H23:H32)</f>
        <v>10501945815.139999</v>
      </c>
      <c r="I50" s="27">
        <f t="shared" si="43"/>
        <v>9890126671.0400009</v>
      </c>
      <c r="J50" s="20">
        <f t="shared" si="39"/>
        <v>94.174230615263923</v>
      </c>
      <c r="K50" s="27">
        <f t="shared" ref="K50:L50" si="44">SUM(K23:K32)</f>
        <v>10700695892.02</v>
      </c>
      <c r="L50" s="27">
        <f t="shared" si="44"/>
        <v>10182505906.689999</v>
      </c>
      <c r="M50" s="20">
        <f t="shared" si="40"/>
        <v>95.157417886098045</v>
      </c>
      <c r="N50" s="27">
        <f t="shared" ref="N50:O50" si="45">SUM(N23:N32)</f>
        <v>11441742639.17</v>
      </c>
      <c r="O50" s="27">
        <f t="shared" si="45"/>
        <v>10562651576.880001</v>
      </c>
      <c r="P50" s="20">
        <f t="shared" si="38"/>
        <v>92.316807937276153</v>
      </c>
      <c r="Q50" s="13">
        <f t="shared" si="23"/>
        <v>6.9252201410810414</v>
      </c>
      <c r="R50" s="13">
        <f t="shared" si="23"/>
        <v>3.7333213815299047</v>
      </c>
    </row>
    <row r="51" spans="1:18" x14ac:dyDescent="0.3">
      <c r="A51" s="5" t="s">
        <v>63</v>
      </c>
      <c r="B51" s="27">
        <f t="shared" ref="B51:C51" si="46">SUM(B33:B37)</f>
        <v>287635599.43000001</v>
      </c>
      <c r="C51" s="27">
        <f t="shared" si="46"/>
        <v>177420674.63999999</v>
      </c>
      <c r="D51" s="20">
        <f t="shared" si="34"/>
        <v>61.682446467540849</v>
      </c>
      <c r="E51" s="27">
        <f t="shared" ref="E51:F51" si="47">SUM(E33:E37)</f>
        <v>317422659.27999997</v>
      </c>
      <c r="F51" s="27">
        <f t="shared" si="47"/>
        <v>140386714.79999998</v>
      </c>
      <c r="G51" s="20">
        <f t="shared" si="35"/>
        <v>44.227061520571603</v>
      </c>
      <c r="H51" s="27">
        <f t="shared" ref="H51:I51" si="48">SUM(H33:H37)</f>
        <v>378151054.81999999</v>
      </c>
      <c r="I51" s="27">
        <f t="shared" si="48"/>
        <v>157133075.5</v>
      </c>
      <c r="J51" s="20">
        <f t="shared" si="39"/>
        <v>41.552991455966023</v>
      </c>
      <c r="K51" s="27">
        <f t="shared" ref="K51:L51" si="49">SUM(K33:K37)</f>
        <v>387321368.05000001</v>
      </c>
      <c r="L51" s="27">
        <f t="shared" si="49"/>
        <v>135062277.33000001</v>
      </c>
      <c r="M51" s="20">
        <f t="shared" si="40"/>
        <v>34.870856211724572</v>
      </c>
      <c r="N51" s="27">
        <f t="shared" ref="N51:O51" si="50">SUM(N33:N37)</f>
        <v>436378163.20999998</v>
      </c>
      <c r="O51" s="27">
        <f t="shared" si="50"/>
        <v>204522159.21000001</v>
      </c>
      <c r="P51" s="20">
        <f t="shared" si="38"/>
        <v>46.868101214216125</v>
      </c>
      <c r="Q51" s="13">
        <f t="shared" si="23"/>
        <v>12.665656792182745</v>
      </c>
      <c r="R51" s="13">
        <f t="shared" si="23"/>
        <v>51.428039903612358</v>
      </c>
    </row>
    <row r="52" spans="1:18" x14ac:dyDescent="0.3">
      <c r="A52" s="5" t="s">
        <v>64</v>
      </c>
      <c r="B52" s="27">
        <f t="shared" ref="B52:C52" si="51">SUM(B38:B41)</f>
        <v>70844860.920000002</v>
      </c>
      <c r="C52" s="27">
        <f t="shared" si="51"/>
        <v>61744860.920000002</v>
      </c>
      <c r="D52" s="20">
        <f t="shared" si="34"/>
        <v>87.155031597456343</v>
      </c>
      <c r="E52" s="27">
        <f t="shared" ref="E52:F52" si="52">SUM(E38:E41)</f>
        <v>75346866.319999993</v>
      </c>
      <c r="F52" s="27">
        <f t="shared" si="52"/>
        <v>68548741.879999995</v>
      </c>
      <c r="G52" s="20">
        <f t="shared" si="35"/>
        <v>90.977561812420717</v>
      </c>
      <c r="H52" s="27">
        <f t="shared" ref="H52:I52" si="53">SUM(H38:H41)</f>
        <v>244443093.5</v>
      </c>
      <c r="I52" s="27">
        <f t="shared" si="53"/>
        <v>244443093.5</v>
      </c>
      <c r="J52" s="20">
        <f t="shared" si="39"/>
        <v>100</v>
      </c>
      <c r="K52" s="27">
        <f t="shared" ref="K52:L52" si="54">SUM(K38:K41)</f>
        <v>247930086.62</v>
      </c>
      <c r="L52" s="27">
        <f t="shared" si="54"/>
        <v>246012213.22</v>
      </c>
      <c r="M52" s="20">
        <f t="shared" si="40"/>
        <v>99.226445879906649</v>
      </c>
      <c r="N52" s="27">
        <f t="shared" ref="N52:O52" si="55">SUM(N38:N41)</f>
        <v>158609537.05000001</v>
      </c>
      <c r="O52" s="27">
        <f t="shared" si="55"/>
        <v>155109537.05000001</v>
      </c>
      <c r="P52" s="20">
        <f t="shared" si="38"/>
        <v>97.793323109633278</v>
      </c>
      <c r="Q52" s="13">
        <f t="shared" si="23"/>
        <v>-36.026506822022256</v>
      </c>
      <c r="R52" s="13">
        <f t="shared" si="23"/>
        <v>-36.950472897339026</v>
      </c>
    </row>
    <row r="53" spans="1:18" x14ac:dyDescent="0.3">
      <c r="A53" s="5" t="s">
        <v>65</v>
      </c>
      <c r="B53" s="27">
        <f t="shared" ref="B53:C53" si="56">SUM(B42:B46)</f>
        <v>106548191.31999999</v>
      </c>
      <c r="C53" s="27">
        <f t="shared" si="56"/>
        <v>106548191.31999999</v>
      </c>
      <c r="D53" s="20">
        <f t="shared" si="34"/>
        <v>100</v>
      </c>
      <c r="E53" s="27">
        <f t="shared" ref="E53:F53" si="57">SUM(E42:E46)</f>
        <v>98726647.409999996</v>
      </c>
      <c r="F53" s="27">
        <f t="shared" si="57"/>
        <v>98726647.409999996</v>
      </c>
      <c r="G53" s="20">
        <f t="shared" si="35"/>
        <v>100</v>
      </c>
      <c r="H53" s="27">
        <f t="shared" ref="H53:I53" si="58">SUM(H42:H46)</f>
        <v>87086613.909999996</v>
      </c>
      <c r="I53" s="27">
        <f t="shared" si="58"/>
        <v>87086613.909999996</v>
      </c>
      <c r="J53" s="20">
        <f t="shared" si="39"/>
        <v>100</v>
      </c>
      <c r="K53" s="27">
        <f t="shared" ref="K53:L53" si="59">SUM(K42:K46)</f>
        <v>65833236.379999995</v>
      </c>
      <c r="L53" s="27">
        <f t="shared" si="59"/>
        <v>65833236.379999995</v>
      </c>
      <c r="M53" s="20">
        <f t="shared" si="40"/>
        <v>100</v>
      </c>
      <c r="N53" s="27">
        <f t="shared" ref="N53" si="60">SUM(N42:N46)</f>
        <v>47018414.129999995</v>
      </c>
      <c r="O53" s="27">
        <f>SUM(O42:O46)</f>
        <v>47018414.129999995</v>
      </c>
      <c r="P53" s="20">
        <f t="shared" si="38"/>
        <v>100</v>
      </c>
      <c r="Q53" s="13">
        <f t="shared" si="23"/>
        <v>-28.579518924753799</v>
      </c>
      <c r="R53" s="13">
        <f t="shared" si="23"/>
        <v>-28.579518924753799</v>
      </c>
    </row>
    <row r="54" spans="1:18" x14ac:dyDescent="0.3">
      <c r="A54" s="5" t="s">
        <v>66</v>
      </c>
      <c r="B54" s="27">
        <f t="shared" ref="B54:C54" si="61">B47</f>
        <v>0</v>
      </c>
      <c r="C54" s="27">
        <f t="shared" si="61"/>
        <v>0</v>
      </c>
      <c r="D54" s="20" t="str">
        <f t="shared" si="34"/>
        <v>-</v>
      </c>
      <c r="E54" s="27">
        <f t="shared" ref="E54:F54" si="62">E47</f>
        <v>0</v>
      </c>
      <c r="F54" s="27">
        <f t="shared" si="62"/>
        <v>0</v>
      </c>
      <c r="G54" s="20" t="str">
        <f t="shared" si="35"/>
        <v>-</v>
      </c>
      <c r="H54" s="27">
        <f t="shared" ref="H54:I54" si="63">H47</f>
        <v>0</v>
      </c>
      <c r="I54" s="27">
        <f t="shared" si="63"/>
        <v>0</v>
      </c>
      <c r="J54" s="20" t="str">
        <f t="shared" si="39"/>
        <v>-</v>
      </c>
      <c r="K54" s="27">
        <f t="shared" ref="K54:L54" si="64">K47</f>
        <v>0</v>
      </c>
      <c r="L54" s="27">
        <f t="shared" si="64"/>
        <v>0</v>
      </c>
      <c r="M54" s="20" t="str">
        <f t="shared" si="40"/>
        <v>-</v>
      </c>
      <c r="N54" s="27">
        <f t="shared" ref="N54" si="65">N47</f>
        <v>0</v>
      </c>
      <c r="O54" s="27">
        <f>O47</f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2754285165.3600001</v>
      </c>
      <c r="C55" s="29">
        <v>1228254940.04</v>
      </c>
      <c r="D55" s="20">
        <f t="shared" si="34"/>
        <v>44.594327250042035</v>
      </c>
      <c r="E55" s="27">
        <f>SUM(E48:E49)</f>
        <v>2263544045.71</v>
      </c>
      <c r="F55" s="29">
        <v>970723253.25</v>
      </c>
      <c r="G55" s="20">
        <f t="shared" si="35"/>
        <v>42.885105553380818</v>
      </c>
      <c r="H55" s="27">
        <f>SUM(H48:H49)</f>
        <v>2056387666.6400001</v>
      </c>
      <c r="I55" s="29">
        <v>820089083.40999997</v>
      </c>
      <c r="J55" s="20">
        <f t="shared" si="39"/>
        <v>39.880081791677476</v>
      </c>
      <c r="K55" s="27">
        <f>SUM(K48:K49)</f>
        <v>1874711115.71</v>
      </c>
      <c r="L55" s="29">
        <v>1239774970.48</v>
      </c>
      <c r="M55" s="20">
        <f t="shared" si="40"/>
        <v>66.131520749556458</v>
      </c>
      <c r="N55" s="27">
        <f>SUM(N48:N49)</f>
        <v>2389604620.8200002</v>
      </c>
      <c r="O55" s="29">
        <v>1346816461</v>
      </c>
      <c r="P55" s="20">
        <f t="shared" si="38"/>
        <v>56.361477093973633</v>
      </c>
      <c r="Q55" s="13">
        <f t="shared" si="23"/>
        <v>27.465218549952269</v>
      </c>
      <c r="R55" s="13">
        <f t="shared" si="23"/>
        <v>8.6339451165526384</v>
      </c>
    </row>
    <row r="56" spans="1:18" x14ac:dyDescent="0.3">
      <c r="A56" s="5" t="s">
        <v>68</v>
      </c>
      <c r="B56" s="19">
        <f t="shared" ref="B56:C56" si="66">SUM(B50:B55)</f>
        <v>13376336429.09</v>
      </c>
      <c r="C56" s="19">
        <f t="shared" si="66"/>
        <v>10979926301.040001</v>
      </c>
      <c r="D56" s="20">
        <f t="shared" si="34"/>
        <v>82.084705025522226</v>
      </c>
      <c r="E56" s="19">
        <f t="shared" ref="E56:F56" si="67">SUM(E50:E55)</f>
        <v>13040616407.549999</v>
      </c>
      <c r="F56" s="19">
        <f t="shared" si="67"/>
        <v>10837169268.969995</v>
      </c>
      <c r="G56" s="20">
        <f t="shared" si="35"/>
        <v>83.103197964597015</v>
      </c>
      <c r="H56" s="24">
        <f t="shared" ref="H56:I56" si="68">SUM(H50:H55)</f>
        <v>13268014244.009998</v>
      </c>
      <c r="I56" s="19">
        <f t="shared" si="68"/>
        <v>11198878537.360001</v>
      </c>
      <c r="J56" s="20">
        <f t="shared" si="39"/>
        <v>84.40508377066196</v>
      </c>
      <c r="K56" s="24">
        <f t="shared" ref="K56:L56" si="69">SUM(K50:K55)</f>
        <v>13276491698.779999</v>
      </c>
      <c r="L56" s="19">
        <f t="shared" si="69"/>
        <v>11869188604.099997</v>
      </c>
      <c r="M56" s="20">
        <f t="shared" si="40"/>
        <v>89.400037851796938</v>
      </c>
      <c r="N56" s="24">
        <f t="shared" ref="N56:O56" si="70">SUM(N50:N55)</f>
        <v>14473353374.379997</v>
      </c>
      <c r="O56" s="19">
        <f t="shared" si="70"/>
        <v>12316118148.269999</v>
      </c>
      <c r="P56" s="20">
        <f t="shared" si="38"/>
        <v>85.095125018306888</v>
      </c>
      <c r="Q56" s="13">
        <f t="shared" si="23"/>
        <v>9.0148941659789585</v>
      </c>
      <c r="R56" s="13">
        <f t="shared" si="23"/>
        <v>3.7654599575207612</v>
      </c>
    </row>
    <row r="57" spans="1:18" x14ac:dyDescent="0.3">
      <c r="A57" s="14" t="s">
        <v>69</v>
      </c>
      <c r="B57" s="15">
        <f t="shared" ref="B57:C57" si="71">B56-B55</f>
        <v>10622051263.73</v>
      </c>
      <c r="C57" s="15">
        <f t="shared" si="71"/>
        <v>9751671361</v>
      </c>
      <c r="D57" s="21">
        <f t="shared" si="34"/>
        <v>91.805915061792305</v>
      </c>
      <c r="E57" s="15">
        <f t="shared" ref="E57:F57" si="72">E56-E55</f>
        <v>10777072361.84</v>
      </c>
      <c r="F57" s="15">
        <f t="shared" si="72"/>
        <v>9866446015.7199955</v>
      </c>
      <c r="G57" s="21">
        <f t="shared" si="35"/>
        <v>91.550336533468993</v>
      </c>
      <c r="H57" s="25">
        <f t="shared" ref="H57:I57" si="73">H56-H55</f>
        <v>11211626577.369999</v>
      </c>
      <c r="I57" s="15">
        <f t="shared" si="73"/>
        <v>10378789453.950001</v>
      </c>
      <c r="J57" s="21">
        <f t="shared" si="39"/>
        <v>92.571665514609364</v>
      </c>
      <c r="K57" s="25">
        <f t="shared" ref="K57:L57" si="74">K56-K55</f>
        <v>11401780583.07</v>
      </c>
      <c r="L57" s="15">
        <f t="shared" si="74"/>
        <v>10629413633.619997</v>
      </c>
      <c r="M57" s="21">
        <f t="shared" si="40"/>
        <v>93.225909375971881</v>
      </c>
      <c r="N57" s="25">
        <f t="shared" ref="N57:O57" si="75">N56-N55</f>
        <v>12083748753.559998</v>
      </c>
      <c r="O57" s="15">
        <f t="shared" si="75"/>
        <v>10969301687.269999</v>
      </c>
      <c r="P57" s="21">
        <f t="shared" si="38"/>
        <v>90.777306868767269</v>
      </c>
      <c r="Q57" s="16">
        <f t="shared" si="23"/>
        <v>5.9812427148670224</v>
      </c>
      <c r="R57" s="16">
        <f t="shared" si="23"/>
        <v>3.197618094143607</v>
      </c>
    </row>
    <row r="58" spans="1:18" x14ac:dyDescent="0.3">
      <c r="A58" s="5" t="s">
        <v>70</v>
      </c>
      <c r="B58" s="19">
        <f>B14-B50</f>
        <v>408310270.56000137</v>
      </c>
      <c r="C58" s="19">
        <f>C14-C50</f>
        <v>-968418250.06000137</v>
      </c>
      <c r="D58" s="22"/>
      <c r="E58" s="19">
        <f>E14-E50</f>
        <v>394499428.05999947</v>
      </c>
      <c r="F58" s="19">
        <f>F14-F50</f>
        <v>-869604933.04999733</v>
      </c>
      <c r="G58" s="22"/>
      <c r="H58" s="19">
        <f>H14-H50</f>
        <v>509166966.31000137</v>
      </c>
      <c r="I58" s="19">
        <f>I14-I50</f>
        <v>-684677390.26000023</v>
      </c>
      <c r="J58" s="22"/>
      <c r="K58" s="19">
        <f>K14-K50</f>
        <v>471788165.78000069</v>
      </c>
      <c r="L58" s="19">
        <f>L14-L50</f>
        <v>-255402440.57999992</v>
      </c>
      <c r="M58" s="22"/>
      <c r="N58" s="19">
        <f>N14-N50</f>
        <v>404877380.6400013</v>
      </c>
      <c r="O58" s="19">
        <f>O14-O50</f>
        <v>-527978030.86000061</v>
      </c>
      <c r="P58" s="22"/>
      <c r="Q58" s="13">
        <f t="shared" si="23"/>
        <v>-14.182378871114054</v>
      </c>
      <c r="R58" s="13" t="str">
        <f t="shared" si="23"/>
        <v>-</v>
      </c>
    </row>
    <row r="59" spans="1:18" x14ac:dyDescent="0.3">
      <c r="A59" s="5" t="s">
        <v>71</v>
      </c>
      <c r="B59" s="19">
        <f>B15-B51</f>
        <v>-139905743.98999998</v>
      </c>
      <c r="C59" s="19">
        <f>C15-C51</f>
        <v>-73737076.649999976</v>
      </c>
      <c r="D59" s="22"/>
      <c r="E59" s="19">
        <f>E15-E51</f>
        <v>-137241992.84999996</v>
      </c>
      <c r="F59" s="19">
        <f>F15-F51</f>
        <v>-66828725.229999974</v>
      </c>
      <c r="G59" s="22"/>
      <c r="H59" s="19">
        <f>H15-H51</f>
        <v>-168977853.38</v>
      </c>
      <c r="I59" s="19">
        <f>I15-I51</f>
        <v>-80751320.329999998</v>
      </c>
      <c r="J59" s="22"/>
      <c r="K59" s="19">
        <f>K15-K51</f>
        <v>-182264974.57000005</v>
      </c>
      <c r="L59" s="19">
        <f>L15-L51</f>
        <v>-96756251.030000001</v>
      </c>
      <c r="M59" s="22"/>
      <c r="N59" s="19">
        <f>N15-N51</f>
        <v>-173407207.07999998</v>
      </c>
      <c r="O59" s="19">
        <f>O15-O51</f>
        <v>-47982866.680000037</v>
      </c>
      <c r="P59" s="22"/>
      <c r="Q59" s="13" t="str">
        <f t="shared" si="23"/>
        <v>-</v>
      </c>
      <c r="R59" s="13" t="str">
        <f t="shared" si="23"/>
        <v>-</v>
      </c>
    </row>
    <row r="60" spans="1:18" x14ac:dyDescent="0.3">
      <c r="A60" s="5" t="s">
        <v>366</v>
      </c>
      <c r="B60" s="19">
        <f>SUM(B14:B16)-SUM(B50:B52)</f>
        <v>263685065.86000061</v>
      </c>
      <c r="C60" s="19">
        <f>SUM(C14:C16)-SUM(C50:C52)</f>
        <v>-1077333894.3400011</v>
      </c>
      <c r="D60" s="22"/>
      <c r="E60" s="19">
        <f>SUM(E14:E16)-SUM(E50:E52)</f>
        <v>250909731.07999992</v>
      </c>
      <c r="F60" s="19">
        <f>SUM(F14:F16)-SUM(F50:F52)</f>
        <v>-956454990.88999557</v>
      </c>
      <c r="G60" s="22"/>
      <c r="H60" s="19">
        <f>SUM(H14:H16)-SUM(H50:H52)</f>
        <v>327456874.6400013</v>
      </c>
      <c r="I60" s="19">
        <f>SUM(I14:I16)-SUM(I50:I52)</f>
        <v>-833534656.09000015</v>
      </c>
      <c r="J60" s="22"/>
      <c r="K60" s="19">
        <f>SUM(K14:K16)-SUM(K50:K52)</f>
        <v>288598389.96000099</v>
      </c>
      <c r="L60" s="19">
        <f>SUM(L14:L16)-SUM(L50:L52)</f>
        <v>-370865625.21999931</v>
      </c>
      <c r="M60" s="22"/>
      <c r="N60" s="19">
        <f>SUM(N14:N16)-SUM(N50:N52)</f>
        <v>220157453.1400013</v>
      </c>
      <c r="O60" s="19">
        <f>SUM(O14:O16)-SUM(O50:O52)</f>
        <v>-586314015.04999733</v>
      </c>
      <c r="P60" s="22"/>
      <c r="Q60" s="13">
        <f t="shared" si="23"/>
        <v>-23.714940623710831</v>
      </c>
      <c r="R60" s="13" t="str">
        <f t="shared" si="23"/>
        <v>-</v>
      </c>
    </row>
    <row r="61" spans="1:18" x14ac:dyDescent="0.3">
      <c r="A61" s="5" t="s">
        <v>367</v>
      </c>
      <c r="B61" s="28">
        <f>B21-B57</f>
        <v>157136874.54000092</v>
      </c>
      <c r="C61" s="28">
        <f>C21-C57</f>
        <v>-1183882085.6600008</v>
      </c>
      <c r="D61" s="106"/>
      <c r="E61" s="28">
        <f>E21-E57</f>
        <v>152183083.67000198</v>
      </c>
      <c r="F61" s="28">
        <f>F21-F57</f>
        <v>-1055181638.2999935</v>
      </c>
      <c r="G61" s="106"/>
      <c r="H61" s="28">
        <f>H21-H57</f>
        <v>240370260.73000145</v>
      </c>
      <c r="I61" s="28">
        <f>I21-I57</f>
        <v>-920621270</v>
      </c>
      <c r="J61" s="106"/>
      <c r="K61" s="28">
        <f>K21-K57</f>
        <v>222765153.58000183</v>
      </c>
      <c r="L61" s="28">
        <f>L21-L57</f>
        <v>-436698861.59999847</v>
      </c>
      <c r="M61" s="106"/>
      <c r="N61" s="28">
        <f>N21-N57</f>
        <v>173139039.01000214</v>
      </c>
      <c r="O61" s="28">
        <f>O21-O57</f>
        <v>-633332429.17999649</v>
      </c>
      <c r="P61" s="106"/>
    </row>
    <row r="62" spans="1:18" x14ac:dyDescent="0.3">
      <c r="A62" s="5" t="s">
        <v>368</v>
      </c>
      <c r="C62" s="6">
        <f>SUM(C14:C16)/SUM(B14:B16)*100</f>
        <v>79.484550834781899</v>
      </c>
      <c r="D62" s="106"/>
      <c r="F62" s="6">
        <f>SUM(F14:F16)/SUM(E14:E16)*100</f>
        <v>80.620902506582709</v>
      </c>
      <c r="G62" s="106"/>
      <c r="I62" s="6">
        <f>SUM(I14:I16)/SUM(H14:H16)*100</f>
        <v>82.589685603853212</v>
      </c>
      <c r="J62" s="106"/>
      <c r="L62" s="6">
        <f>SUM(L14:L16)/SUM(K14:K16)*100</f>
        <v>87.682693181586359</v>
      </c>
      <c r="M62" s="106"/>
      <c r="O62" s="6">
        <f>SUM(O14:O16)/SUM(N14:N16)*100</f>
        <v>84.327844335456518</v>
      </c>
      <c r="P62" s="106"/>
    </row>
    <row r="63" spans="1:18" x14ac:dyDescent="0.3">
      <c r="A63" s="5" t="s">
        <v>369</v>
      </c>
      <c r="C63" s="6">
        <f>SUM(C50:C52)/SUM(B50:B52)*100</f>
        <v>91.722888608024334</v>
      </c>
      <c r="D63" s="106"/>
      <c r="F63" s="6">
        <f>SUM(F50:F52)/SUM(E50:E52)*100</f>
        <v>91.472215168221751</v>
      </c>
      <c r="G63" s="106"/>
      <c r="I63" s="6">
        <f>SUM(I50:I52)/SUM(H50:H52)*100</f>
        <v>92.513514031541433</v>
      </c>
      <c r="J63" s="106"/>
      <c r="L63" s="6">
        <f>SUM(L50:L52)/SUM(K50:K52)*100</f>
        <v>93.186569010700921</v>
      </c>
      <c r="M63" s="106"/>
      <c r="O63" s="6">
        <f>SUM(O50:O52)/SUM(N50:N52)*100</f>
        <v>90.741280772575877</v>
      </c>
      <c r="P63" s="10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G1" sqref="G1:I1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11.21</v>
      </c>
      <c r="F2" s="82">
        <f>Piano_indicatori!E3</f>
        <v>10.82</v>
      </c>
      <c r="G2" s="82">
        <f>Piano_indicatori!F3</f>
        <v>10.29</v>
      </c>
      <c r="H2" s="82">
        <f>Piano_indicatori!G3</f>
        <v>9.7799999999999994</v>
      </c>
      <c r="I2" s="82">
        <f>Piano_indicatori!H3</f>
        <v>8.9</v>
      </c>
    </row>
    <row r="3" spans="1:9" ht="29.25" customHeight="1" x14ac:dyDescent="0.3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89.02</v>
      </c>
      <c r="F3" s="83">
        <f>Piano_indicatori!E12</f>
        <v>91.79</v>
      </c>
      <c r="G3" s="83">
        <f>Piano_indicatori!F12</f>
        <v>89.29</v>
      </c>
      <c r="H3" s="83">
        <f>Piano_indicatori!G12</f>
        <v>91.65</v>
      </c>
      <c r="I3" s="83">
        <f>Piano_indicatori!H12</f>
        <v>90.58</v>
      </c>
    </row>
    <row r="4" spans="1:9" ht="29.25" customHeight="1" x14ac:dyDescent="0.3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1.2</v>
      </c>
      <c r="F5" s="85">
        <f>Piano_indicatori!E51</f>
        <v>1.17</v>
      </c>
      <c r="G5" s="85">
        <f>Piano_indicatori!F51</f>
        <v>1.07</v>
      </c>
      <c r="H5" s="85">
        <f>Piano_indicatori!G51</f>
        <v>1.02</v>
      </c>
      <c r="I5" s="85">
        <f>Piano_indicatori!H51</f>
        <v>0.78</v>
      </c>
    </row>
    <row r="6" spans="1:9" ht="29.25" customHeight="1" x14ac:dyDescent="0.3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14.456585420128325</v>
      </c>
      <c r="F6" s="86">
        <f>Piano_indicatori!E62</f>
        <v>14.456585420128325</v>
      </c>
      <c r="G6" s="86">
        <f>Piano_indicatori!F62</f>
        <v>11.693011738732288</v>
      </c>
      <c r="H6" s="86">
        <f>Piano_indicatori!G62</f>
        <v>9.0454614217547604</v>
      </c>
      <c r="I6" s="86">
        <f>Piano_indicatori!H62</f>
        <v>-6.1920253998470436</v>
      </c>
    </row>
    <row r="7" spans="1:9" ht="29.25" customHeight="1" x14ac:dyDescent="0.3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</v>
      </c>
      <c r="F7" s="87">
        <f>Piano_indicatori!E65</f>
        <v>0</v>
      </c>
      <c r="G7" s="87">
        <f>Piano_indicatori!F65</f>
        <v>0</v>
      </c>
      <c r="H7" s="87">
        <f>Piano_indicatori!G65</f>
        <v>0</v>
      </c>
      <c r="I7" s="87">
        <f>Piano_indicatori!H65</f>
        <v>0</v>
      </c>
    </row>
    <row r="8" spans="1:9" ht="29.25" customHeight="1" x14ac:dyDescent="0.3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 x14ac:dyDescent="0.3">
      <c r="A9" s="76" t="s">
        <v>317</v>
      </c>
      <c r="B9" s="76"/>
      <c r="C9" s="81" t="s">
        <v>324</v>
      </c>
      <c r="D9" s="91" t="s">
        <v>332</v>
      </c>
      <c r="E9" s="88">
        <f>Piano_indicatori!D77</f>
        <v>74.392310629328506</v>
      </c>
      <c r="F9" s="88">
        <f>Piano_indicatori!E77</f>
        <v>71.621571587127974</v>
      </c>
      <c r="G9" s="88">
        <f>Piano_indicatori!F77</f>
        <v>74.61878009081218</v>
      </c>
      <c r="H9" s="88">
        <f>Piano_indicatori!G77</f>
        <v>77.631096386458481</v>
      </c>
      <c r="I9" s="88">
        <f>Piano_indicatori!H77</f>
        <v>80.519169701301379</v>
      </c>
    </row>
  </sheetData>
  <conditionalFormatting sqref="E2:G2 I2">
    <cfRule type="cellIs" dxfId="15" priority="16" operator="greaterThan">
      <formula>48</formula>
    </cfRule>
  </conditionalFormatting>
  <conditionalFormatting sqref="E3:G3 I3">
    <cfRule type="cellIs" dxfId="14" priority="15" operator="lessThan">
      <formula>22</formula>
    </cfRule>
  </conditionalFormatting>
  <conditionalFormatting sqref="E4:G4 I4">
    <cfRule type="cellIs" dxfId="13" priority="14" operator="greaterThan">
      <formula>0</formula>
    </cfRule>
  </conditionalFormatting>
  <conditionalFormatting sqref="E5:G5 I5">
    <cfRule type="cellIs" dxfId="12" priority="13" operator="greaterThan">
      <formula>16</formula>
    </cfRule>
  </conditionalFormatting>
  <conditionalFormatting sqref="E6:G6 I6">
    <cfRule type="cellIs" dxfId="11" priority="12" operator="greaterThan">
      <formula>1.2</formula>
    </cfRule>
  </conditionalFormatting>
  <conditionalFormatting sqref="E7:G7 I7">
    <cfRule type="cellIs" dxfId="10" priority="11" operator="greaterThan">
      <formula>1</formula>
    </cfRule>
  </conditionalFormatting>
  <conditionalFormatting sqref="E8:G8 I8">
    <cfRule type="cellIs" dxfId="9" priority="10" operator="greaterThan">
      <formula>0.6</formula>
    </cfRule>
  </conditionalFormatting>
  <conditionalFormatting sqref="E9:G9 I9">
    <cfRule type="cellIs" dxfId="8" priority="9" operator="lessThan">
      <formula>47</formula>
    </cfRule>
  </conditionalFormatting>
  <conditionalFormatting sqref="H2">
    <cfRule type="cellIs" dxfId="7" priority="8" operator="greaterThan">
      <formula>48</formula>
    </cfRule>
  </conditionalFormatting>
  <conditionalFormatting sqref="H3">
    <cfRule type="cellIs" dxfId="6" priority="7" operator="lessThan">
      <formula>22</formula>
    </cfRule>
  </conditionalFormatting>
  <conditionalFormatting sqref="H4">
    <cfRule type="cellIs" dxfId="5" priority="6" operator="greaterThan">
      <formula>0</formula>
    </cfRule>
  </conditionalFormatting>
  <conditionalFormatting sqref="H5">
    <cfRule type="cellIs" dxfId="4" priority="5" operator="greaterThan">
      <formula>16</formula>
    </cfRule>
  </conditionalFormatting>
  <conditionalFormatting sqref="H6">
    <cfRule type="cellIs" dxfId="3" priority="4" operator="greaterThan">
      <formula>1.2</formula>
    </cfRule>
  </conditionalFormatting>
  <conditionalFormatting sqref="H7">
    <cfRule type="cellIs" dxfId="2" priority="3" operator="greaterThan">
      <formula>1</formula>
    </cfRule>
  </conditionalFormatting>
  <conditionalFormatting sqref="H8">
    <cfRule type="cellIs" dxfId="1" priority="2" operator="greaterThan">
      <formula>0.6</formula>
    </cfRule>
  </conditionalFormatting>
  <conditionalFormatting sqref="H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0" ht="28.8" x14ac:dyDescent="0.3">
      <c r="A1" s="101" t="s">
        <v>362</v>
      </c>
      <c r="B1" s="101" t="s">
        <v>363</v>
      </c>
      <c r="C1" s="101" t="s">
        <v>232</v>
      </c>
      <c r="D1" s="101" t="s">
        <v>346</v>
      </c>
      <c r="E1" s="105" t="s">
        <v>347</v>
      </c>
      <c r="F1" s="105" t="s">
        <v>348</v>
      </c>
    </row>
    <row r="2" spans="1:20" x14ac:dyDescent="0.3">
      <c r="A2" s="31">
        <v>2021</v>
      </c>
      <c r="B2" s="95">
        <v>4438937</v>
      </c>
      <c r="C2" s="102">
        <f>B2/B3*100-100</f>
        <v>-0.56409786567070341</v>
      </c>
    </row>
    <row r="3" spans="1:20" x14ac:dyDescent="0.3">
      <c r="A3" s="31">
        <v>2020</v>
      </c>
      <c r="B3" s="95">
        <v>4464119</v>
      </c>
      <c r="C3" s="102">
        <f>B3/B4*100-100</f>
        <v>0.10463166670891155</v>
      </c>
      <c r="D3" s="95">
        <v>-29350</v>
      </c>
      <c r="E3" s="1">
        <v>4168</v>
      </c>
      <c r="F3" s="1">
        <f t="shared" ref="F3:F8" si="0">B2-B3-D3-E3</f>
        <v>0</v>
      </c>
    </row>
    <row r="4" spans="1:20" x14ac:dyDescent="0.3">
      <c r="A4" s="31">
        <v>2019</v>
      </c>
      <c r="B4" s="95">
        <v>4459453</v>
      </c>
      <c r="C4" s="102">
        <f>B4/B5*100-100</f>
        <v>0.30439144204123636</v>
      </c>
      <c r="D4" s="95">
        <v>-19352</v>
      </c>
      <c r="E4" s="1">
        <v>24018</v>
      </c>
      <c r="F4" s="1">
        <f t="shared" si="0"/>
        <v>0</v>
      </c>
      <c r="K4" s="108"/>
      <c r="L4" s="109"/>
      <c r="M4" s="109"/>
      <c r="N4" s="109"/>
      <c r="O4" s="109"/>
      <c r="P4" s="109"/>
      <c r="Q4" s="109"/>
      <c r="R4" s="109"/>
      <c r="S4" s="109"/>
      <c r="T4" s="109"/>
    </row>
    <row r="5" spans="1:20" x14ac:dyDescent="0.3">
      <c r="A5" s="31">
        <v>2018</v>
      </c>
      <c r="B5" s="95">
        <v>4445920</v>
      </c>
      <c r="C5" s="102">
        <f t="shared" ref="C5:C7" si="1">B5/B6*100-100</f>
        <v>0.13856579893362664</v>
      </c>
      <c r="D5" s="95">
        <v>-17411</v>
      </c>
      <c r="E5" s="95">
        <v>30944</v>
      </c>
      <c r="F5" s="1">
        <f t="shared" si="0"/>
        <v>0</v>
      </c>
      <c r="K5" s="108"/>
      <c r="L5" s="109"/>
      <c r="M5" s="109"/>
      <c r="N5" s="109"/>
      <c r="O5" s="109"/>
      <c r="P5" s="109"/>
      <c r="Q5" s="109"/>
      <c r="R5" s="109"/>
      <c r="S5" s="109"/>
      <c r="T5" s="109"/>
    </row>
    <row r="6" spans="1:20" x14ac:dyDescent="0.3">
      <c r="A6" s="31">
        <v>2017</v>
      </c>
      <c r="B6" s="95">
        <v>4439768</v>
      </c>
      <c r="C6" s="102">
        <f t="shared" si="1"/>
        <v>9.6674993461817849E-2</v>
      </c>
      <c r="D6" s="95">
        <v>-18053</v>
      </c>
      <c r="E6" s="95">
        <v>24205</v>
      </c>
      <c r="F6" s="1">
        <f t="shared" si="0"/>
        <v>0</v>
      </c>
      <c r="K6" s="108"/>
      <c r="L6" s="109"/>
      <c r="M6" s="109"/>
      <c r="N6" s="109"/>
      <c r="O6" s="109"/>
      <c r="P6" s="109"/>
      <c r="Q6" s="109"/>
      <c r="R6" s="109"/>
      <c r="S6" s="109"/>
      <c r="T6" s="109"/>
    </row>
    <row r="7" spans="1:20" x14ac:dyDescent="0.3">
      <c r="A7" s="31">
        <v>2016</v>
      </c>
      <c r="B7" s="95">
        <v>4435480</v>
      </c>
      <c r="C7" s="102">
        <f t="shared" si="1"/>
        <v>2.4873843608702373E-2</v>
      </c>
      <c r="D7" s="95">
        <v>-14799</v>
      </c>
      <c r="E7" s="95">
        <v>19087</v>
      </c>
      <c r="F7" s="1">
        <f t="shared" si="0"/>
        <v>0</v>
      </c>
      <c r="K7" s="108"/>
      <c r="L7" s="109"/>
      <c r="M7" s="109"/>
      <c r="N7" s="109"/>
      <c r="O7" s="109"/>
      <c r="P7" s="109"/>
      <c r="Q7" s="109"/>
      <c r="R7" s="109"/>
      <c r="S7" s="109"/>
      <c r="T7" s="109"/>
    </row>
    <row r="8" spans="1:20" x14ac:dyDescent="0.3">
      <c r="A8" s="103">
        <v>2015</v>
      </c>
      <c r="B8" s="104">
        <v>4434377</v>
      </c>
      <c r="C8" s="104"/>
      <c r="D8" s="104">
        <v>-15768</v>
      </c>
      <c r="E8" s="104">
        <v>16871</v>
      </c>
      <c r="F8" s="1">
        <f t="shared" si="0"/>
        <v>0</v>
      </c>
    </row>
    <row r="9" spans="1:20" x14ac:dyDescent="0.3">
      <c r="A9" t="s">
        <v>364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6" width="15.33203125" bestFit="1" customWidth="1"/>
    <col min="7" max="7" width="8.44140625" customWidth="1"/>
    <col min="8" max="8" width="6.5546875" bestFit="1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370</v>
      </c>
      <c r="J1" s="42" t="s">
        <v>267</v>
      </c>
    </row>
    <row r="2" spans="1:10" x14ac:dyDescent="0.3">
      <c r="A2" s="55" t="s">
        <v>19</v>
      </c>
      <c r="B2" s="56">
        <f>Entrate_Uscite!B3</f>
        <v>9766223580.75</v>
      </c>
      <c r="C2" s="56">
        <f>Entrate_Uscite!E3</f>
        <v>9849534544.6299992</v>
      </c>
      <c r="D2" s="56">
        <f>Entrate_Uscite!H3</f>
        <v>9970790967.5100002</v>
      </c>
      <c r="E2" s="56">
        <f>Entrate_Uscite!K3</f>
        <v>10005078193</v>
      </c>
      <c r="F2" s="56">
        <f>Entrate_Uscite!N3</f>
        <v>10213154515.82</v>
      </c>
      <c r="G2" s="56">
        <f>F2/F$21*100</f>
        <v>83.32583840745535</v>
      </c>
      <c r="H2" s="57">
        <f t="shared" ref="H2:H21" si="0">IF(E2&gt;0,F2/E2*100-100,"-")</f>
        <v>2.0797071127897766</v>
      </c>
      <c r="I2" s="56">
        <f>Entrate_Uscite!O3</f>
        <v>8780960606.6399994</v>
      </c>
      <c r="J2" s="58">
        <f>IF(F2&gt;0,I2/F2*100,"-")</f>
        <v>85.976968164326152</v>
      </c>
    </row>
    <row r="3" spans="1:10" x14ac:dyDescent="0.3">
      <c r="A3" s="55" t="s">
        <v>20</v>
      </c>
      <c r="B3" s="56">
        <f>Entrate_Uscite!B4</f>
        <v>508043996.87</v>
      </c>
      <c r="C3" s="56">
        <f>Entrate_Uscite!E4</f>
        <v>533011287.47000003</v>
      </c>
      <c r="D3" s="56">
        <f>Entrate_Uscite!H4</f>
        <v>668311736.40999997</v>
      </c>
      <c r="E3" s="56">
        <f>Entrate_Uscite!K4</f>
        <v>805686189.87</v>
      </c>
      <c r="F3" s="56">
        <f>Entrate_Uscite!N4</f>
        <v>1281972658.79</v>
      </c>
      <c r="G3" s="56">
        <f t="shared" ref="G3:G21" si="1">F3/F$21*100</f>
        <v>10.459202046110912</v>
      </c>
      <c r="H3" s="57">
        <f t="shared" si="0"/>
        <v>59.115630242694152</v>
      </c>
      <c r="I3" s="56">
        <f>Entrate_Uscite!O4</f>
        <v>909312771.92999995</v>
      </c>
      <c r="J3" s="58">
        <f t="shared" ref="J3:J21" si="2">IF(F3&gt;0,I3/F3*100,"-")</f>
        <v>70.930746119676385</v>
      </c>
    </row>
    <row r="4" spans="1:10" x14ac:dyDescent="0.3">
      <c r="A4" s="55" t="s">
        <v>21</v>
      </c>
      <c r="B4" s="56">
        <f>Entrate_Uscite!B5</f>
        <v>291065305</v>
      </c>
      <c r="C4" s="56">
        <f>Entrate_Uscite!E5</f>
        <v>297529784.79000002</v>
      </c>
      <c r="D4" s="56">
        <f>Entrate_Uscite!H5</f>
        <v>372010077.52999997</v>
      </c>
      <c r="E4" s="56">
        <f>Entrate_Uscite!K5</f>
        <v>361719674.93000001</v>
      </c>
      <c r="F4" s="56">
        <f>Entrate_Uscite!N5</f>
        <v>351492845.19999999</v>
      </c>
      <c r="G4" s="56">
        <f t="shared" si="1"/>
        <v>2.8677169208734319</v>
      </c>
      <c r="H4" s="57">
        <f t="shared" si="0"/>
        <v>-2.8272804712597122</v>
      </c>
      <c r="I4" s="56">
        <f>Entrate_Uscite!O5</f>
        <v>344400167.44999999</v>
      </c>
      <c r="J4" s="58">
        <f t="shared" si="2"/>
        <v>97.982127418279518</v>
      </c>
    </row>
    <row r="5" spans="1:10" x14ac:dyDescent="0.3">
      <c r="A5" s="4" t="s">
        <v>30</v>
      </c>
      <c r="B5" s="43">
        <f>SUM(B2:B4)</f>
        <v>10565332882.620001</v>
      </c>
      <c r="C5" s="43">
        <f>SUM(C2:C4)</f>
        <v>10680075616.889999</v>
      </c>
      <c r="D5" s="43">
        <f>SUM(D2:D4)</f>
        <v>11011112781.450001</v>
      </c>
      <c r="E5" s="43">
        <f>SUM(E2:E4)</f>
        <v>11172484057.800001</v>
      </c>
      <c r="F5" s="43">
        <f>SUM(F2:F4)</f>
        <v>11846620019.810001</v>
      </c>
      <c r="G5" s="43">
        <f t="shared" si="1"/>
        <v>96.652757374439716</v>
      </c>
      <c r="H5" s="44">
        <f t="shared" si="0"/>
        <v>6.0338950453847815</v>
      </c>
      <c r="I5" s="43">
        <f>SUM(I2:I4)</f>
        <v>10034673546.02</v>
      </c>
      <c r="J5" s="45">
        <f>IF(F5&gt;0,I5/F5*100,"-")</f>
        <v>84.704949844258948</v>
      </c>
    </row>
    <row r="6" spans="1:10" x14ac:dyDescent="0.3">
      <c r="A6" s="55" t="s">
        <v>22</v>
      </c>
      <c r="B6" s="56">
        <f>Entrate_Uscite!B6</f>
        <v>14174.58</v>
      </c>
      <c r="C6" s="56">
        <f>Entrate_Uscite!E6</f>
        <v>11898.28</v>
      </c>
      <c r="D6" s="56">
        <f>Entrate_Uscite!H6</f>
        <v>10198.26</v>
      </c>
      <c r="E6" s="56">
        <f>Entrate_Uscite!K6</f>
        <v>13419.95</v>
      </c>
      <c r="F6" s="56">
        <f>Entrate_Uscite!N6</f>
        <v>2823.39</v>
      </c>
      <c r="G6" s="56">
        <f t="shared" si="1"/>
        <v>2.3035129698352219E-5</v>
      </c>
      <c r="H6" s="57">
        <f t="shared" si="0"/>
        <v>-78.961247992727252</v>
      </c>
      <c r="I6" s="56">
        <f>Entrate_Uscite!O6</f>
        <v>1947.89</v>
      </c>
      <c r="J6" s="58">
        <f t="shared" si="2"/>
        <v>68.991177272711184</v>
      </c>
    </row>
    <row r="7" spans="1:10" x14ac:dyDescent="0.3">
      <c r="A7" s="55" t="s">
        <v>23</v>
      </c>
      <c r="B7" s="56">
        <f>Entrate_Uscite!B7</f>
        <v>139405683.11000001</v>
      </c>
      <c r="C7" s="56">
        <f>Entrate_Uscite!E7</f>
        <v>165952615.38999999</v>
      </c>
      <c r="D7" s="56">
        <f>Entrate_Uscite!H7</f>
        <v>200525995.84999999</v>
      </c>
      <c r="E7" s="56">
        <f>Entrate_Uscite!K7</f>
        <v>198741176.94999999</v>
      </c>
      <c r="F7" s="56">
        <f>Entrate_Uscite!N7</f>
        <v>225950933.68000001</v>
      </c>
      <c r="G7" s="56">
        <f t="shared" si="1"/>
        <v>1.8434608972839674</v>
      </c>
      <c r="H7" s="57">
        <f t="shared" si="0"/>
        <v>13.691051420534535</v>
      </c>
      <c r="I7" s="56">
        <f>Entrate_Uscite!O7</f>
        <v>121410502.91</v>
      </c>
      <c r="J7" s="58">
        <f t="shared" si="2"/>
        <v>53.733127335488682</v>
      </c>
    </row>
    <row r="8" spans="1:10" x14ac:dyDescent="0.3">
      <c r="A8" s="55" t="s">
        <v>24</v>
      </c>
      <c r="B8" s="56">
        <f>Entrate_Uscite!B8</f>
        <v>0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21266447.370000001</v>
      </c>
      <c r="G8" s="56">
        <f t="shared" si="1"/>
        <v>0.17350609493946337</v>
      </c>
      <c r="H8" s="57" t="str">
        <f t="shared" si="0"/>
        <v>-</v>
      </c>
      <c r="I8" s="56">
        <f>Entrate_Uscite!O8</f>
        <v>21266447.370000001</v>
      </c>
      <c r="J8" s="58">
        <f t="shared" si="2"/>
        <v>100</v>
      </c>
    </row>
    <row r="9" spans="1:10" x14ac:dyDescent="0.3">
      <c r="A9" s="55" t="s">
        <v>25</v>
      </c>
      <c r="B9" s="56">
        <f>Entrate_Uscite!B9</f>
        <v>2816010.56</v>
      </c>
      <c r="C9" s="56">
        <f>Entrate_Uscite!E9</f>
        <v>604369.65</v>
      </c>
      <c r="D9" s="56">
        <f>Entrate_Uscite!H9</f>
        <v>1276008.81</v>
      </c>
      <c r="E9" s="56">
        <f>Entrate_Uscite!K9</f>
        <v>595692.16</v>
      </c>
      <c r="F9" s="56">
        <f>Entrate_Uscite!N9</f>
        <v>405428.78</v>
      </c>
      <c r="G9" s="56">
        <f t="shared" si="1"/>
        <v>3.3077628420957465E-3</v>
      </c>
      <c r="H9" s="57">
        <f t="shared" si="0"/>
        <v>-31.939883177243772</v>
      </c>
      <c r="I9" s="56">
        <f>Entrate_Uscite!O9</f>
        <v>360389.19</v>
      </c>
      <c r="J9" s="58">
        <f t="shared" si="2"/>
        <v>88.890874989190451</v>
      </c>
    </row>
    <row r="10" spans="1:10" x14ac:dyDescent="0.3">
      <c r="A10" s="55" t="s">
        <v>26</v>
      </c>
      <c r="B10" s="56">
        <f>Entrate_Uscite!B10</f>
        <v>5493987.1900000004</v>
      </c>
      <c r="C10" s="56">
        <f>Entrate_Uscite!E10</f>
        <v>13611783.109999999</v>
      </c>
      <c r="D10" s="56">
        <f>Entrate_Uscite!H10</f>
        <v>7360998.5199999996</v>
      </c>
      <c r="E10" s="56">
        <f>Entrate_Uscite!K10</f>
        <v>5706104.4199999999</v>
      </c>
      <c r="F10" s="56">
        <f>Entrate_Uscite!N10</f>
        <v>15345322.91</v>
      </c>
      <c r="G10" s="56">
        <f t="shared" si="1"/>
        <v>0.12519754745003198</v>
      </c>
      <c r="H10" s="57">
        <f t="shared" si="0"/>
        <v>168.92818253052582</v>
      </c>
      <c r="I10" s="56">
        <f>Entrate_Uscite!O10</f>
        <v>13500005.17</v>
      </c>
      <c r="J10" s="58">
        <f t="shared" si="2"/>
        <v>87.974721999512482</v>
      </c>
    </row>
    <row r="11" spans="1:10" x14ac:dyDescent="0.3">
      <c r="A11" s="4" t="s">
        <v>31</v>
      </c>
      <c r="B11" s="46">
        <f>SUM(B6:B10)</f>
        <v>147729855.44000003</v>
      </c>
      <c r="C11" s="46">
        <f>SUM(C6:C10)</f>
        <v>180180666.43000001</v>
      </c>
      <c r="D11" s="46">
        <f>SUM(D6:D10)</f>
        <v>209173201.44</v>
      </c>
      <c r="E11" s="46">
        <f>SUM(E6:E10)</f>
        <v>205056393.47999996</v>
      </c>
      <c r="F11" s="46">
        <f>SUM(F6:F10)</f>
        <v>262970956.13</v>
      </c>
      <c r="G11" s="46">
        <f t="shared" si="1"/>
        <v>2.145495337645257</v>
      </c>
      <c r="H11" s="44">
        <f t="shared" si="0"/>
        <v>28.243236734605262</v>
      </c>
      <c r="I11" s="46">
        <f>SUM(I6:I10)</f>
        <v>156539292.52999997</v>
      </c>
      <c r="J11" s="45">
        <f>IF(F11&gt;0,I11/F11*100,"-")</f>
        <v>59.527217314681167</v>
      </c>
    </row>
    <row r="12" spans="1:10" x14ac:dyDescent="0.3">
      <c r="A12" s="55" t="s">
        <v>27</v>
      </c>
      <c r="B12" s="56">
        <f>Entrate_Uscite!B11</f>
        <v>35873.72</v>
      </c>
      <c r="C12" s="56">
        <f>Entrate_Uscite!E11</f>
        <v>204392.36</v>
      </c>
      <c r="D12" s="56">
        <f>Entrate_Uscite!H11</f>
        <v>87586.89</v>
      </c>
      <c r="E12" s="56">
        <f>Entrate_Uscite!K11</f>
        <v>20000</v>
      </c>
      <c r="F12" s="56">
        <f>Entrate_Uscite!N11</f>
        <v>0</v>
      </c>
      <c r="G12" s="56">
        <f t="shared" si="1"/>
        <v>0</v>
      </c>
      <c r="H12" s="57">
        <f t="shared" si="0"/>
        <v>-100</v>
      </c>
      <c r="I12" s="56">
        <f>Entrate_Uscite!O11</f>
        <v>0</v>
      </c>
      <c r="J12" s="58" t="str">
        <f t="shared" si="2"/>
        <v>-</v>
      </c>
    </row>
    <row r="13" spans="1:10" x14ac:dyDescent="0.3">
      <c r="A13" s="55" t="s">
        <v>28</v>
      </c>
      <c r="B13" s="56">
        <f>Entrate_Uscite!B12</f>
        <v>6678665.5700000003</v>
      </c>
      <c r="C13" s="56">
        <f>Entrate_Uscite!E12</f>
        <v>2521758</v>
      </c>
      <c r="D13" s="56">
        <f>Entrate_Uscite!H12</f>
        <v>2780174.82</v>
      </c>
      <c r="E13" s="56">
        <f>Entrate_Uscite!K12</f>
        <v>2223072.15</v>
      </c>
      <c r="F13" s="56">
        <f>Entrate_Uscite!N12</f>
        <v>1987279.58</v>
      </c>
      <c r="G13" s="56">
        <f t="shared" si="1"/>
        <v>1.6213574062452205E-2</v>
      </c>
      <c r="H13" s="57">
        <f t="shared" si="0"/>
        <v>-10.606608966784989</v>
      </c>
      <c r="I13" s="56">
        <f>Entrate_Uscite!O12</f>
        <v>1987279.58</v>
      </c>
      <c r="J13" s="58">
        <f t="shared" si="2"/>
        <v>100</v>
      </c>
    </row>
    <row r="14" spans="1:10" x14ac:dyDescent="0.3">
      <c r="A14" s="55" t="s">
        <v>29</v>
      </c>
      <c r="B14" s="56">
        <f>Entrate_Uscite!B13</f>
        <v>59410860.920000002</v>
      </c>
      <c r="C14" s="56">
        <f>Entrate_Uscite!E13</f>
        <v>66273011.829999998</v>
      </c>
      <c r="D14" s="56">
        <f>Entrate_Uscite!H13</f>
        <v>228843093.5</v>
      </c>
      <c r="E14" s="56">
        <f>Entrate_Uscite!K13</f>
        <v>244762213.22</v>
      </c>
      <c r="F14" s="56">
        <f>Entrate_Uscite!N13</f>
        <v>145309537.05000001</v>
      </c>
      <c r="G14" s="56">
        <f t="shared" si="1"/>
        <v>1.1855337138525914</v>
      </c>
      <c r="H14" s="57">
        <f t="shared" si="0"/>
        <v>-40.632365127622371</v>
      </c>
      <c r="I14" s="56">
        <f>Entrate_Uscite!O13</f>
        <v>142769139.96000001</v>
      </c>
      <c r="J14" s="58">
        <f t="shared" si="2"/>
        <v>98.251734097035992</v>
      </c>
    </row>
    <row r="15" spans="1:10" x14ac:dyDescent="0.3">
      <c r="A15" s="4" t="s">
        <v>32</v>
      </c>
      <c r="B15" s="43">
        <f>SUM(B12:B14)</f>
        <v>66125400.210000001</v>
      </c>
      <c r="C15" s="43">
        <f>SUM(C12:C14)</f>
        <v>68999162.189999998</v>
      </c>
      <c r="D15" s="43">
        <f>SUM(D12:D14)</f>
        <v>231710855.21000001</v>
      </c>
      <c r="E15" s="43">
        <f>SUM(E12:E14)</f>
        <v>247005285.37</v>
      </c>
      <c r="F15" s="43">
        <f>SUM(F12:F14)</f>
        <v>147296816.63000003</v>
      </c>
      <c r="G15" s="43">
        <f t="shared" si="1"/>
        <v>1.2017472879150437</v>
      </c>
      <c r="H15" s="44">
        <f t="shared" si="0"/>
        <v>-40.36693732712736</v>
      </c>
      <c r="I15" s="43">
        <f>SUM(I12:I14)</f>
        <v>144756419.54000002</v>
      </c>
      <c r="J15" s="45">
        <f t="shared" si="2"/>
        <v>98.275321118187293</v>
      </c>
    </row>
    <row r="16" spans="1:10" x14ac:dyDescent="0.3">
      <c r="A16" s="47" t="s">
        <v>343</v>
      </c>
      <c r="B16" s="48">
        <f>B5+B11+B15</f>
        <v>10779188138.27</v>
      </c>
      <c r="C16" s="48">
        <f t="shared" ref="C16:F16" si="3">C5+C11+C15</f>
        <v>10929255445.51</v>
      </c>
      <c r="D16" s="48">
        <f t="shared" si="3"/>
        <v>11451996838.1</v>
      </c>
      <c r="E16" s="48">
        <f t="shared" ref="E16" si="4">E5+E11+E15</f>
        <v>11624545736.650002</v>
      </c>
      <c r="F16" s="48">
        <f t="shared" si="3"/>
        <v>12256887792.57</v>
      </c>
      <c r="G16" s="48">
        <f t="shared" si="1"/>
        <v>100</v>
      </c>
      <c r="H16" s="49">
        <f t="shared" si="0"/>
        <v>5.4397141208395254</v>
      </c>
      <c r="I16" s="48">
        <f t="shared" ref="I16" si="5">I5+I11+I15</f>
        <v>10335969258.090002</v>
      </c>
      <c r="J16" s="50">
        <f t="shared" si="2"/>
        <v>84.327844335456518</v>
      </c>
    </row>
    <row r="17" spans="1:10" x14ac:dyDescent="0.3">
      <c r="A17" s="4" t="s">
        <v>33</v>
      </c>
      <c r="B17" s="43">
        <f>Entrate_Uscite!B17</f>
        <v>0</v>
      </c>
      <c r="C17" s="43">
        <f>Entrate_Uscite!E17</f>
        <v>0</v>
      </c>
      <c r="D17" s="43">
        <f>Entrate_Uscite!H17</f>
        <v>0</v>
      </c>
      <c r="E17" s="43">
        <f>Entrate_Uscite!K17</f>
        <v>0</v>
      </c>
      <c r="F17" s="43">
        <f>Entrate_Uscite!N17</f>
        <v>0</v>
      </c>
      <c r="G17" s="43">
        <f t="shared" si="1"/>
        <v>0</v>
      </c>
      <c r="H17" s="44" t="str">
        <f t="shared" si="0"/>
        <v>-</v>
      </c>
      <c r="I17" s="43">
        <f>Entrate_Uscite!O17</f>
        <v>0</v>
      </c>
      <c r="J17" s="45" t="str">
        <f t="shared" si="2"/>
        <v>-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2754285165.3600001</v>
      </c>
      <c r="C19" s="43">
        <f>Entrate_Uscite!E19</f>
        <v>2263544045.71</v>
      </c>
      <c r="D19" s="43">
        <f>Entrate_Uscite!H19</f>
        <v>2056387666.6400001</v>
      </c>
      <c r="E19" s="43">
        <f>Entrate_Uscite!K19</f>
        <v>1874711115.71</v>
      </c>
      <c r="F19" s="43">
        <f>Entrate_Uscite!N19</f>
        <v>2389604620.8200002</v>
      </c>
      <c r="G19" s="43"/>
      <c r="H19" s="44">
        <f t="shared" si="0"/>
        <v>27.465218549952269</v>
      </c>
      <c r="I19" s="43">
        <f>Entrate_Uscite!O19</f>
        <v>2389301284.6700001</v>
      </c>
      <c r="J19" s="45">
        <f t="shared" si="2"/>
        <v>99.987306010904177</v>
      </c>
    </row>
    <row r="20" spans="1:10" x14ac:dyDescent="0.3">
      <c r="A20" s="47" t="s">
        <v>36</v>
      </c>
      <c r="B20" s="48">
        <f>B5+B11+B15+B17+B18+B19</f>
        <v>13533473303.630001</v>
      </c>
      <c r="C20" s="48">
        <f>C5+C11+C15+C17+C18+C19</f>
        <v>13192799491.220001</v>
      </c>
      <c r="D20" s="48">
        <f>D5+D11+D15+D17+D18+D19</f>
        <v>13508384504.74</v>
      </c>
      <c r="E20" s="48">
        <f>E5+E11+E15+E17+E18+E19</f>
        <v>13499256852.360001</v>
      </c>
      <c r="F20" s="48">
        <f>F5+F11+F15+F17+F18+F19</f>
        <v>14646492413.389999</v>
      </c>
      <c r="G20" s="48"/>
      <c r="H20" s="49">
        <f t="shared" si="0"/>
        <v>8.4985090185126353</v>
      </c>
      <c r="I20" s="48">
        <f>I5+I11+I15+I17+I18+I19</f>
        <v>12725270542.760002</v>
      </c>
      <c r="J20" s="50">
        <f t="shared" si="2"/>
        <v>86.882716923585107</v>
      </c>
    </row>
    <row r="21" spans="1:10" x14ac:dyDescent="0.3">
      <c r="A21" s="38" t="s">
        <v>37</v>
      </c>
      <c r="B21" s="51">
        <f>B20-B19</f>
        <v>10779188138.27</v>
      </c>
      <c r="C21" s="51">
        <f>C20-C19</f>
        <v>10929255445.510002</v>
      </c>
      <c r="D21" s="51">
        <f>D20-D19</f>
        <v>11451996838.1</v>
      </c>
      <c r="E21" s="51">
        <f>E20-E19</f>
        <v>11624545736.650002</v>
      </c>
      <c r="F21" s="51">
        <f>F20-F19</f>
        <v>12256887792.57</v>
      </c>
      <c r="G21" s="51">
        <f t="shared" si="1"/>
        <v>100</v>
      </c>
      <c r="H21" s="52">
        <f t="shared" si="0"/>
        <v>5.4397141208395254</v>
      </c>
      <c r="I21" s="51">
        <f>I20-I19</f>
        <v>10335969258.090002</v>
      </c>
      <c r="J21" s="53">
        <f t="shared" si="2"/>
        <v>84.327844335456518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6" width="15.33203125" bestFit="1" customWidth="1"/>
    <col min="7" max="7" width="8.5546875" customWidth="1"/>
    <col min="8" max="8" width="8.109375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371</v>
      </c>
      <c r="J1" s="42" t="s">
        <v>334</v>
      </c>
    </row>
    <row r="2" spans="1:10" x14ac:dyDescent="0.3">
      <c r="A2" s="59" t="s">
        <v>268</v>
      </c>
      <c r="B2" s="56">
        <f>Entrate_Uscite!B23</f>
        <v>169888541.59999999</v>
      </c>
      <c r="C2" s="56">
        <f>Entrate_Uscite!E23</f>
        <v>169921011.47</v>
      </c>
      <c r="D2" s="56">
        <f>Entrate_Uscite!H23</f>
        <v>173221496.84999999</v>
      </c>
      <c r="E2" s="56">
        <f>Entrate_Uscite!K23</f>
        <v>172552912.25999999</v>
      </c>
      <c r="F2" s="56">
        <f>Entrate_Uscite!N23</f>
        <v>167989426.13</v>
      </c>
      <c r="G2" s="56">
        <f>F2/F$31*100</f>
        <v>1.3902095248422686</v>
      </c>
      <c r="H2" s="57">
        <f>IF(E2&gt;0,F2/E2*100-100,"-")</f>
        <v>-2.6446879801853527</v>
      </c>
      <c r="I2" s="56">
        <f>Entrate_Uscite!O23</f>
        <v>160558324.43000001</v>
      </c>
      <c r="J2" s="58">
        <f>IF(F2&gt;0,I2/F2*100,"-")</f>
        <v>95.57644676144713</v>
      </c>
    </row>
    <row r="3" spans="1:10" x14ac:dyDescent="0.3">
      <c r="A3" s="59" t="s">
        <v>269</v>
      </c>
      <c r="B3" s="56">
        <f>Entrate_Uscite!B24</f>
        <v>12371286.720000001</v>
      </c>
      <c r="C3" s="56">
        <f>Entrate_Uscite!E24</f>
        <v>12167529.32</v>
      </c>
      <c r="D3" s="56">
        <f>Entrate_Uscite!H24</f>
        <v>12437939.140000001</v>
      </c>
      <c r="E3" s="56">
        <f>Entrate_Uscite!K24</f>
        <v>12262698.15</v>
      </c>
      <c r="F3" s="56">
        <f>Entrate_Uscite!N24</f>
        <v>11933602.07</v>
      </c>
      <c r="G3" s="56">
        <f t="shared" ref="G3:G31" si="0">F3/F$31*100</f>
        <v>9.8757449475141035E-2</v>
      </c>
      <c r="H3" s="57">
        <f t="shared" ref="H3:H31" si="1">IF(E3&gt;0,F3/E3*100-100,"-")</f>
        <v>-2.6837167153135937</v>
      </c>
      <c r="I3" s="56">
        <f>Entrate_Uscite!O24</f>
        <v>10353735.689999999</v>
      </c>
      <c r="J3" s="58">
        <f>IF(F3&gt;0,I3/F3*100,"-")</f>
        <v>86.761194392666724</v>
      </c>
    </row>
    <row r="4" spans="1:10" x14ac:dyDescent="0.3">
      <c r="A4" s="59" t="s">
        <v>270</v>
      </c>
      <c r="B4" s="56">
        <f>Entrate_Uscite!B25</f>
        <v>380383628.62</v>
      </c>
      <c r="C4" s="56">
        <f>Entrate_Uscite!E25</f>
        <v>402680423.01999998</v>
      </c>
      <c r="D4" s="56">
        <f>Entrate_Uscite!H25</f>
        <v>405458300.06</v>
      </c>
      <c r="E4" s="56">
        <f>Entrate_Uscite!K25</f>
        <v>446200672.12</v>
      </c>
      <c r="F4" s="56">
        <f>Entrate_Uscite!N25</f>
        <v>434510552.64999998</v>
      </c>
      <c r="G4" s="56">
        <f t="shared" si="0"/>
        <v>3.595825778171601</v>
      </c>
      <c r="H4" s="57">
        <f t="shared" si="1"/>
        <v>-2.6199242180558855</v>
      </c>
      <c r="I4" s="56">
        <f>Entrate_Uscite!O25</f>
        <v>371623914.56</v>
      </c>
      <c r="J4" s="58">
        <f t="shared" ref="J4:J9" si="2">IF(F4&gt;0,I4/F4*100,"-")</f>
        <v>85.527017075542602</v>
      </c>
    </row>
    <row r="5" spans="1:10" x14ac:dyDescent="0.3">
      <c r="A5" s="59" t="s">
        <v>271</v>
      </c>
      <c r="B5" s="56">
        <f>Entrate_Uscite!B26</f>
        <v>9523900522.1399994</v>
      </c>
      <c r="C5" s="56">
        <f>Entrate_Uscite!E26</f>
        <v>9637268500.6800003</v>
      </c>
      <c r="D5" s="56">
        <f>Entrate_Uscite!H26</f>
        <v>9851792530.3400002</v>
      </c>
      <c r="E5" s="56">
        <f>Entrate_Uscite!K26</f>
        <v>10011633860.309999</v>
      </c>
      <c r="F5" s="56">
        <f>Entrate_Uscite!N26</f>
        <v>10772978644.1</v>
      </c>
      <c r="G5" s="56">
        <f t="shared" si="0"/>
        <v>89.152620298615275</v>
      </c>
      <c r="H5" s="57">
        <f t="shared" si="1"/>
        <v>7.6046007516142424</v>
      </c>
      <c r="I5" s="56">
        <f>Entrate_Uscite!O26</f>
        <v>9968973756.7800007</v>
      </c>
      <c r="J5" s="58">
        <f t="shared" si="2"/>
        <v>92.53683763904678</v>
      </c>
    </row>
    <row r="6" spans="1:10" x14ac:dyDescent="0.3">
      <c r="A6" s="59" t="s">
        <v>272</v>
      </c>
      <c r="B6" s="56">
        <f>Entrate_Uscite!B29</f>
        <v>61932022.149999999</v>
      </c>
      <c r="C6" s="56">
        <f>Entrate_Uscite!E29</f>
        <v>57661554.799999997</v>
      </c>
      <c r="D6" s="56">
        <f>Entrate_Uscite!H29</f>
        <v>53694322.119999997</v>
      </c>
      <c r="E6" s="56">
        <f>Entrate_Uscite!K29</f>
        <v>50134505.25</v>
      </c>
      <c r="F6" s="56">
        <f>Entrate_Uscite!N29</f>
        <v>47505432.759999998</v>
      </c>
      <c r="G6" s="56">
        <f t="shared" si="0"/>
        <v>0.39313489322594869</v>
      </c>
      <c r="H6" s="57">
        <f t="shared" si="1"/>
        <v>-5.2440379672441253</v>
      </c>
      <c r="I6" s="56">
        <f>Entrate_Uscite!O29</f>
        <v>47505432.759999998</v>
      </c>
      <c r="J6" s="58">
        <f t="shared" si="2"/>
        <v>100</v>
      </c>
    </row>
    <row r="7" spans="1:10" x14ac:dyDescent="0.3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274</v>
      </c>
      <c r="B8" s="56">
        <f>Entrate_Uscite!B31</f>
        <v>6691573.71</v>
      </c>
      <c r="C8" s="56">
        <f>Entrate_Uscite!E31</f>
        <v>3535672.37</v>
      </c>
      <c r="D8" s="56">
        <f>Entrate_Uscite!H31</f>
        <v>2517226.81</v>
      </c>
      <c r="E8" s="56">
        <f>Entrate_Uscite!K31</f>
        <v>4606300.68</v>
      </c>
      <c r="F8" s="56">
        <f>Entrate_Uscite!N31</f>
        <v>2758906.21</v>
      </c>
      <c r="G8" s="56">
        <f t="shared" si="0"/>
        <v>2.2831542315766847E-2</v>
      </c>
      <c r="H8" s="57">
        <f t="shared" si="1"/>
        <v>-40.105815888684013</v>
      </c>
      <c r="I8" s="56">
        <f>Entrate_Uscite!O31</f>
        <v>1914496.55</v>
      </c>
      <c r="J8" s="58">
        <f t="shared" si="2"/>
        <v>69.393317651055639</v>
      </c>
    </row>
    <row r="9" spans="1:10" x14ac:dyDescent="0.3">
      <c r="A9" s="59" t="s">
        <v>275</v>
      </c>
      <c r="B9" s="56">
        <f>Entrate_Uscite!B32</f>
        <v>1855037.12</v>
      </c>
      <c r="C9" s="56">
        <f>Entrate_Uscite!E32</f>
        <v>2341497.17</v>
      </c>
      <c r="D9" s="56">
        <f>Entrate_Uscite!H32</f>
        <v>2823999.82</v>
      </c>
      <c r="E9" s="56">
        <f>Entrate_Uscite!K32</f>
        <v>3304943.25</v>
      </c>
      <c r="F9" s="56">
        <f>Entrate_Uscite!N32</f>
        <v>4066075.25</v>
      </c>
      <c r="G9" s="56">
        <f t="shared" si="0"/>
        <v>3.3649121087544059E-2</v>
      </c>
      <c r="H9" s="57">
        <f t="shared" si="1"/>
        <v>23.03010800563672</v>
      </c>
      <c r="I9" s="56">
        <f>Entrate_Uscite!O32</f>
        <v>1721916.11</v>
      </c>
      <c r="J9" s="58">
        <f t="shared" si="2"/>
        <v>42.348358161841695</v>
      </c>
    </row>
    <row r="10" spans="1:10" x14ac:dyDescent="0.3">
      <c r="A10" s="4" t="s">
        <v>280</v>
      </c>
      <c r="B10" s="43">
        <f>SUM(B2:B9)</f>
        <v>10157022612.059999</v>
      </c>
      <c r="C10" s="43">
        <f>SUM(C2:C9)</f>
        <v>10285576188.83</v>
      </c>
      <c r="D10" s="43">
        <f>SUM(D2:D9)</f>
        <v>10501945815.139999</v>
      </c>
      <c r="E10" s="43">
        <f>SUM(E2:E9)</f>
        <v>10700695892.02</v>
      </c>
      <c r="F10" s="43">
        <f>SUM(F2:F9)</f>
        <v>11441742639.17</v>
      </c>
      <c r="G10" s="43">
        <f t="shared" si="0"/>
        <v>94.687028607733538</v>
      </c>
      <c r="H10" s="44">
        <f t="shared" si="1"/>
        <v>6.9252201410810414</v>
      </c>
      <c r="I10" s="43">
        <f>SUM(I2:I9)</f>
        <v>10562651576.880001</v>
      </c>
      <c r="J10" s="45">
        <f t="shared" ref="J10:J17" si="3">IF(F10&gt;0,I10/F10*100,"-")</f>
        <v>92.316807937276153</v>
      </c>
    </row>
    <row r="11" spans="1:10" x14ac:dyDescent="0.3">
      <c r="A11" s="59" t="s">
        <v>276</v>
      </c>
      <c r="B11" s="56">
        <f>Entrate_Uscite!B34</f>
        <v>80131318.969999999</v>
      </c>
      <c r="C11" s="56">
        <f>Entrate_Uscite!E34</f>
        <v>40606691.640000001</v>
      </c>
      <c r="D11" s="56">
        <f>Entrate_Uscite!H34</f>
        <v>51330222.270000003</v>
      </c>
      <c r="E11" s="56">
        <f>Entrate_Uscite!K34</f>
        <v>58997524.509999998</v>
      </c>
      <c r="F11" s="56">
        <f>Entrate_Uscite!N34</f>
        <v>75843665.200000003</v>
      </c>
      <c r="G11" s="56">
        <f t="shared" si="0"/>
        <v>0.62765013363634925</v>
      </c>
      <c r="H11" s="57">
        <f t="shared" si="1"/>
        <v>28.55397888286754</v>
      </c>
      <c r="I11" s="56">
        <f>Entrate_Uscite!O34</f>
        <v>50130747.43</v>
      </c>
      <c r="J11" s="58">
        <f t="shared" si="3"/>
        <v>66.097474716978738</v>
      </c>
    </row>
    <row r="12" spans="1:10" x14ac:dyDescent="0.3">
      <c r="A12" s="59" t="s">
        <v>277</v>
      </c>
      <c r="B12" s="56">
        <f>Entrate_Uscite!B35</f>
        <v>207504280.46000001</v>
      </c>
      <c r="C12" s="56">
        <f>Entrate_Uscite!E35</f>
        <v>276815967.63999999</v>
      </c>
      <c r="D12" s="56">
        <f>Entrate_Uscite!H35</f>
        <v>326820832.55000001</v>
      </c>
      <c r="E12" s="56">
        <f>Entrate_Uscite!K35</f>
        <v>328323843.54000002</v>
      </c>
      <c r="F12" s="56">
        <f>Entrate_Uscite!N35</f>
        <v>328034498.00999999</v>
      </c>
      <c r="G12" s="56">
        <f t="shared" si="0"/>
        <v>2.7146749299414026</v>
      </c>
      <c r="H12" s="57">
        <f t="shared" si="1"/>
        <v>-8.8128089291444667E-2</v>
      </c>
      <c r="I12" s="56">
        <f>Entrate_Uscite!O35</f>
        <v>121891411.78</v>
      </c>
      <c r="J12" s="58">
        <f t="shared" si="3"/>
        <v>37.158107613512101</v>
      </c>
    </row>
    <row r="13" spans="1:10" x14ac:dyDescent="0.3">
      <c r="A13" s="59" t="s">
        <v>278</v>
      </c>
      <c r="B13" s="56">
        <f>Entrate_Uscite!B36</f>
        <v>0</v>
      </c>
      <c r="C13" s="56">
        <f>Entrate_Uscite!E36</f>
        <v>0</v>
      </c>
      <c r="D13" s="56">
        <f>Entrate_Uscite!H36</f>
        <v>0</v>
      </c>
      <c r="E13" s="56">
        <f>Entrate_Uscite!K36</f>
        <v>0</v>
      </c>
      <c r="F13" s="56">
        <f>Entrate_Uscite!N36</f>
        <v>32500000</v>
      </c>
      <c r="G13" s="56">
        <f t="shared" si="0"/>
        <v>0.26895627063104205</v>
      </c>
      <c r="H13" s="57" t="str">
        <f t="shared" si="1"/>
        <v>-</v>
      </c>
      <c r="I13" s="56">
        <f>Entrate_Uscite!O36</f>
        <v>32500000</v>
      </c>
      <c r="J13" s="58">
        <f t="shared" si="3"/>
        <v>100</v>
      </c>
    </row>
    <row r="14" spans="1:10" x14ac:dyDescent="0.3">
      <c r="A14" s="59" t="s">
        <v>279</v>
      </c>
      <c r="B14" s="56">
        <f>Entrate_Uscite!B37</f>
        <v>0</v>
      </c>
      <c r="C14" s="56">
        <f>Entrate_Uscite!E37</f>
        <v>0</v>
      </c>
      <c r="D14" s="56">
        <f>Entrate_Uscite!H37</f>
        <v>0</v>
      </c>
      <c r="E14" s="56">
        <f>Entrate_Uscite!K37</f>
        <v>0</v>
      </c>
      <c r="F14" s="56">
        <f>Entrate_Uscite!N37</f>
        <v>0</v>
      </c>
      <c r="G14" s="56">
        <f t="shared" si="0"/>
        <v>0</v>
      </c>
      <c r="H14" s="107" t="str">
        <f t="shared" si="1"/>
        <v>-</v>
      </c>
      <c r="I14" s="56">
        <f>Entrate_Uscite!O37</f>
        <v>0</v>
      </c>
      <c r="J14" s="58" t="str">
        <f t="shared" si="3"/>
        <v>-</v>
      </c>
    </row>
    <row r="15" spans="1:10" x14ac:dyDescent="0.3">
      <c r="A15" s="4" t="s">
        <v>281</v>
      </c>
      <c r="B15" s="46">
        <f>SUM(B11:B14)</f>
        <v>287635599.43000001</v>
      </c>
      <c r="C15" s="46">
        <f>SUM(C11:C14)</f>
        <v>317422659.27999997</v>
      </c>
      <c r="D15" s="46">
        <f>SUM(D11:D14)</f>
        <v>378151054.81999999</v>
      </c>
      <c r="E15" s="46">
        <f>SUM(E11:E14)</f>
        <v>387321368.05000001</v>
      </c>
      <c r="F15" s="46">
        <f>SUM(F11:F14)</f>
        <v>436378163.20999998</v>
      </c>
      <c r="G15" s="46">
        <f t="shared" si="0"/>
        <v>3.6112813342087944</v>
      </c>
      <c r="H15" s="44">
        <f t="shared" si="1"/>
        <v>12.665656792182745</v>
      </c>
      <c r="I15" s="46">
        <f>SUM(I11:I14)</f>
        <v>204522159.21000001</v>
      </c>
      <c r="J15" s="45">
        <f t="shared" si="3"/>
        <v>46.868101214216125</v>
      </c>
    </row>
    <row r="16" spans="1:10" x14ac:dyDescent="0.3">
      <c r="A16" s="59" t="s">
        <v>282</v>
      </c>
      <c r="B16" s="56">
        <f>Entrate_Uscite!B38</f>
        <v>7454000</v>
      </c>
      <c r="C16" s="56">
        <f>Entrate_Uscite!E38</f>
        <v>150000</v>
      </c>
      <c r="D16" s="56">
        <f>Entrate_Uscite!H38</f>
        <v>100000</v>
      </c>
      <c r="E16" s="56">
        <f>Entrate_Uscite!K38</f>
        <v>0</v>
      </c>
      <c r="F16" s="56">
        <f>Entrate_Uscite!N38</f>
        <v>800000</v>
      </c>
      <c r="G16" s="56">
        <f t="shared" si="0"/>
        <v>6.6204620463025743E-3</v>
      </c>
      <c r="H16" s="57" t="str">
        <f t="shared" si="1"/>
        <v>-</v>
      </c>
      <c r="I16" s="56">
        <f>Entrate_Uscite!O38</f>
        <v>800000</v>
      </c>
      <c r="J16" s="58">
        <f t="shared" si="3"/>
        <v>100</v>
      </c>
    </row>
    <row r="17" spans="1:10" x14ac:dyDescent="0.3">
      <c r="A17" s="59" t="s">
        <v>283</v>
      </c>
      <c r="B17" s="56">
        <f>Entrate_Uscite!B39</f>
        <v>0</v>
      </c>
      <c r="C17" s="56">
        <f>Entrate_Uscite!E39</f>
        <v>0</v>
      </c>
      <c r="D17" s="56">
        <f>Entrate_Uscite!H39</f>
        <v>0</v>
      </c>
      <c r="E17" s="56">
        <f>Entrate_Uscite!K39</f>
        <v>0</v>
      </c>
      <c r="F17" s="56">
        <f>Entrate_Uscite!N39</f>
        <v>0</v>
      </c>
      <c r="G17" s="56">
        <f t="shared" si="0"/>
        <v>0</v>
      </c>
      <c r="H17" s="57" t="str">
        <f t="shared" si="1"/>
        <v>-</v>
      </c>
      <c r="I17" s="56">
        <f>Entrate_Uscite!O39</f>
        <v>0</v>
      </c>
      <c r="J17" s="58" t="str">
        <f t="shared" si="3"/>
        <v>-</v>
      </c>
    </row>
    <row r="18" spans="1:10" x14ac:dyDescent="0.3">
      <c r="A18" s="59" t="s">
        <v>284</v>
      </c>
      <c r="B18" s="56">
        <f>Entrate_Uscite!B40</f>
        <v>3980000</v>
      </c>
      <c r="C18" s="56">
        <f>Entrate_Uscite!E40</f>
        <v>8923854.4900000002</v>
      </c>
      <c r="D18" s="56">
        <f>Entrate_Uscite!H40</f>
        <v>15500000</v>
      </c>
      <c r="E18" s="56">
        <f>Entrate_Uscite!K40</f>
        <v>3167873.4</v>
      </c>
      <c r="F18" s="56">
        <f>Entrate_Uscite!N40</f>
        <v>12500000</v>
      </c>
      <c r="G18" s="56">
        <f t="shared" si="0"/>
        <v>0.10344471947347771</v>
      </c>
      <c r="H18" s="57">
        <f t="shared" si="1"/>
        <v>294.586475583273</v>
      </c>
      <c r="I18" s="56">
        <f>Entrate_Uscite!O40</f>
        <v>9000000</v>
      </c>
      <c r="J18" s="58">
        <f t="shared" ref="J18:J26" si="4">IF(F18&gt;0,I18/F18*100,"-")</f>
        <v>72</v>
      </c>
    </row>
    <row r="19" spans="1:10" x14ac:dyDescent="0.3">
      <c r="A19" s="59" t="s">
        <v>285</v>
      </c>
      <c r="B19" s="56">
        <f>Entrate_Uscite!B41</f>
        <v>59410860.920000002</v>
      </c>
      <c r="C19" s="56">
        <f>Entrate_Uscite!E41</f>
        <v>66273011.829999998</v>
      </c>
      <c r="D19" s="56">
        <f>Entrate_Uscite!H41</f>
        <v>228843093.5</v>
      </c>
      <c r="E19" s="56">
        <f>Entrate_Uscite!K41</f>
        <v>244762213.22</v>
      </c>
      <c r="F19" s="56">
        <f>Entrate_Uscite!N41</f>
        <v>145309537.05000001</v>
      </c>
      <c r="G19" s="56">
        <f t="shared" si="0"/>
        <v>1.2025203437566534</v>
      </c>
      <c r="H19" s="57">
        <f t="shared" si="1"/>
        <v>-40.632365127622371</v>
      </c>
      <c r="I19" s="56">
        <f>Entrate_Uscite!O41</f>
        <v>145309537.05000001</v>
      </c>
      <c r="J19" s="58">
        <f t="shared" si="4"/>
        <v>100</v>
      </c>
    </row>
    <row r="20" spans="1:10" x14ac:dyDescent="0.3">
      <c r="A20" s="4" t="s">
        <v>286</v>
      </c>
      <c r="B20" s="43">
        <f>SUM(B16:B19)</f>
        <v>70844860.920000002</v>
      </c>
      <c r="C20" s="43">
        <f>SUM(C16:C19)</f>
        <v>75346866.319999993</v>
      </c>
      <c r="D20" s="43">
        <f>SUM(D16:D19)</f>
        <v>244443093.5</v>
      </c>
      <c r="E20" s="43">
        <f>SUM(E16:E19)</f>
        <v>247930086.62</v>
      </c>
      <c r="F20" s="43">
        <f>SUM(F16:F19)</f>
        <v>158609537.05000001</v>
      </c>
      <c r="G20" s="43">
        <f t="shared" si="0"/>
        <v>1.3125855252764338</v>
      </c>
      <c r="H20" s="44">
        <f t="shared" si="1"/>
        <v>-36.026506822022256</v>
      </c>
      <c r="I20" s="43">
        <f>SUM(I16:I19)</f>
        <v>155109537.05000001</v>
      </c>
      <c r="J20" s="40">
        <f t="shared" si="4"/>
        <v>97.793323109633278</v>
      </c>
    </row>
    <row r="21" spans="1:10" x14ac:dyDescent="0.3">
      <c r="A21" s="47" t="s">
        <v>344</v>
      </c>
      <c r="B21" s="48">
        <f>B10+B15+B20</f>
        <v>10515503072.41</v>
      </c>
      <c r="C21" s="48">
        <f>C10+C15+C20</f>
        <v>10678345714.43</v>
      </c>
      <c r="D21" s="48">
        <f>D10+D15+D20</f>
        <v>11124539963.459999</v>
      </c>
      <c r="E21" s="48">
        <f>E10+E15+E20</f>
        <v>11335947346.690001</v>
      </c>
      <c r="F21" s="48">
        <f>F10+F15+F20</f>
        <v>12036730339.429998</v>
      </c>
      <c r="G21" s="48">
        <f>F21/F$31*100</f>
        <v>99.610895467218754</v>
      </c>
      <c r="H21" s="49">
        <f t="shared" si="1"/>
        <v>6.1819534910297733</v>
      </c>
      <c r="I21" s="48">
        <f>I10+I15+I20</f>
        <v>10922283273.139999</v>
      </c>
      <c r="J21" s="50">
        <f>IF(F21&gt;0,I21/F21*100,"-")</f>
        <v>90.741280772575877</v>
      </c>
    </row>
    <row r="22" spans="1:10" x14ac:dyDescent="0.3">
      <c r="A22" s="59" t="s">
        <v>287</v>
      </c>
      <c r="B22" s="60">
        <f>Entrate_Uscite!B42</f>
        <v>10619537.939999999</v>
      </c>
      <c r="C22" s="60">
        <f>Entrate_Uscite!E42</f>
        <v>10619537.939999999</v>
      </c>
      <c r="D22" s="60">
        <f>Entrate_Uscite!H42</f>
        <v>10619537.939999999</v>
      </c>
      <c r="E22" s="60">
        <f>Entrate_Uscite!K42</f>
        <v>10619537.939999999</v>
      </c>
      <c r="F22" s="60">
        <f>Entrate_Uscite!N42</f>
        <v>10635468.84</v>
      </c>
      <c r="G22" s="60">
        <f t="shared" si="0"/>
        <v>8.8014647249817071E-2</v>
      </c>
      <c r="H22" s="61">
        <f t="shared" si="1"/>
        <v>0.15001500150016511</v>
      </c>
      <c r="I22" s="60">
        <f>Entrate_Uscite!O42</f>
        <v>10635468.84</v>
      </c>
      <c r="J22" s="58">
        <f t="shared" si="4"/>
        <v>100</v>
      </c>
    </row>
    <row r="23" spans="1:10" x14ac:dyDescent="0.3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289</v>
      </c>
      <c r="B24" s="60">
        <f>Entrate_Uscite!B44</f>
        <v>95928653.379999995</v>
      </c>
      <c r="C24" s="60">
        <f>Entrate_Uscite!E44</f>
        <v>88107109.469999999</v>
      </c>
      <c r="D24" s="60">
        <f>Entrate_Uscite!H44</f>
        <v>76467075.969999999</v>
      </c>
      <c r="E24" s="60">
        <f>Entrate_Uscite!K44</f>
        <v>55213698.439999998</v>
      </c>
      <c r="F24" s="60">
        <f>Entrate_Uscite!N44</f>
        <v>36382945.289999999</v>
      </c>
      <c r="G24" s="60">
        <f t="shared" si="0"/>
        <v>0.30108988553143501</v>
      </c>
      <c r="H24" s="61">
        <f t="shared" si="1"/>
        <v>-34.105219686493442</v>
      </c>
      <c r="I24" s="60">
        <f>Entrate_Uscite!O44</f>
        <v>36382945.289999999</v>
      </c>
      <c r="J24" s="58">
        <f t="shared" si="4"/>
        <v>100</v>
      </c>
    </row>
    <row r="25" spans="1:10" x14ac:dyDescent="0.3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292</v>
      </c>
      <c r="B27" s="43">
        <f>SUM(B22:B26)</f>
        <v>106548191.31999999</v>
      </c>
      <c r="C27" s="43">
        <f>SUM(C22:C26)</f>
        <v>98726647.409999996</v>
      </c>
      <c r="D27" s="43">
        <f>SUM(D22:D26)</f>
        <v>87086613.909999996</v>
      </c>
      <c r="E27" s="43">
        <f>SUM(E22:E26)</f>
        <v>65833236.379999995</v>
      </c>
      <c r="F27" s="43">
        <f>SUM(F22:F26)</f>
        <v>47018414.129999995</v>
      </c>
      <c r="G27" s="43">
        <f t="shared" si="0"/>
        <v>0.38910453278125201</v>
      </c>
      <c r="H27" s="44">
        <f t="shared" si="1"/>
        <v>-28.579518924753799</v>
      </c>
      <c r="I27" s="43">
        <f>SUM(I22:I26)</f>
        <v>47018414.129999995</v>
      </c>
      <c r="J27" s="45">
        <f>IF(F27&gt;0,I27/F27*100,"-")</f>
        <v>100</v>
      </c>
    </row>
    <row r="28" spans="1:10" x14ac:dyDescent="0.3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294</v>
      </c>
      <c r="B29" s="43">
        <f>Entrate_Uscite!B55</f>
        <v>2754285165.3600001</v>
      </c>
      <c r="C29" s="43">
        <f>Entrate_Uscite!E55</f>
        <v>2263544045.71</v>
      </c>
      <c r="D29" s="43">
        <f>Entrate_Uscite!H55</f>
        <v>2056387666.6400001</v>
      </c>
      <c r="E29" s="43">
        <f>Entrate_Uscite!K55</f>
        <v>1874711115.71</v>
      </c>
      <c r="F29" s="43">
        <f>Entrate_Uscite!N55</f>
        <v>2389604620.8200002</v>
      </c>
      <c r="G29" s="43"/>
      <c r="H29" s="44">
        <f t="shared" si="1"/>
        <v>27.465218549952269</v>
      </c>
      <c r="I29" s="43">
        <f>Entrate_Uscite!O55</f>
        <v>1346816461</v>
      </c>
      <c r="J29" s="45">
        <f>IF(F29&gt;0,I29/F29*100,"-")</f>
        <v>56.361477093973633</v>
      </c>
    </row>
    <row r="30" spans="1:10" x14ac:dyDescent="0.3">
      <c r="A30" s="47" t="s">
        <v>68</v>
      </c>
      <c r="B30" s="48">
        <f>B10+B15+B20+B27+B28+B29</f>
        <v>13376336429.09</v>
      </c>
      <c r="C30" s="48">
        <f>C10+C15+C20+C27+C28+C29</f>
        <v>13040616407.549999</v>
      </c>
      <c r="D30" s="48">
        <f>D10+D15+D20+D27+D28+D29</f>
        <v>13268014244.009998</v>
      </c>
      <c r="E30" s="48">
        <f>E10+E15+E20+E27+E28+E29</f>
        <v>13276491698.779999</v>
      </c>
      <c r="F30" s="48">
        <f>F10+F15+F20+F27+F28+F29</f>
        <v>14473353374.379997</v>
      </c>
      <c r="G30" s="48"/>
      <c r="H30" s="49">
        <f t="shared" si="1"/>
        <v>9.0148941659789585</v>
      </c>
      <c r="I30" s="48">
        <f>I10+I15+I20+I27+I28+I29</f>
        <v>12316118148.269999</v>
      </c>
      <c r="J30" s="50">
        <f>IF(F30&gt;0,I30/F30*100,"-")</f>
        <v>85.095125018306888</v>
      </c>
    </row>
    <row r="31" spans="1:10" x14ac:dyDescent="0.3">
      <c r="A31" s="38" t="s">
        <v>69</v>
      </c>
      <c r="B31" s="51">
        <f>B30-B29</f>
        <v>10622051263.73</v>
      </c>
      <c r="C31" s="51">
        <f>C30-C29</f>
        <v>10777072361.84</v>
      </c>
      <c r="D31" s="51">
        <f>D30-D29</f>
        <v>11211626577.369999</v>
      </c>
      <c r="E31" s="51">
        <f>E30-E29</f>
        <v>11401780583.07</v>
      </c>
      <c r="F31" s="51">
        <f>F30-F29</f>
        <v>12083748753.559998</v>
      </c>
      <c r="G31" s="51">
        <f t="shared" si="0"/>
        <v>100</v>
      </c>
      <c r="H31" s="52">
        <f t="shared" si="1"/>
        <v>5.9812427148670224</v>
      </c>
      <c r="I31" s="51">
        <f>I30-I29</f>
        <v>10969301687.269999</v>
      </c>
      <c r="J31" s="53">
        <f>IF(F31&gt;0,I31/F31*100,"-")</f>
        <v>90.777306868767269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H9" sqref="H8:H9"/>
    </sheetView>
  </sheetViews>
  <sheetFormatPr defaultRowHeight="14.4" x14ac:dyDescent="0.3"/>
  <cols>
    <col min="1" max="1" width="50.6640625" bestFit="1" customWidth="1"/>
    <col min="2" max="7" width="12.5546875" bestFit="1" customWidth="1"/>
    <col min="8" max="8" width="12.3320312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 x14ac:dyDescent="0.3">
      <c r="A2" s="62" t="s">
        <v>296</v>
      </c>
      <c r="B2" s="64">
        <f>Entrate_Uscite!B58</f>
        <v>408310270.56000137</v>
      </c>
      <c r="C2" s="64">
        <f>Entrate_Uscite!E58</f>
        <v>394499428.05999947</v>
      </c>
      <c r="D2" s="64">
        <f>Entrate_Uscite!H58</f>
        <v>509166966.31000137</v>
      </c>
      <c r="E2" s="64">
        <f>Entrate_Uscite!K58</f>
        <v>471788165.78000069</v>
      </c>
      <c r="F2" s="64">
        <f>Entrate_Uscite!N58</f>
        <v>404877380.6400013</v>
      </c>
      <c r="G2" s="64">
        <f>F2-E2</f>
        <v>-66910785.13999939</v>
      </c>
      <c r="H2" s="64">
        <f>Entrate_Uscite!O58</f>
        <v>-527978030.86000061</v>
      </c>
    </row>
    <row r="3" spans="1:8" x14ac:dyDescent="0.3">
      <c r="A3" s="62" t="s">
        <v>71</v>
      </c>
      <c r="B3" s="64">
        <f>Entrate_Uscite!B59</f>
        <v>-139905743.98999998</v>
      </c>
      <c r="C3" s="64">
        <f>Entrate_Uscite!E59</f>
        <v>-137241992.84999996</v>
      </c>
      <c r="D3" s="64">
        <f>Entrate_Uscite!H59</f>
        <v>-168977853.38</v>
      </c>
      <c r="E3" s="64">
        <f>Entrate_Uscite!K59</f>
        <v>-182264974.57000005</v>
      </c>
      <c r="F3" s="64">
        <f>Entrate_Uscite!N59</f>
        <v>-173407207.07999998</v>
      </c>
      <c r="G3" s="64">
        <f t="shared" ref="G3:G6" si="0">F3-E3</f>
        <v>8857767.4900000691</v>
      </c>
      <c r="H3" s="64">
        <f>Entrate_Uscite!O59</f>
        <v>-47982866.680000037</v>
      </c>
    </row>
    <row r="4" spans="1:8" x14ac:dyDescent="0.3">
      <c r="A4" s="62" t="s">
        <v>299</v>
      </c>
      <c r="B4" s="65">
        <f>Entrate_Uscite!B16-Entrate_Uscite!B52</f>
        <v>-4719460.7100000009</v>
      </c>
      <c r="C4" s="65">
        <f>Entrate_Uscite!E16-Entrate_Uscite!E52</f>
        <v>-6347704.1299999952</v>
      </c>
      <c r="D4" s="65">
        <f>Entrate_Uscite!H16-Entrate_Uscite!H52</f>
        <v>-12732238.289999992</v>
      </c>
      <c r="E4" s="65">
        <f>Entrate_Uscite!K16-Entrate_Uscite!K52</f>
        <v>-924801.25</v>
      </c>
      <c r="F4" s="65">
        <f>Entrate_Uscite!N16-Entrate_Uscite!N52</f>
        <v>-11312720.419999987</v>
      </c>
      <c r="G4" s="64">
        <f t="shared" si="0"/>
        <v>-10387919.169999987</v>
      </c>
      <c r="H4" s="65">
        <f>Entrate_Uscite!O16-Entrate_Uscite!O52</f>
        <v>-10353117.50999999</v>
      </c>
    </row>
    <row r="5" spans="1:8" x14ac:dyDescent="0.3">
      <c r="A5" s="47" t="s">
        <v>297</v>
      </c>
      <c r="B5" s="66">
        <f>Entrate_Uscite!B60</f>
        <v>263685065.86000061</v>
      </c>
      <c r="C5" s="66">
        <f>Entrate_Uscite!E60</f>
        <v>250909731.07999992</v>
      </c>
      <c r="D5" s="66">
        <f>Entrate_Uscite!H60</f>
        <v>327456874.6400013</v>
      </c>
      <c r="E5" s="66">
        <f>Entrate_Uscite!K60</f>
        <v>288598389.96000099</v>
      </c>
      <c r="F5" s="66">
        <f>Entrate_Uscite!N60</f>
        <v>220157453.1400013</v>
      </c>
      <c r="G5" s="66">
        <f t="shared" si="0"/>
        <v>-68440936.819999695</v>
      </c>
      <c r="H5" s="66">
        <f>SUM(Entrate_Uscite!O14:O16)-SUM(Entrate_Uscite!O50:O52)</f>
        <v>-586314015.04999733</v>
      </c>
    </row>
    <row r="6" spans="1:8" x14ac:dyDescent="0.3">
      <c r="A6" s="38" t="s">
        <v>298</v>
      </c>
      <c r="B6" s="67">
        <f>Entrate_Uscite!B61</f>
        <v>157136874.54000092</v>
      </c>
      <c r="C6" s="67">
        <f>Entrate_Uscite!E61</f>
        <v>152183083.67000198</v>
      </c>
      <c r="D6" s="67">
        <f>Entrate_Uscite!H61</f>
        <v>240370260.73000145</v>
      </c>
      <c r="E6" s="67">
        <f>Entrate_Uscite!K61</f>
        <v>222765153.58000183</v>
      </c>
      <c r="F6" s="67">
        <f>Entrate_Uscite!N61</f>
        <v>173139039.01000214</v>
      </c>
      <c r="G6" s="67">
        <f t="shared" si="0"/>
        <v>-49626114.569999695</v>
      </c>
      <c r="H6" s="67">
        <f>Entrate_Uscite!O61</f>
        <v>-633332429.17999649</v>
      </c>
    </row>
    <row r="7" spans="1:8" x14ac:dyDescent="0.3">
      <c r="G7" s="6"/>
    </row>
    <row r="8" spans="1:8" x14ac:dyDescent="0.3">
      <c r="G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G20" sqref="G20:G21"/>
    </sheetView>
  </sheetViews>
  <sheetFormatPr defaultRowHeight="14.4" x14ac:dyDescent="0.3"/>
  <cols>
    <col min="1" max="1" width="36.44140625" bestFit="1" customWidth="1"/>
    <col min="2" max="7" width="13.5546875" bestFit="1" customWidth="1"/>
    <col min="8" max="8" width="12.6640625" bestFit="1" customWidth="1"/>
    <col min="9" max="9" width="13.5546875" bestFit="1" customWidth="1"/>
    <col min="10" max="10" width="10" bestFit="1" customWidth="1"/>
  </cols>
  <sheetData>
    <row r="1" spans="1:9" x14ac:dyDescent="0.3">
      <c r="A1" s="41"/>
      <c r="B1" s="96">
        <v>2015</v>
      </c>
      <c r="C1" s="96">
        <v>2016</v>
      </c>
      <c r="D1" s="96">
        <v>2017</v>
      </c>
      <c r="E1" s="69">
        <v>2018</v>
      </c>
      <c r="F1" s="69">
        <v>2019</v>
      </c>
      <c r="G1" s="69">
        <v>2020</v>
      </c>
    </row>
    <row r="2" spans="1:9" x14ac:dyDescent="0.3">
      <c r="A2" t="s">
        <v>5</v>
      </c>
      <c r="B2" s="1">
        <v>455339735.63</v>
      </c>
      <c r="C2" s="1">
        <v>427559622.51999998</v>
      </c>
      <c r="D2" s="1">
        <v>481990654.73000002</v>
      </c>
      <c r="E2" s="1">
        <v>675414246.03999996</v>
      </c>
      <c r="F2" s="1">
        <v>1023105332.48</v>
      </c>
      <c r="G2" s="1">
        <v>1424464082.3099999</v>
      </c>
    </row>
    <row r="3" spans="1:9" x14ac:dyDescent="0.3">
      <c r="A3" t="s">
        <v>6</v>
      </c>
      <c r="B3" s="1">
        <v>5672149328.3800001</v>
      </c>
      <c r="C3" s="1">
        <v>4913933982.7600002</v>
      </c>
      <c r="D3" s="1">
        <v>5130656623.6800003</v>
      </c>
      <c r="E3" s="1">
        <v>4728144815.96</v>
      </c>
      <c r="F3" s="1">
        <v>4073782761.9499998</v>
      </c>
      <c r="G3" s="1">
        <v>3634582714.5900002</v>
      </c>
    </row>
    <row r="4" spans="1:9" x14ac:dyDescent="0.3">
      <c r="A4" t="s">
        <v>7</v>
      </c>
      <c r="B4" s="1">
        <v>5862727287.2799997</v>
      </c>
      <c r="C4" s="1">
        <v>4899086823.6899996</v>
      </c>
      <c r="D4" s="1">
        <v>5029208200.9300003</v>
      </c>
      <c r="E4" s="1">
        <v>4557448478.9399996</v>
      </c>
      <c r="F4" s="1">
        <v>4014975940.6300001</v>
      </c>
      <c r="G4" s="1">
        <v>3835507092.2600002</v>
      </c>
    </row>
    <row r="5" spans="1:9" x14ac:dyDescent="0.3">
      <c r="A5" t="s">
        <v>8</v>
      </c>
      <c r="B5" s="1">
        <v>68456944.120000005</v>
      </c>
      <c r="C5" s="1">
        <v>82237507.650000006</v>
      </c>
      <c r="D5" s="1">
        <v>94934254.150000006</v>
      </c>
      <c r="E5" s="1">
        <v>184811998.41</v>
      </c>
      <c r="F5" s="1">
        <v>219448240.52000001</v>
      </c>
      <c r="G5" s="1">
        <v>246714483.11000001</v>
      </c>
    </row>
    <row r="6" spans="1:9" x14ac:dyDescent="0.3">
      <c r="A6" t="s">
        <v>355</v>
      </c>
      <c r="B6" s="1">
        <v>479089411.57999998</v>
      </c>
      <c r="C6" s="1">
        <v>435223579.85000002</v>
      </c>
      <c r="D6" s="1">
        <v>427896367.11000001</v>
      </c>
      <c r="E6" s="1">
        <v>414822251.02999997</v>
      </c>
      <c r="F6" s="1">
        <v>422800524.44</v>
      </c>
      <c r="G6" s="1">
        <v>464828815.22000003</v>
      </c>
    </row>
    <row r="7" spans="1:9" x14ac:dyDescent="0.3">
      <c r="A7" s="4" t="s">
        <v>0</v>
      </c>
      <c r="B7" s="3">
        <f t="shared" ref="B7:D7" si="0">B2+B3-B4-B5-B6</f>
        <v>-282784578.96999949</v>
      </c>
      <c r="C7" s="3">
        <f t="shared" si="0"/>
        <v>-75054305.909998894</v>
      </c>
      <c r="D7" s="3">
        <f t="shared" si="0"/>
        <v>60608456.219999552</v>
      </c>
      <c r="E7" s="3">
        <f>E2+E3-E4-E5-E6</f>
        <v>246476333.62000048</v>
      </c>
      <c r="F7" s="3">
        <f>F2+F3-F4-F5-F6</f>
        <v>439663388.84000021</v>
      </c>
      <c r="G7" s="3">
        <f>G2+G3-G4-G5-G6</f>
        <v>511996406.30999935</v>
      </c>
    </row>
    <row r="8" spans="1:9" x14ac:dyDescent="0.3">
      <c r="A8" t="s">
        <v>9</v>
      </c>
      <c r="B8" s="1">
        <v>63732981.899999999</v>
      </c>
      <c r="C8" s="1">
        <v>111147202.3</v>
      </c>
      <c r="D8" s="1">
        <v>171401679.88</v>
      </c>
      <c r="E8" s="1">
        <v>219253703.21000001</v>
      </c>
      <c r="F8" s="1">
        <v>258084974.06</v>
      </c>
      <c r="G8" s="1">
        <v>248576626.47999999</v>
      </c>
    </row>
    <row r="9" spans="1:9" x14ac:dyDescent="0.3">
      <c r="A9" t="s">
        <v>349</v>
      </c>
      <c r="B9" s="1">
        <v>217717184.38999999</v>
      </c>
      <c r="C9" s="1">
        <v>150006271.13</v>
      </c>
      <c r="D9" s="1">
        <v>100710691.31999999</v>
      </c>
      <c r="E9" s="1">
        <v>62150512.859999999</v>
      </c>
      <c r="F9" s="1">
        <v>50503027.07</v>
      </c>
      <c r="G9" s="1">
        <v>34045896.640000001</v>
      </c>
    </row>
    <row r="10" spans="1:9" x14ac:dyDescent="0.3">
      <c r="A10" t="s">
        <v>10</v>
      </c>
      <c r="B10" s="1">
        <v>937356898.73000002</v>
      </c>
      <c r="C10" s="1">
        <v>916963541.29999995</v>
      </c>
      <c r="D10" s="1">
        <v>895976672.40999997</v>
      </c>
      <c r="E10" s="1">
        <v>874378328.37</v>
      </c>
      <c r="F10" s="1">
        <v>852149988.80999994</v>
      </c>
      <c r="G10" s="1">
        <v>829272559.23000002</v>
      </c>
    </row>
    <row r="11" spans="1:9" x14ac:dyDescent="0.3">
      <c r="A11" t="s">
        <v>11</v>
      </c>
      <c r="B11" s="1">
        <v>227919</v>
      </c>
      <c r="C11" s="1">
        <v>1370812</v>
      </c>
      <c r="D11" s="1">
        <v>1479692</v>
      </c>
      <c r="E11" s="1">
        <v>2040738</v>
      </c>
      <c r="F11" s="1">
        <v>949651</v>
      </c>
      <c r="G11" s="1">
        <v>6301937</v>
      </c>
    </row>
    <row r="12" spans="1:9" x14ac:dyDescent="0.3">
      <c r="A12" t="s">
        <v>12</v>
      </c>
      <c r="B12" s="1">
        <v>800000</v>
      </c>
      <c r="C12" s="1">
        <v>1548135.3</v>
      </c>
      <c r="D12" s="1">
        <v>5094145.55</v>
      </c>
      <c r="E12" s="1">
        <v>8563563.2699999996</v>
      </c>
      <c r="F12" s="1">
        <v>12063529.699999999</v>
      </c>
      <c r="G12" s="1">
        <v>15134082.890000001</v>
      </c>
    </row>
    <row r="13" spans="1:9" x14ac:dyDescent="0.3">
      <c r="A13" t="s">
        <v>13</v>
      </c>
      <c r="B13" s="1">
        <v>15582173.200000048</v>
      </c>
      <c r="C13" s="1">
        <v>20235821.950000048</v>
      </c>
      <c r="D13" s="1">
        <v>18724909.950000048</v>
      </c>
      <c r="E13" s="1">
        <v>41837997.230000019</v>
      </c>
      <c r="F13" s="99">
        <v>34978458.779999971</v>
      </c>
      <c r="G13" s="99">
        <v>69672274.930000067</v>
      </c>
    </row>
    <row r="14" spans="1:9" x14ac:dyDescent="0.3">
      <c r="A14" s="4" t="s">
        <v>1</v>
      </c>
      <c r="B14" s="3">
        <f t="shared" ref="B14:D14" si="1">SUM(B8:B13)</f>
        <v>1235417157.22</v>
      </c>
      <c r="C14" s="3">
        <f t="shared" si="1"/>
        <v>1201271783.98</v>
      </c>
      <c r="D14" s="3">
        <f t="shared" si="1"/>
        <v>1193387791.1099999</v>
      </c>
      <c r="E14" s="3">
        <f>SUM(E8:E13)</f>
        <v>1208224842.9400001</v>
      </c>
      <c r="F14" s="3">
        <f>SUM(F8:F13)</f>
        <v>1208729629.4200001</v>
      </c>
      <c r="G14" s="3">
        <f>SUM(G8:G13)</f>
        <v>1203003377.1700001</v>
      </c>
      <c r="H14" s="99"/>
      <c r="I14" s="99"/>
    </row>
    <row r="15" spans="1:9" x14ac:dyDescent="0.3">
      <c r="A15" t="s">
        <v>15</v>
      </c>
      <c r="B15" s="1">
        <v>161723518.97999999</v>
      </c>
      <c r="C15" s="1">
        <v>167910669.05000001</v>
      </c>
      <c r="D15" s="1">
        <v>165428101.34</v>
      </c>
      <c r="E15" s="1">
        <v>123813684.48</v>
      </c>
      <c r="F15" s="1">
        <v>143191549.13</v>
      </c>
      <c r="G15" s="1">
        <v>238099025.25</v>
      </c>
    </row>
    <row r="16" spans="1:9" x14ac:dyDescent="0.3">
      <c r="A16" t="s">
        <v>14</v>
      </c>
      <c r="B16" s="1">
        <v>568233181.90999997</v>
      </c>
      <c r="C16" s="1">
        <v>532649071.52999997</v>
      </c>
      <c r="D16" s="1">
        <v>452531127.31</v>
      </c>
      <c r="E16" s="1">
        <v>421129768.36000001</v>
      </c>
      <c r="F16" s="1">
        <v>380037830.63</v>
      </c>
      <c r="G16" s="1">
        <v>260810860.72999999</v>
      </c>
    </row>
    <row r="17" spans="1:7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3">
      <c r="A18" t="s">
        <v>17</v>
      </c>
      <c r="B18" s="1">
        <v>462120830.20999998</v>
      </c>
      <c r="C18" s="1">
        <v>454993474.50999999</v>
      </c>
      <c r="D18" s="1">
        <v>403098853.00999999</v>
      </c>
      <c r="E18" s="1">
        <v>348709140.02999997</v>
      </c>
      <c r="F18" s="1">
        <v>263171037.62</v>
      </c>
      <c r="G18" s="1">
        <v>259870970.19</v>
      </c>
    </row>
    <row r="19" spans="1:7" x14ac:dyDescent="0.3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3">
      <c r="A20" s="4" t="s">
        <v>2</v>
      </c>
      <c r="B20" s="3">
        <f t="shared" ref="B20:D20" si="2">SUM(B15:B19)</f>
        <v>1192077531.0999999</v>
      </c>
      <c r="C20" s="3">
        <f t="shared" si="2"/>
        <v>1155553215.0899999</v>
      </c>
      <c r="D20" s="3">
        <f t="shared" si="2"/>
        <v>1021058081.66</v>
      </c>
      <c r="E20" s="3">
        <f>SUM(E15:E19)</f>
        <v>893652592.87</v>
      </c>
      <c r="F20" s="3">
        <f>SUM(F15:F19)</f>
        <v>786400417.38</v>
      </c>
      <c r="G20" s="3">
        <f>SUM(G15:G19)</f>
        <v>758780856.17000008</v>
      </c>
    </row>
    <row r="21" spans="1:7" x14ac:dyDescent="0.3">
      <c r="A21" s="4" t="s">
        <v>3</v>
      </c>
      <c r="B21" s="3">
        <v>8071621.9199999999</v>
      </c>
      <c r="C21" s="3">
        <v>8071621.9199999999</v>
      </c>
      <c r="D21" s="3">
        <v>8071621.9199999999</v>
      </c>
      <c r="E21" s="3">
        <v>7351621.9199999999</v>
      </c>
      <c r="F21" s="3">
        <v>7351621.9199999999</v>
      </c>
      <c r="G21" s="3">
        <v>7351621.9199999999</v>
      </c>
    </row>
    <row r="22" spans="1:7" x14ac:dyDescent="0.3">
      <c r="A22" s="70" t="s">
        <v>4</v>
      </c>
      <c r="B22" s="37">
        <f t="shared" ref="B22:C22" si="3">B7-B14-B20-B21</f>
        <v>-2718350889.2099996</v>
      </c>
      <c r="C22" s="37">
        <f t="shared" si="3"/>
        <v>-2439950926.8999987</v>
      </c>
      <c r="D22" s="37">
        <f>D7-D14-D20-D21</f>
        <v>-2161909038.4700003</v>
      </c>
      <c r="E22" s="37">
        <f>E7-E14-E20-E21</f>
        <v>-1862752724.1099997</v>
      </c>
      <c r="F22" s="37">
        <f>F7-F14-F20-F21</f>
        <v>-1562818279.8800001</v>
      </c>
      <c r="G22" s="37">
        <f>G7-G14-G20-G21</f>
        <v>-1457139448.9500008</v>
      </c>
    </row>
    <row r="23" spans="1:7" x14ac:dyDescent="0.3">
      <c r="B23" s="1"/>
      <c r="C23" s="1">
        <v>-16331823.18</v>
      </c>
      <c r="D23" s="1">
        <v>-27308676.260000002</v>
      </c>
      <c r="E23" s="1">
        <v>-10524323.960000001</v>
      </c>
      <c r="F23" s="1">
        <v>-10524323.960000001</v>
      </c>
      <c r="G23" s="1">
        <v>-63048256.049999997</v>
      </c>
    </row>
    <row r="24" spans="1:7" x14ac:dyDescent="0.3">
      <c r="A24" t="s">
        <v>365</v>
      </c>
      <c r="B24" s="6">
        <f t="shared" ref="B24:E24" si="4">B8/B3*100</f>
        <v>1.1236125533775838</v>
      </c>
      <c r="C24" s="6">
        <f t="shared" si="4"/>
        <v>2.2618782159049715</v>
      </c>
      <c r="D24" s="6">
        <f t="shared" si="4"/>
        <v>3.3407357469395582</v>
      </c>
      <c r="E24" s="6">
        <f t="shared" si="4"/>
        <v>4.6372036336514544</v>
      </c>
      <c r="F24" s="6">
        <f t="shared" ref="F24:G24" si="5">F8/F3*100</f>
        <v>6.3352659957857531</v>
      </c>
      <c r="G24" s="6">
        <f t="shared" si="5"/>
        <v>6.8392067535609984</v>
      </c>
    </row>
    <row r="25" spans="1:7" x14ac:dyDescent="0.3">
      <c r="A25" t="s">
        <v>356</v>
      </c>
    </row>
    <row r="52" spans="1:7" x14ac:dyDescent="0.3">
      <c r="A52" t="s">
        <v>13</v>
      </c>
      <c r="B52" s="1">
        <f t="shared" ref="B52:E52" si="6">SUM(B11:B13)</f>
        <v>16610092.200000048</v>
      </c>
      <c r="C52" s="1">
        <f t="shared" si="6"/>
        <v>23154769.250000048</v>
      </c>
      <c r="D52" s="1">
        <f t="shared" si="6"/>
        <v>25298747.500000048</v>
      </c>
      <c r="E52" s="1">
        <f t="shared" si="6"/>
        <v>52442298.500000015</v>
      </c>
      <c r="F52" s="1">
        <f t="shared" ref="F52:G52" si="7">SUM(F11:F13)</f>
        <v>47991639.479999974</v>
      </c>
      <c r="G52" s="1">
        <f t="shared" si="7"/>
        <v>91108294.820000067</v>
      </c>
    </row>
  </sheetData>
  <conditionalFormatting sqref="C22:F22">
    <cfRule type="cellIs" dxfId="59" priority="18" operator="greaterThan">
      <formula>0</formula>
    </cfRule>
  </conditionalFormatting>
  <conditionalFormatting sqref="C22:F22">
    <cfRule type="cellIs" dxfId="58" priority="15" operator="greaterThan">
      <formula>0</formula>
    </cfRule>
    <cfRule type="cellIs" dxfId="57" priority="16" operator="lessThan">
      <formula>0</formula>
    </cfRule>
  </conditionalFormatting>
  <conditionalFormatting sqref="B22">
    <cfRule type="cellIs" dxfId="56" priority="9" operator="greaterThan">
      <formula>0</formula>
    </cfRule>
  </conditionalFormatting>
  <conditionalFormatting sqref="B22">
    <cfRule type="cellIs" dxfId="55" priority="7" operator="greaterThan">
      <formula>0</formula>
    </cfRule>
    <cfRule type="cellIs" dxfId="54" priority="8" operator="lessThan">
      <formula>0</formula>
    </cfRule>
  </conditionalFormatting>
  <conditionalFormatting sqref="G22">
    <cfRule type="cellIs" dxfId="53" priority="3" operator="greaterThan">
      <formula>0</formula>
    </cfRule>
  </conditionalFormatting>
  <conditionalFormatting sqref="G22">
    <cfRule type="cellIs" dxfId="52" priority="1" operator="greaterThan">
      <formula>0</formula>
    </cfRule>
    <cfRule type="cellIs" dxfId="51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A45" sqref="A45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</cols>
  <sheetData>
    <row r="1" spans="1:8" x14ac:dyDescent="0.3">
      <c r="C1" s="98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264</v>
      </c>
    </row>
    <row r="2" spans="1:8" x14ac:dyDescent="0.3">
      <c r="A2" t="s">
        <v>234</v>
      </c>
      <c r="B2" s="26" t="s">
        <v>258</v>
      </c>
      <c r="C2" s="1">
        <v>9766841308.1700001</v>
      </c>
      <c r="D2" s="1">
        <v>9906003226.9500008</v>
      </c>
      <c r="E2" s="1">
        <v>10012415582.629999</v>
      </c>
      <c r="F2" s="1">
        <v>9990272775.2000008</v>
      </c>
      <c r="G2" s="1">
        <v>10229737539.99</v>
      </c>
      <c r="H2" s="1">
        <f t="shared" ref="H2:H28" si="0">G2-F2</f>
        <v>239464764.78999901</v>
      </c>
    </row>
    <row r="3" spans="1:8" x14ac:dyDescent="0.3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 t="shared" si="0"/>
        <v>0</v>
      </c>
    </row>
    <row r="4" spans="1:8" x14ac:dyDescent="0.3">
      <c r="A4" t="s">
        <v>236</v>
      </c>
      <c r="B4" s="26" t="s">
        <v>258</v>
      </c>
      <c r="C4" s="1">
        <v>650161763.92999995</v>
      </c>
      <c r="D4" s="1">
        <v>795626871.50999999</v>
      </c>
      <c r="E4" s="1">
        <v>909540547.77999997</v>
      </c>
      <c r="F4" s="1">
        <v>1121291354.54</v>
      </c>
      <c r="G4" s="1">
        <v>1486075463.5899999</v>
      </c>
      <c r="H4" s="1">
        <f t="shared" si="0"/>
        <v>364784109.04999995</v>
      </c>
    </row>
    <row r="5" spans="1:8" x14ac:dyDescent="0.3">
      <c r="A5" t="s">
        <v>237</v>
      </c>
      <c r="B5" s="26" t="s">
        <v>258</v>
      </c>
      <c r="C5" s="1">
        <v>268598510.76999998</v>
      </c>
      <c r="D5" s="1">
        <v>279732106.51999998</v>
      </c>
      <c r="E5" s="1">
        <v>310802217.38</v>
      </c>
      <c r="F5" s="1">
        <v>336000018.67000002</v>
      </c>
      <c r="G5" s="1">
        <v>310124124.17000002</v>
      </c>
      <c r="H5" s="1">
        <f t="shared" si="0"/>
        <v>-25875894.5</v>
      </c>
    </row>
    <row r="6" spans="1:8" x14ac:dyDescent="0.3">
      <c r="A6" t="s">
        <v>238</v>
      </c>
      <c r="B6" s="26" t="s">
        <v>258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239</v>
      </c>
      <c r="B7" s="26" t="s">
        <v>258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240</v>
      </c>
      <c r="B8" s="26" t="s">
        <v>258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241</v>
      </c>
      <c r="B9" s="33" t="s">
        <v>258</v>
      </c>
      <c r="C9" s="34">
        <v>22001485.440000001</v>
      </c>
      <c r="D9" s="34">
        <v>16163978.84</v>
      </c>
      <c r="E9" s="34">
        <v>58896025.479999997</v>
      </c>
      <c r="F9" s="34">
        <v>21994261.469999999</v>
      </c>
      <c r="G9" s="34">
        <v>48724700.229999997</v>
      </c>
      <c r="H9" s="1">
        <f t="shared" si="0"/>
        <v>26730438.759999998</v>
      </c>
    </row>
    <row r="10" spans="1:8" x14ac:dyDescent="0.3">
      <c r="A10" s="35" t="s">
        <v>262</v>
      </c>
      <c r="B10" s="36" t="s">
        <v>258</v>
      </c>
      <c r="C10" s="94">
        <f t="shared" ref="C10" si="1">SUM(C2:C9)</f>
        <v>10707603068.310001</v>
      </c>
      <c r="D10" s="94">
        <f t="shared" ref="D10:E10" si="2">SUM(D2:D9)</f>
        <v>10997526183.820002</v>
      </c>
      <c r="E10" s="94">
        <f t="shared" si="2"/>
        <v>11291654373.269999</v>
      </c>
      <c r="F10" s="94">
        <f t="shared" ref="F10:G10" si="3">SUM(F2:F9)</f>
        <v>11469558409.880001</v>
      </c>
      <c r="G10" s="94">
        <f t="shared" si="3"/>
        <v>12074661827.98</v>
      </c>
      <c r="H10" s="11">
        <f t="shared" si="0"/>
        <v>605103418.09999847</v>
      </c>
    </row>
    <row r="11" spans="1:8" x14ac:dyDescent="0.3">
      <c r="A11" t="s">
        <v>242</v>
      </c>
      <c r="B11" s="26" t="s">
        <v>259</v>
      </c>
      <c r="C11" s="1">
        <v>1829549.97</v>
      </c>
      <c r="D11" s="1">
        <v>1406332.71</v>
      </c>
      <c r="E11" s="1">
        <v>1770388.36</v>
      </c>
      <c r="F11" s="1">
        <v>1751669.89</v>
      </c>
      <c r="G11" s="1">
        <v>1577239.05</v>
      </c>
      <c r="H11" s="1">
        <f t="shared" si="0"/>
        <v>-174430.83999999985</v>
      </c>
    </row>
    <row r="12" spans="1:8" x14ac:dyDescent="0.3">
      <c r="A12" t="s">
        <v>243</v>
      </c>
      <c r="B12" s="26" t="s">
        <v>259</v>
      </c>
      <c r="C12" s="1">
        <v>379346517.06</v>
      </c>
      <c r="D12" s="1">
        <v>396668115.36000001</v>
      </c>
      <c r="E12" s="1">
        <v>393081864.56999999</v>
      </c>
      <c r="F12" s="1">
        <v>434217422.41000003</v>
      </c>
      <c r="G12" s="1">
        <v>423124465.73000002</v>
      </c>
      <c r="H12" s="1">
        <f t="shared" si="0"/>
        <v>-11092956.680000007</v>
      </c>
    </row>
    <row r="13" spans="1:8" x14ac:dyDescent="0.3">
      <c r="A13" t="s">
        <v>244</v>
      </c>
      <c r="B13" s="26" t="s">
        <v>259</v>
      </c>
      <c r="C13" s="1">
        <v>17463684.710000001</v>
      </c>
      <c r="D13" s="1">
        <v>17623927.670000002</v>
      </c>
      <c r="E13" s="1">
        <v>18680957.039999999</v>
      </c>
      <c r="F13" s="1">
        <v>19522907.059999999</v>
      </c>
      <c r="G13" s="1">
        <v>19631189.829999998</v>
      </c>
      <c r="H13" s="1">
        <f t="shared" si="0"/>
        <v>108282.76999999955</v>
      </c>
    </row>
    <row r="14" spans="1:8" x14ac:dyDescent="0.3">
      <c r="A14" t="s">
        <v>245</v>
      </c>
      <c r="B14" s="26" t="s">
        <v>259</v>
      </c>
      <c r="C14" s="1">
        <v>9688750899.4099998</v>
      </c>
      <c r="D14" s="1">
        <v>9887911527.6000004</v>
      </c>
      <c r="E14" s="1">
        <v>10161056841.99</v>
      </c>
      <c r="F14" s="1">
        <v>10333967229.33</v>
      </c>
      <c r="G14" s="1">
        <v>11101022094.27</v>
      </c>
      <c r="H14" s="1">
        <f t="shared" si="0"/>
        <v>767054864.94000053</v>
      </c>
    </row>
    <row r="15" spans="1:8" x14ac:dyDescent="0.3">
      <c r="A15" t="s">
        <v>246</v>
      </c>
      <c r="B15" s="26" t="s">
        <v>259</v>
      </c>
      <c r="C15" s="1">
        <v>172690824.97999999</v>
      </c>
      <c r="D15" s="1">
        <v>172211030.31999999</v>
      </c>
      <c r="E15" s="1">
        <v>175475318.75999999</v>
      </c>
      <c r="F15" s="1">
        <v>175470939.36000001</v>
      </c>
      <c r="G15" s="1">
        <v>171293199.99000001</v>
      </c>
      <c r="H15" s="1">
        <f t="shared" si="0"/>
        <v>-4177739.3700000048</v>
      </c>
    </row>
    <row r="16" spans="1:8" x14ac:dyDescent="0.3">
      <c r="A16" t="s">
        <v>247</v>
      </c>
      <c r="B16" s="26" t="s">
        <v>259</v>
      </c>
      <c r="C16" s="1">
        <v>66700501.149999999</v>
      </c>
      <c r="D16" s="1">
        <v>78100932.310000002</v>
      </c>
      <c r="E16" s="1">
        <v>97507956.739999995</v>
      </c>
      <c r="F16" s="1">
        <v>96165634.5</v>
      </c>
      <c r="G16" s="1">
        <v>16652731.380000001</v>
      </c>
      <c r="H16" s="1">
        <f t="shared" si="0"/>
        <v>-79512903.120000005</v>
      </c>
    </row>
    <row r="17" spans="1:8" x14ac:dyDescent="0.3">
      <c r="A17" t="s">
        <v>248</v>
      </c>
      <c r="B17" s="26" t="s">
        <v>259</v>
      </c>
      <c r="C17" s="1">
        <v>-22003.279999999999</v>
      </c>
      <c r="D17" s="1">
        <v>-63682.95</v>
      </c>
      <c r="E17" s="1">
        <v>-13814.55</v>
      </c>
      <c r="F17" s="1">
        <v>-25189.29</v>
      </c>
      <c r="G17" s="1">
        <v>-13935.8</v>
      </c>
      <c r="H17" s="1">
        <f t="shared" si="0"/>
        <v>11253.490000000002</v>
      </c>
    </row>
    <row r="18" spans="1:8" x14ac:dyDescent="0.3">
      <c r="A18" t="s">
        <v>249</v>
      </c>
      <c r="B18" s="26" t="s">
        <v>259</v>
      </c>
      <c r="C18" s="1">
        <v>7999784.0499999998</v>
      </c>
      <c r="D18" s="1">
        <v>7519010.25</v>
      </c>
      <c r="E18" s="1">
        <v>26645487.719999999</v>
      </c>
      <c r="F18" s="1">
        <v>4950252.1900000004</v>
      </c>
      <c r="G18" s="1">
        <v>38894200</v>
      </c>
      <c r="H18" s="1">
        <f t="shared" si="0"/>
        <v>33943947.810000002</v>
      </c>
    </row>
    <row r="19" spans="1:8" x14ac:dyDescent="0.3">
      <c r="A19" t="s">
        <v>13</v>
      </c>
      <c r="B19" s="26" t="s">
        <v>259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0</v>
      </c>
    </row>
    <row r="20" spans="1:8" x14ac:dyDescent="0.3">
      <c r="A20" s="32" t="s">
        <v>250</v>
      </c>
      <c r="B20" s="33" t="s">
        <v>259</v>
      </c>
      <c r="C20" s="34">
        <v>5773461.21</v>
      </c>
      <c r="D20" s="34">
        <v>4998374.67</v>
      </c>
      <c r="E20" s="34">
        <v>5137766.4800000004</v>
      </c>
      <c r="F20" s="34">
        <v>5360620.5999999996</v>
      </c>
      <c r="G20" s="34">
        <v>5649845.4400000004</v>
      </c>
      <c r="H20" s="1">
        <f t="shared" si="0"/>
        <v>289224.84000000078</v>
      </c>
    </row>
    <row r="21" spans="1:8" x14ac:dyDescent="0.3">
      <c r="A21" s="35" t="s">
        <v>263</v>
      </c>
      <c r="B21" s="36" t="s">
        <v>259</v>
      </c>
      <c r="C21" s="94">
        <f>SUM(C11:C20)</f>
        <v>10340533219.259996</v>
      </c>
      <c r="D21" s="94">
        <f t="shared" ref="D21:E21" si="4">SUM(D11:D20)</f>
        <v>10566375567.939999</v>
      </c>
      <c r="E21" s="94">
        <f t="shared" si="4"/>
        <v>10879342767.109999</v>
      </c>
      <c r="F21" s="94">
        <f t="shared" ref="F21:G21" si="5">SUM(F11:F20)</f>
        <v>11071381486.050001</v>
      </c>
      <c r="G21" s="94">
        <f t="shared" si="5"/>
        <v>11777831029.890001</v>
      </c>
      <c r="H21" s="11">
        <f t="shared" si="0"/>
        <v>706449543.84000015</v>
      </c>
    </row>
    <row r="22" spans="1:8" x14ac:dyDescent="0.3">
      <c r="A22" t="s">
        <v>251</v>
      </c>
      <c r="B22" s="26" t="s">
        <v>258</v>
      </c>
      <c r="C22" s="1">
        <v>4815226.3</v>
      </c>
      <c r="D22" s="1">
        <v>5532272.21</v>
      </c>
      <c r="E22" s="1">
        <v>5938910.1799999997</v>
      </c>
      <c r="F22" s="1">
        <v>4490875.58</v>
      </c>
      <c r="G22" s="1">
        <v>1464613.17</v>
      </c>
      <c r="H22" s="1">
        <f t="shared" si="0"/>
        <v>-3026262.41</v>
      </c>
    </row>
    <row r="23" spans="1:8" x14ac:dyDescent="0.3">
      <c r="A23" t="s">
        <v>252</v>
      </c>
      <c r="B23" s="26" t="s">
        <v>259</v>
      </c>
      <c r="C23" s="1">
        <v>61932022.149999999</v>
      </c>
      <c r="D23" s="1">
        <v>57661554.799999997</v>
      </c>
      <c r="E23" s="1">
        <v>53694322.119999997</v>
      </c>
      <c r="F23" s="1">
        <v>50134505.25</v>
      </c>
      <c r="G23" s="1">
        <v>47505432.759999998</v>
      </c>
      <c r="H23" s="1">
        <f t="shared" si="0"/>
        <v>-2629072.4900000021</v>
      </c>
    </row>
    <row r="24" spans="1:8" x14ac:dyDescent="0.3">
      <c r="A24" t="s">
        <v>253</v>
      </c>
      <c r="B24" s="26" t="s">
        <v>258</v>
      </c>
      <c r="C24" s="1">
        <v>-764493.08</v>
      </c>
      <c r="D24" s="1">
        <v>676024.72</v>
      </c>
      <c r="E24" s="1">
        <v>759115.56</v>
      </c>
      <c r="F24" s="1">
        <v>19439596.170000002</v>
      </c>
      <c r="G24" s="1">
        <v>18147668.010000002</v>
      </c>
      <c r="H24" s="1">
        <f t="shared" si="0"/>
        <v>-1291928.1600000001</v>
      </c>
    </row>
    <row r="25" spans="1:8" x14ac:dyDescent="0.3">
      <c r="A25" t="s">
        <v>254</v>
      </c>
      <c r="B25" s="26" t="s">
        <v>258</v>
      </c>
      <c r="C25" s="1">
        <v>79255981.290000007</v>
      </c>
      <c r="D25" s="1">
        <v>55603858.909999996</v>
      </c>
      <c r="E25" s="1">
        <v>117467741.70999999</v>
      </c>
      <c r="F25" s="1">
        <v>54476876.090000004</v>
      </c>
      <c r="G25" s="1">
        <v>103528678.26000001</v>
      </c>
      <c r="H25" s="1">
        <f t="shared" si="0"/>
        <v>49051802.170000002</v>
      </c>
    </row>
    <row r="26" spans="1:8" x14ac:dyDescent="0.3">
      <c r="A26" t="s">
        <v>255</v>
      </c>
      <c r="B26" s="26" t="s">
        <v>259</v>
      </c>
      <c r="C26" s="1">
        <v>37965219.009999998</v>
      </c>
      <c r="D26" s="1">
        <v>30224487</v>
      </c>
      <c r="E26" s="1">
        <v>13904443.369999999</v>
      </c>
      <c r="F26" s="1">
        <v>36387369.369999997</v>
      </c>
      <c r="G26" s="1">
        <v>107164162.93000001</v>
      </c>
      <c r="H26" s="1">
        <f t="shared" si="0"/>
        <v>70776793.560000002</v>
      </c>
    </row>
    <row r="27" spans="1:8" x14ac:dyDescent="0.3">
      <c r="A27" t="s">
        <v>256</v>
      </c>
      <c r="B27" s="26" t="s">
        <v>259</v>
      </c>
      <c r="C27" s="1">
        <v>11488115.810000001</v>
      </c>
      <c r="D27" s="1">
        <v>11330059.73</v>
      </c>
      <c r="E27" s="1">
        <v>11678746.01</v>
      </c>
      <c r="F27" s="1">
        <v>11528799.01</v>
      </c>
      <c r="G27" s="1">
        <v>11229507.91</v>
      </c>
      <c r="H27" s="1">
        <f t="shared" si="0"/>
        <v>-299291.09999999963</v>
      </c>
    </row>
    <row r="28" spans="1:8" x14ac:dyDescent="0.3">
      <c r="A28" s="10" t="s">
        <v>257</v>
      </c>
      <c r="B28" s="36" t="s">
        <v>260</v>
      </c>
      <c r="C28" s="37">
        <f>C10-C21+C22-C23+C24+C25-C26-C27</f>
        <v>338991206.59000504</v>
      </c>
      <c r="D28" s="37">
        <f t="shared" ref="D28:E28" si="6">D10-D21+D22-D23+D24+D25-D26-D27</f>
        <v>393746670.19000292</v>
      </c>
      <c r="E28" s="37">
        <f t="shared" si="6"/>
        <v>457199862.10999984</v>
      </c>
      <c r="F28" s="37">
        <f t="shared" ref="F28:G28" si="7">F10-F21+F22-F23+F24+F25-F26-F27</f>
        <v>378533598.03999996</v>
      </c>
      <c r="G28" s="37">
        <f t="shared" si="7"/>
        <v>254072653.92999825</v>
      </c>
      <c r="H28" s="37">
        <f t="shared" si="0"/>
        <v>-124460944.11000171</v>
      </c>
    </row>
  </sheetData>
  <conditionalFormatting sqref="C28:F28">
    <cfRule type="cellIs" dxfId="50" priority="17" operator="greaterThan">
      <formula>0</formula>
    </cfRule>
  </conditionalFormatting>
  <conditionalFormatting sqref="C28:F28">
    <cfRule type="cellIs" dxfId="49" priority="14" operator="greaterThan">
      <formula>0</formula>
    </cfRule>
  </conditionalFormatting>
  <conditionalFormatting sqref="G28">
    <cfRule type="cellIs" dxfId="48" priority="3" operator="greaterThan">
      <formula>0</formula>
    </cfRule>
  </conditionalFormatting>
  <conditionalFormatting sqref="G28">
    <cfRule type="cellIs" dxfId="47" priority="2" operator="greaterThan">
      <formula>0</formula>
    </cfRule>
  </conditionalFormatting>
  <conditionalFormatting sqref="H28">
    <cfRule type="cellIs" dxfId="4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F2" sqref="F2"/>
    </sheetView>
  </sheetViews>
  <sheetFormatPr defaultRowHeight="14.4" x14ac:dyDescent="0.3"/>
  <cols>
    <col min="1" max="1" width="50.6640625" bestFit="1" customWidth="1"/>
    <col min="2" max="6" width="14.33203125" bestFit="1" customWidth="1"/>
    <col min="7" max="7" width="12.3320312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</row>
    <row r="2" spans="1:7" x14ac:dyDescent="0.3">
      <c r="A2" s="71" t="s">
        <v>341</v>
      </c>
      <c r="B2" s="64">
        <f>Conto_economico!C10</f>
        <v>10707603068.310001</v>
      </c>
      <c r="C2" s="64">
        <f>Conto_economico!D10</f>
        <v>10997526183.820002</v>
      </c>
      <c r="D2" s="64">
        <f>Conto_economico!E10</f>
        <v>11291654373.269999</v>
      </c>
      <c r="E2" s="64">
        <f>Conto_economico!F10</f>
        <v>11469558409.880001</v>
      </c>
      <c r="F2" s="64">
        <f>Conto_economico!G10</f>
        <v>12074661827.98</v>
      </c>
      <c r="G2" s="64">
        <f t="shared" ref="G2:G15" si="0">F2-E2</f>
        <v>605103418.09999847</v>
      </c>
    </row>
    <row r="3" spans="1:7" x14ac:dyDescent="0.3">
      <c r="A3" s="71" t="s">
        <v>336</v>
      </c>
      <c r="B3" s="64">
        <f>Conto_economico!C2</f>
        <v>9766841308.1700001</v>
      </c>
      <c r="C3" s="64">
        <f>Conto_economico!D2</f>
        <v>9906003226.9500008</v>
      </c>
      <c r="D3" s="64">
        <f>Conto_economico!E2</f>
        <v>10012415582.629999</v>
      </c>
      <c r="E3" s="64">
        <f>Conto_economico!F2</f>
        <v>9990272775.2000008</v>
      </c>
      <c r="F3" s="64">
        <f>Conto_economico!G2</f>
        <v>10229737539.99</v>
      </c>
      <c r="G3" s="64">
        <f t="shared" si="0"/>
        <v>239464764.78999901</v>
      </c>
    </row>
    <row r="4" spans="1:7" x14ac:dyDescent="0.3">
      <c r="A4" s="71" t="s">
        <v>337</v>
      </c>
      <c r="B4" s="64">
        <f>Conto_economico!C4</f>
        <v>650161763.92999995</v>
      </c>
      <c r="C4" s="64">
        <f>Conto_economico!D4</f>
        <v>795626871.50999999</v>
      </c>
      <c r="D4" s="64">
        <f>Conto_economico!E4</f>
        <v>909540547.77999997</v>
      </c>
      <c r="E4" s="64">
        <f>Conto_economico!F4</f>
        <v>1121291354.54</v>
      </c>
      <c r="F4" s="64">
        <f>Conto_economico!G4</f>
        <v>1486075463.5899999</v>
      </c>
      <c r="G4" s="64">
        <f t="shared" si="0"/>
        <v>364784109.04999995</v>
      </c>
    </row>
    <row r="5" spans="1:7" x14ac:dyDescent="0.3">
      <c r="A5" s="71" t="s">
        <v>342</v>
      </c>
      <c r="B5" s="65">
        <f>Conto_economico!C21</f>
        <v>10340533219.259996</v>
      </c>
      <c r="C5" s="65">
        <f>Conto_economico!D21</f>
        <v>10566375567.939999</v>
      </c>
      <c r="D5" s="65">
        <f>Conto_economico!E21</f>
        <v>10879342767.109999</v>
      </c>
      <c r="E5" s="65">
        <f>Conto_economico!F21</f>
        <v>11071381486.050001</v>
      </c>
      <c r="F5" s="65">
        <f>Conto_economico!G21</f>
        <v>11777831029.890001</v>
      </c>
      <c r="G5" s="64">
        <f t="shared" si="0"/>
        <v>706449543.84000015</v>
      </c>
    </row>
    <row r="6" spans="1:7" x14ac:dyDescent="0.3">
      <c r="A6" s="71" t="s">
        <v>338</v>
      </c>
      <c r="B6" s="64">
        <f>Conto_economico!C12</f>
        <v>379346517.06</v>
      </c>
      <c r="C6" s="64">
        <f>Conto_economico!D12</f>
        <v>396668115.36000001</v>
      </c>
      <c r="D6" s="64">
        <f>Conto_economico!E12</f>
        <v>393081864.56999999</v>
      </c>
      <c r="E6" s="64">
        <f>Conto_economico!F12</f>
        <v>434217422.41000003</v>
      </c>
      <c r="F6" s="64">
        <f>Conto_economico!G12</f>
        <v>423124465.73000002</v>
      </c>
      <c r="G6" s="64">
        <f t="shared" si="0"/>
        <v>-11092956.680000007</v>
      </c>
    </row>
    <row r="7" spans="1:7" x14ac:dyDescent="0.3">
      <c r="A7" s="71" t="s">
        <v>339</v>
      </c>
      <c r="B7" s="64">
        <f>Conto_economico!C15</f>
        <v>172690824.97999999</v>
      </c>
      <c r="C7" s="64">
        <f>Conto_economico!D15</f>
        <v>172211030.31999999</v>
      </c>
      <c r="D7" s="64">
        <f>Conto_economico!E15</f>
        <v>175475318.75999999</v>
      </c>
      <c r="E7" s="64">
        <f>Conto_economico!F15</f>
        <v>175470939.36000001</v>
      </c>
      <c r="F7" s="64">
        <f>Conto_economico!G15</f>
        <v>171293199.99000001</v>
      </c>
      <c r="G7" s="64">
        <f t="shared" si="0"/>
        <v>-4177739.3700000048</v>
      </c>
    </row>
    <row r="8" spans="1:7" x14ac:dyDescent="0.3">
      <c r="A8" s="71" t="s">
        <v>340</v>
      </c>
      <c r="B8" s="64">
        <f>Conto_economico!C16</f>
        <v>66700501.149999999</v>
      </c>
      <c r="C8" s="64">
        <f>Conto_economico!D16</f>
        <v>78100932.310000002</v>
      </c>
      <c r="D8" s="64">
        <f>Conto_economico!E16</f>
        <v>97507956.739999995</v>
      </c>
      <c r="E8" s="64">
        <f>Conto_economico!F16</f>
        <v>96165634.5</v>
      </c>
      <c r="F8" s="64">
        <f>Conto_economico!G16</f>
        <v>16652731.380000001</v>
      </c>
      <c r="G8" s="64">
        <f t="shared" si="0"/>
        <v>-79512903.120000005</v>
      </c>
    </row>
    <row r="9" spans="1:7" x14ac:dyDescent="0.3">
      <c r="A9" s="47" t="s">
        <v>304</v>
      </c>
      <c r="B9" s="66">
        <f t="shared" ref="B9:D9" si="1">B2-B5</f>
        <v>367069849.05000496</v>
      </c>
      <c r="C9" s="66">
        <f t="shared" si="1"/>
        <v>431150615.88000298</v>
      </c>
      <c r="D9" s="66">
        <f t="shared" si="1"/>
        <v>412311606.15999985</v>
      </c>
      <c r="E9" s="66">
        <f t="shared" ref="E9:F9" si="2">E2-E5</f>
        <v>398176923.82999992</v>
      </c>
      <c r="F9" s="66">
        <f t="shared" si="2"/>
        <v>296830798.08999825</v>
      </c>
      <c r="G9" s="66">
        <f t="shared" si="0"/>
        <v>-101346125.74000168</v>
      </c>
    </row>
    <row r="10" spans="1:7" x14ac:dyDescent="0.3">
      <c r="A10" s="71" t="s">
        <v>305</v>
      </c>
      <c r="B10" s="64">
        <f>Conto_economico!C22-Conto_economico!C23</f>
        <v>-57116795.850000001</v>
      </c>
      <c r="C10" s="64">
        <f>Conto_economico!D22-Conto_economico!D23</f>
        <v>-52129282.589999996</v>
      </c>
      <c r="D10" s="64">
        <f>Conto_economico!E22-Conto_economico!E23</f>
        <v>-47755411.939999998</v>
      </c>
      <c r="E10" s="64">
        <f>Conto_economico!F22-Conto_economico!F23</f>
        <v>-45643629.670000002</v>
      </c>
      <c r="F10" s="64">
        <f>Conto_economico!G22-Conto_economico!G23</f>
        <v>-46040819.589999996</v>
      </c>
      <c r="G10" s="64">
        <f t="shared" si="0"/>
        <v>-397189.91999999434</v>
      </c>
    </row>
    <row r="11" spans="1:7" x14ac:dyDescent="0.3">
      <c r="A11" s="71" t="s">
        <v>306</v>
      </c>
      <c r="B11" s="65">
        <f>Conto_economico!C25-Conto_economico!C26</f>
        <v>41290762.280000009</v>
      </c>
      <c r="C11" s="65">
        <f>Conto_economico!D25-Conto_economico!D26</f>
        <v>25379371.909999996</v>
      </c>
      <c r="D11" s="65">
        <f>Conto_economico!E25-Conto_economico!E26</f>
        <v>103563298.33999999</v>
      </c>
      <c r="E11" s="65">
        <f>Conto_economico!F25-Conto_economico!F26</f>
        <v>18089506.720000006</v>
      </c>
      <c r="F11" s="65">
        <f>Conto_economico!G25-Conto_economico!G26</f>
        <v>-3635484.6700000018</v>
      </c>
      <c r="G11" s="64">
        <f t="shared" si="0"/>
        <v>-21724991.390000008</v>
      </c>
    </row>
    <row r="12" spans="1:7" x14ac:dyDescent="0.3">
      <c r="A12" s="71" t="s">
        <v>253</v>
      </c>
      <c r="B12" s="65">
        <f>Conto_economico!C24</f>
        <v>-764493.08</v>
      </c>
      <c r="C12" s="65">
        <f>Conto_economico!D24</f>
        <v>676024.72</v>
      </c>
      <c r="D12" s="65">
        <f>Conto_economico!E24</f>
        <v>759115.56</v>
      </c>
      <c r="E12" s="65">
        <f>Conto_economico!F24</f>
        <v>19439596.170000002</v>
      </c>
      <c r="F12" s="65">
        <f>Conto_economico!G24</f>
        <v>18147668.010000002</v>
      </c>
      <c r="G12" s="64">
        <f t="shared" si="0"/>
        <v>-1291928.1600000001</v>
      </c>
    </row>
    <row r="13" spans="1:7" x14ac:dyDescent="0.3">
      <c r="A13" s="47" t="s">
        <v>307</v>
      </c>
      <c r="B13" s="66">
        <f t="shared" ref="B13:D13" si="3">SUM(B9:B12)</f>
        <v>350479322.40000498</v>
      </c>
      <c r="C13" s="66">
        <f t="shared" si="3"/>
        <v>405076729.92000306</v>
      </c>
      <c r="D13" s="66">
        <f t="shared" si="3"/>
        <v>468878608.11999983</v>
      </c>
      <c r="E13" s="66">
        <f t="shared" ref="E13:F13" si="4">SUM(E9:E12)</f>
        <v>390062397.04999995</v>
      </c>
      <c r="F13" s="66">
        <f t="shared" si="4"/>
        <v>265302161.83999825</v>
      </c>
      <c r="G13" s="66">
        <f t="shared" si="0"/>
        <v>-124760235.21000171</v>
      </c>
    </row>
    <row r="14" spans="1:7" x14ac:dyDescent="0.3">
      <c r="A14" s="71" t="s">
        <v>256</v>
      </c>
      <c r="B14" s="64">
        <f>Conto_economico!C27</f>
        <v>11488115.810000001</v>
      </c>
      <c r="C14" s="64">
        <f>Conto_economico!D27</f>
        <v>11330059.73</v>
      </c>
      <c r="D14" s="64">
        <f>Conto_economico!E27</f>
        <v>11678746.01</v>
      </c>
      <c r="E14" s="64">
        <f>Conto_economico!F27</f>
        <v>11528799.01</v>
      </c>
      <c r="F14" s="64">
        <f>Conto_economico!G27</f>
        <v>11229507.91</v>
      </c>
      <c r="G14" s="64">
        <f t="shared" si="0"/>
        <v>-299291.09999999963</v>
      </c>
    </row>
    <row r="15" spans="1:7" x14ac:dyDescent="0.3">
      <c r="A15" s="70" t="s">
        <v>257</v>
      </c>
      <c r="B15" s="67">
        <f t="shared" ref="B15:D15" si="5">B13-B14</f>
        <v>338991206.59000498</v>
      </c>
      <c r="C15" s="67">
        <f t="shared" si="5"/>
        <v>393746670.19000304</v>
      </c>
      <c r="D15" s="67">
        <f t="shared" si="5"/>
        <v>457199862.10999984</v>
      </c>
      <c r="E15" s="67">
        <f t="shared" ref="E15:F15" si="6">E13-E14</f>
        <v>378533598.03999996</v>
      </c>
      <c r="F15" s="67">
        <f t="shared" si="6"/>
        <v>254072653.92999825</v>
      </c>
      <c r="G15" s="67">
        <f t="shared" si="0"/>
        <v>-124460944.11000171</v>
      </c>
    </row>
  </sheetData>
  <conditionalFormatting sqref="B15:E15">
    <cfRule type="cellIs" dxfId="45" priority="17" operator="greaterThan">
      <formula>0</formula>
    </cfRule>
  </conditionalFormatting>
  <conditionalFormatting sqref="B9:E9 B13:E13">
    <cfRule type="cellIs" dxfId="44" priority="16" operator="lessThan">
      <formula>0</formula>
    </cfRule>
  </conditionalFormatting>
  <conditionalFormatting sqref="F15">
    <cfRule type="cellIs" dxfId="43" priority="4" operator="greaterThan">
      <formula>0</formula>
    </cfRule>
  </conditionalFormatting>
  <conditionalFormatting sqref="F9 F13">
    <cfRule type="cellIs" dxfId="42" priority="3" operator="lessThan">
      <formula>0</formula>
    </cfRule>
  </conditionalFormatting>
  <conditionalFormatting sqref="G15">
    <cfRule type="cellIs" dxfId="41" priority="2" operator="greaterThan">
      <formula>0</formula>
    </cfRule>
  </conditionalFormatting>
  <conditionalFormatting sqref="G13 G9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9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3.88671875" bestFit="1" customWidth="1"/>
    <col min="8" max="9" width="12.6640625" bestFit="1" customWidth="1"/>
  </cols>
  <sheetData>
    <row r="1" spans="1:7" x14ac:dyDescent="0.3">
      <c r="A1" s="73"/>
      <c r="B1" s="96">
        <v>2015</v>
      </c>
      <c r="C1" s="96">
        <v>2016</v>
      </c>
      <c r="D1" s="69">
        <v>2017</v>
      </c>
      <c r="E1" s="69">
        <v>2018</v>
      </c>
      <c r="F1" s="69">
        <v>2019</v>
      </c>
      <c r="G1" s="69">
        <v>2020</v>
      </c>
    </row>
    <row r="2" spans="1:7" x14ac:dyDescent="0.3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 x14ac:dyDescent="0.3">
      <c r="A3" s="32" t="s">
        <v>212</v>
      </c>
      <c r="B3" s="1">
        <v>108904433.73999999</v>
      </c>
      <c r="C3" s="1">
        <v>111920407.54000001</v>
      </c>
      <c r="D3" s="1">
        <v>208632764.22</v>
      </c>
      <c r="E3" s="1">
        <v>82257368.340000004</v>
      </c>
      <c r="F3" s="1">
        <v>43291963.880000003</v>
      </c>
      <c r="G3" s="1">
        <v>424205884.86000001</v>
      </c>
    </row>
    <row r="4" spans="1:7" x14ac:dyDescent="0.3">
      <c r="A4" s="32" t="s">
        <v>213</v>
      </c>
      <c r="B4" s="1">
        <v>310889311.14999998</v>
      </c>
      <c r="C4" s="1">
        <v>343080397.5</v>
      </c>
      <c r="D4" s="1">
        <v>472382442.04000002</v>
      </c>
      <c r="E4" s="1">
        <v>498687481.37</v>
      </c>
      <c r="F4" s="1">
        <v>518512891.16000003</v>
      </c>
      <c r="G4" s="1">
        <v>566134289.52999997</v>
      </c>
    </row>
    <row r="5" spans="1:7" x14ac:dyDescent="0.3">
      <c r="A5" s="32" t="s">
        <v>227</v>
      </c>
      <c r="B5" s="1">
        <v>172456634.41999999</v>
      </c>
      <c r="C5" s="1">
        <v>178329141.34</v>
      </c>
      <c r="D5" s="1">
        <v>396166983.10000002</v>
      </c>
      <c r="E5" s="1">
        <v>396926098.66000003</v>
      </c>
      <c r="F5" s="1">
        <v>416350193.06999999</v>
      </c>
      <c r="G5" s="1">
        <v>433419912.89999998</v>
      </c>
    </row>
    <row r="6" spans="1:7" x14ac:dyDescent="0.3">
      <c r="A6" s="32" t="s">
        <v>228</v>
      </c>
      <c r="B6" s="1">
        <v>0</v>
      </c>
      <c r="C6" s="1">
        <v>3980000</v>
      </c>
      <c r="D6" s="1">
        <v>12903854.49</v>
      </c>
      <c r="E6" s="1">
        <v>28403854.489999998</v>
      </c>
      <c r="F6" s="1">
        <v>31571727.890000001</v>
      </c>
      <c r="G6" s="1">
        <v>40571727.890000001</v>
      </c>
    </row>
    <row r="7" spans="1:7" x14ac:dyDescent="0.3">
      <c r="A7" s="32" t="s">
        <v>229</v>
      </c>
      <c r="B7" s="1">
        <v>0</v>
      </c>
      <c r="C7" s="1">
        <v>0</v>
      </c>
      <c r="D7" s="1">
        <v>600000</v>
      </c>
      <c r="E7" s="1">
        <v>600000</v>
      </c>
      <c r="F7" s="1">
        <v>600000</v>
      </c>
      <c r="G7" s="1">
        <v>600000</v>
      </c>
    </row>
    <row r="8" spans="1:7" x14ac:dyDescent="0.3">
      <c r="A8" s="32" t="s">
        <v>230</v>
      </c>
      <c r="B8" s="1">
        <v>71131.360000000001</v>
      </c>
      <c r="C8" s="1">
        <v>93134.64</v>
      </c>
      <c r="D8" s="1">
        <v>156817.59</v>
      </c>
      <c r="E8" s="1">
        <v>170632.14</v>
      </c>
      <c r="F8" s="1">
        <v>195821.43</v>
      </c>
      <c r="G8" s="1">
        <v>209757.23</v>
      </c>
    </row>
    <row r="9" spans="1:7" x14ac:dyDescent="0.3">
      <c r="A9" s="32" t="s">
        <v>214</v>
      </c>
      <c r="B9" s="1">
        <v>5420953719.6000004</v>
      </c>
      <c r="C9" s="1">
        <v>4746433219.54</v>
      </c>
      <c r="D9" s="1">
        <v>4925041494.9499998</v>
      </c>
      <c r="E9" s="1">
        <v>4444286410.1599998</v>
      </c>
      <c r="F9" s="1">
        <v>3774504430.1599998</v>
      </c>
      <c r="G9" s="1">
        <v>3360665188.6100001</v>
      </c>
    </row>
    <row r="10" spans="1:7" x14ac:dyDescent="0.3">
      <c r="A10" s="100" t="s">
        <v>358</v>
      </c>
      <c r="B10" s="1">
        <v>3934103227.9699998</v>
      </c>
      <c r="C10" s="1">
        <v>3371192834.4499998</v>
      </c>
      <c r="D10" s="1">
        <v>3436115379.6799998</v>
      </c>
      <c r="E10" s="1">
        <v>3144265314.8099999</v>
      </c>
      <c r="F10" s="1">
        <v>2562711439.1300001</v>
      </c>
      <c r="G10" s="1">
        <v>2004466900.53</v>
      </c>
    </row>
    <row r="11" spans="1:7" x14ac:dyDescent="0.3">
      <c r="A11" s="100" t="s">
        <v>361</v>
      </c>
      <c r="B11" s="1">
        <v>737170058.22000003</v>
      </c>
      <c r="C11" s="1">
        <v>711431999.33000004</v>
      </c>
      <c r="D11" s="1">
        <v>772708950.92999995</v>
      </c>
      <c r="E11" s="1">
        <v>590735347.49000001</v>
      </c>
      <c r="F11" s="1">
        <v>588453470.86000001</v>
      </c>
      <c r="G11" s="1">
        <v>647749365.36000001</v>
      </c>
    </row>
    <row r="12" spans="1:7" x14ac:dyDescent="0.3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3">
      <c r="A13" s="32" t="s">
        <v>215</v>
      </c>
      <c r="B13" s="1">
        <v>643963495.40999997</v>
      </c>
      <c r="C13" s="1">
        <v>485208256.79000002</v>
      </c>
      <c r="D13" s="1">
        <v>517021793.00999999</v>
      </c>
      <c r="E13" s="1">
        <v>740533887.20000005</v>
      </c>
      <c r="F13" s="1">
        <v>1064618990.74</v>
      </c>
      <c r="G13" s="1">
        <v>1451890764.02</v>
      </c>
    </row>
    <row r="14" spans="1:7" x14ac:dyDescent="0.3">
      <c r="A14" s="32" t="s">
        <v>216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</row>
    <row r="15" spans="1:7" x14ac:dyDescent="0.3">
      <c r="A15" s="10" t="s">
        <v>217</v>
      </c>
      <c r="B15" s="11">
        <f t="shared" ref="B15:D15" si="0">SUM(B2:B9)+SUM(B12:B14)</f>
        <v>6657238725.6800003</v>
      </c>
      <c r="C15" s="11">
        <f t="shared" si="0"/>
        <v>5869044557.3499994</v>
      </c>
      <c r="D15" s="11">
        <f t="shared" si="0"/>
        <v>6532906149.3999996</v>
      </c>
      <c r="E15" s="11">
        <f>SUM(E2:E9)+SUM(E12:E14)</f>
        <v>6191865732.3599997</v>
      </c>
      <c r="F15" s="11">
        <f>SUM(F2:F9)+SUM(F12:F14)</f>
        <v>5849646018.3299999</v>
      </c>
      <c r="G15" s="11">
        <f>SUM(G2:G9)+SUM(G12:G14)</f>
        <v>6277697525.0400009</v>
      </c>
    </row>
    <row r="16" spans="1:7" x14ac:dyDescent="0.3">
      <c r="A16" s="32" t="s">
        <v>218</v>
      </c>
      <c r="B16" s="1">
        <v>-2473867415.8699999</v>
      </c>
      <c r="C16" s="1">
        <v>-2467758756.96</v>
      </c>
      <c r="D16" s="1">
        <v>-2160500543.52</v>
      </c>
      <c r="E16" s="1">
        <v>-1766753873.3299999</v>
      </c>
      <c r="F16" s="1">
        <v>-1310591488.74</v>
      </c>
      <c r="G16" s="1">
        <v>-952107059.91999996</v>
      </c>
    </row>
    <row r="17" spans="1:9" x14ac:dyDescent="0.3">
      <c r="A17" s="32" t="s">
        <v>219</v>
      </c>
      <c r="B17" s="1">
        <v>23629998.82</v>
      </c>
      <c r="C17" s="1">
        <v>23629998.82</v>
      </c>
      <c r="D17" s="1">
        <v>493526460.33999997</v>
      </c>
      <c r="E17" s="1">
        <v>398838593.32999998</v>
      </c>
      <c r="F17" s="1">
        <v>399876070.85000002</v>
      </c>
      <c r="G17" s="1">
        <v>797601900.65999997</v>
      </c>
    </row>
    <row r="18" spans="1:9" x14ac:dyDescent="0.3">
      <c r="A18" s="32" t="s">
        <v>220</v>
      </c>
      <c r="B18" s="1">
        <v>0</v>
      </c>
      <c r="C18" s="1">
        <v>338991206.58999997</v>
      </c>
      <c r="D18" s="1">
        <v>393746670.19</v>
      </c>
      <c r="E18" s="1">
        <v>457199862.11000001</v>
      </c>
      <c r="F18" s="1">
        <v>378533598.04000002</v>
      </c>
      <c r="G18" s="1">
        <v>254072653.93000001</v>
      </c>
    </row>
    <row r="19" spans="1:9" x14ac:dyDescent="0.3">
      <c r="A19" s="32" t="s">
        <v>221</v>
      </c>
      <c r="B19" s="1">
        <v>16382173.199999999</v>
      </c>
      <c r="C19" s="1">
        <v>21783957.25</v>
      </c>
      <c r="D19" s="1">
        <v>22369055.5</v>
      </c>
      <c r="E19" s="1">
        <v>48951560.5</v>
      </c>
      <c r="F19" s="1">
        <v>47041988.479999997</v>
      </c>
      <c r="G19" s="1">
        <v>84806357.819999993</v>
      </c>
    </row>
    <row r="20" spans="1:9" x14ac:dyDescent="0.3">
      <c r="A20" s="32" t="s">
        <v>208</v>
      </c>
      <c r="B20" s="1">
        <v>4737839078.7299995</v>
      </c>
      <c r="C20" s="1">
        <v>4420149665.8900003</v>
      </c>
      <c r="D20" s="1">
        <v>4493696310.2399998</v>
      </c>
      <c r="E20" s="1">
        <v>4393367167.25</v>
      </c>
      <c r="F20" s="1">
        <v>3745841775.0900002</v>
      </c>
      <c r="G20" s="1">
        <v>1273794847.3599999</v>
      </c>
    </row>
    <row r="21" spans="1:9" x14ac:dyDescent="0.3">
      <c r="A21" s="32" t="s">
        <v>222</v>
      </c>
      <c r="B21" s="1">
        <v>89819596.780000001</v>
      </c>
      <c r="C21" s="1">
        <v>80184837.790000007</v>
      </c>
      <c r="D21" s="1">
        <v>85706800.810000002</v>
      </c>
      <c r="E21" s="1">
        <v>91228320.25</v>
      </c>
      <c r="F21" s="1">
        <v>89482719.299999997</v>
      </c>
      <c r="G21" s="1">
        <v>79853639.040000007</v>
      </c>
    </row>
    <row r="22" spans="1:9" x14ac:dyDescent="0.3">
      <c r="A22" s="32" t="s">
        <v>223</v>
      </c>
      <c r="B22" s="1">
        <v>2647723056.6100001</v>
      </c>
      <c r="C22" s="1">
        <v>1895734438.98</v>
      </c>
      <c r="D22" s="1">
        <v>1856993113.99</v>
      </c>
      <c r="E22" s="1">
        <v>1400171408.77</v>
      </c>
      <c r="F22" s="1">
        <v>1439913890.46</v>
      </c>
      <c r="G22" s="1">
        <v>1794041572.6099999</v>
      </c>
    </row>
    <row r="23" spans="1:9" x14ac:dyDescent="0.3">
      <c r="A23" s="100" t="s">
        <v>359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9" x14ac:dyDescent="0.3">
      <c r="A24" s="100" t="s">
        <v>360</v>
      </c>
      <c r="B24" s="1">
        <v>2471684330.3099999</v>
      </c>
      <c r="C24" s="1">
        <v>1743333023.5</v>
      </c>
      <c r="D24" s="1">
        <v>1636472333.1099999</v>
      </c>
      <c r="E24" s="1">
        <v>1194913051.75</v>
      </c>
      <c r="F24" s="1">
        <v>1233598398.02</v>
      </c>
      <c r="G24" s="1">
        <v>1612679009.03</v>
      </c>
    </row>
    <row r="25" spans="1:9" x14ac:dyDescent="0.3">
      <c r="A25" s="32" t="s">
        <v>224</v>
      </c>
      <c r="B25" s="1">
        <f>284177712.04+7655.94</f>
        <v>284185367.98000002</v>
      </c>
      <c r="C25" s="1">
        <f>225509223.65+2160</f>
        <v>225511383.65000001</v>
      </c>
      <c r="D25" s="1">
        <v>167255778.99000001</v>
      </c>
      <c r="E25" s="1">
        <v>121478593.40000001</v>
      </c>
      <c r="F25" s="1">
        <v>111053844.34</v>
      </c>
      <c r="G25" s="1">
        <v>1992157777.25</v>
      </c>
      <c r="H25" s="1"/>
      <c r="I25" s="1"/>
    </row>
    <row r="26" spans="1:9" x14ac:dyDescent="0.3">
      <c r="A26" s="32" t="s">
        <v>225</v>
      </c>
      <c r="B26" s="1">
        <v>1331526869.4300001</v>
      </c>
      <c r="C26" s="1">
        <v>1330817825.3399999</v>
      </c>
      <c r="D26" s="1">
        <v>1180112502.8599999</v>
      </c>
      <c r="E26" s="1">
        <v>1047384100.08</v>
      </c>
      <c r="F26" s="1">
        <v>948493620.50999999</v>
      </c>
      <c r="G26" s="1">
        <v>953475836.28999996</v>
      </c>
    </row>
    <row r="27" spans="1:9" x14ac:dyDescent="0.3">
      <c r="A27" s="72" t="s">
        <v>226</v>
      </c>
      <c r="B27" s="3">
        <f t="shared" ref="B27:D27" si="1">SUM(B16:B26)-B23-B24</f>
        <v>6657238725.6800003</v>
      </c>
      <c r="C27" s="3">
        <f t="shared" si="1"/>
        <v>5869044557.3500004</v>
      </c>
      <c r="D27" s="3">
        <f t="shared" si="1"/>
        <v>6532906149.3999996</v>
      </c>
      <c r="E27" s="3">
        <f>SUM(E16:E26)-E23-E24</f>
        <v>6191865732.3599997</v>
      </c>
      <c r="F27" s="3">
        <f>SUM(F16:F26)-F23-F24</f>
        <v>5849646018.3299999</v>
      </c>
      <c r="G27" s="3">
        <f>SUM(G16:G26)-G23-G24</f>
        <v>6277697525.04</v>
      </c>
    </row>
    <row r="28" spans="1:9" x14ac:dyDescent="0.3">
      <c r="A28" s="10" t="s">
        <v>265</v>
      </c>
      <c r="B28" s="11">
        <f t="shared" ref="B28:G28" si="2">B16+B17+B18</f>
        <v>-2450237417.0499997</v>
      </c>
      <c r="C28" s="11">
        <f t="shared" si="2"/>
        <v>-2105137551.55</v>
      </c>
      <c r="D28" s="11">
        <f t="shared" si="2"/>
        <v>-1273227412.99</v>
      </c>
      <c r="E28" s="11">
        <f t="shared" si="2"/>
        <v>-910715417.88999999</v>
      </c>
      <c r="F28" s="11">
        <f t="shared" si="2"/>
        <v>-532181819.84999996</v>
      </c>
      <c r="G28" s="11">
        <f t="shared" si="2"/>
        <v>99567494.670000017</v>
      </c>
    </row>
    <row r="29" spans="1:9" x14ac:dyDescent="0.3">
      <c r="E29" s="6">
        <f>E28/E27*100</f>
        <v>-14.708255269981205</v>
      </c>
      <c r="F29" s="6">
        <f>F28/F27*100</f>
        <v>-9.0976756231470421</v>
      </c>
      <c r="G29" s="6">
        <f>G28/G27*100</f>
        <v>1.5860511640271424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5" workbookViewId="0">
      <selection activeCell="E153" sqref="E15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4" t="s">
        <v>209</v>
      </c>
      <c r="B1" s="114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 x14ac:dyDescent="0.3">
      <c r="A2" t="s">
        <v>76</v>
      </c>
    </row>
    <row r="3" spans="1:8" x14ac:dyDescent="0.3">
      <c r="A3" s="8" t="s">
        <v>77</v>
      </c>
      <c r="B3" s="8" t="s">
        <v>78</v>
      </c>
      <c r="C3" s="9">
        <v>48</v>
      </c>
      <c r="D3" s="7">
        <v>11.21</v>
      </c>
      <c r="E3" s="7">
        <v>10.82</v>
      </c>
      <c r="F3" s="7">
        <v>10.29</v>
      </c>
      <c r="G3" s="7">
        <v>9.7799999999999994</v>
      </c>
      <c r="H3" s="7">
        <v>8.9</v>
      </c>
    </row>
    <row r="4" spans="1:8" x14ac:dyDescent="0.3">
      <c r="A4" t="s">
        <v>79</v>
      </c>
      <c r="D4" s="7"/>
      <c r="E4" s="7"/>
      <c r="F4" s="7"/>
      <c r="G4" s="7"/>
      <c r="H4" s="7"/>
    </row>
    <row r="5" spans="1:8" x14ac:dyDescent="0.3">
      <c r="A5" t="s">
        <v>80</v>
      </c>
      <c r="B5" t="s">
        <v>81</v>
      </c>
      <c r="D5" s="7">
        <v>104.97</v>
      </c>
      <c r="E5" s="7">
        <v>104.75</v>
      </c>
      <c r="F5" s="7">
        <v>106.92</v>
      </c>
      <c r="G5" s="7">
        <v>106.56</v>
      </c>
      <c r="H5" s="7">
        <v>111.7</v>
      </c>
    </row>
    <row r="6" spans="1:8" x14ac:dyDescent="0.3">
      <c r="A6" t="s">
        <v>82</v>
      </c>
      <c r="B6" t="s">
        <v>83</v>
      </c>
      <c r="D6" s="7">
        <v>99.78</v>
      </c>
      <c r="E6" s="7">
        <v>99.09</v>
      </c>
      <c r="F6" s="7">
        <v>99.09</v>
      </c>
      <c r="G6" s="7">
        <v>99.15</v>
      </c>
      <c r="H6" s="7">
        <v>98.42</v>
      </c>
    </row>
    <row r="7" spans="1:8" x14ac:dyDescent="0.3">
      <c r="A7" t="s">
        <v>84</v>
      </c>
      <c r="B7" t="s">
        <v>85</v>
      </c>
      <c r="D7" s="7">
        <v>95.82</v>
      </c>
      <c r="E7" s="7">
        <v>95.56</v>
      </c>
      <c r="F7" s="7">
        <v>96.31</v>
      </c>
      <c r="G7" s="7">
        <v>94.94</v>
      </c>
      <c r="H7" s="7">
        <v>95.72</v>
      </c>
    </row>
    <row r="8" spans="1:8" x14ac:dyDescent="0.3">
      <c r="A8" t="s">
        <v>86</v>
      </c>
      <c r="B8" t="s">
        <v>87</v>
      </c>
      <c r="D8" s="7">
        <v>91.08</v>
      </c>
      <c r="E8" s="7">
        <v>90.4</v>
      </c>
      <c r="F8" s="7">
        <v>89.26</v>
      </c>
      <c r="G8" s="7">
        <v>88.34</v>
      </c>
      <c r="H8" s="7">
        <v>84.33</v>
      </c>
    </row>
    <row r="9" spans="1:8" x14ac:dyDescent="0.3">
      <c r="A9" t="s">
        <v>88</v>
      </c>
      <c r="B9" t="s">
        <v>89</v>
      </c>
      <c r="D9" s="7">
        <v>101.18</v>
      </c>
      <c r="E9" s="7">
        <v>105.06</v>
      </c>
      <c r="F9" s="7">
        <v>107.94</v>
      </c>
      <c r="G9" s="7">
        <v>108.69</v>
      </c>
      <c r="H9" s="7">
        <v>11.74</v>
      </c>
    </row>
    <row r="10" spans="1:8" x14ac:dyDescent="0.3">
      <c r="A10" t="s">
        <v>90</v>
      </c>
      <c r="B10" t="s">
        <v>91</v>
      </c>
      <c r="D10" s="7">
        <v>96.66</v>
      </c>
      <c r="E10" s="7">
        <v>99.65</v>
      </c>
      <c r="F10" s="7">
        <v>100.8</v>
      </c>
      <c r="G10" s="7">
        <v>103.7</v>
      </c>
      <c r="H10" s="7">
        <v>103.35</v>
      </c>
    </row>
    <row r="11" spans="1:8" x14ac:dyDescent="0.3">
      <c r="A11" t="s">
        <v>92</v>
      </c>
      <c r="B11" t="s">
        <v>93</v>
      </c>
      <c r="D11" s="7">
        <v>93.18</v>
      </c>
      <c r="E11" s="7">
        <v>96.77</v>
      </c>
      <c r="F11" s="7">
        <v>95.62</v>
      </c>
      <c r="G11" s="7">
        <v>96.06</v>
      </c>
      <c r="H11" s="7">
        <v>97.94</v>
      </c>
    </row>
    <row r="12" spans="1:8" x14ac:dyDescent="0.3">
      <c r="A12" s="8" t="s">
        <v>94</v>
      </c>
      <c r="B12" s="8" t="s">
        <v>95</v>
      </c>
      <c r="C12" s="9">
        <v>22</v>
      </c>
      <c r="D12" s="7">
        <v>89.02</v>
      </c>
      <c r="E12" s="7">
        <v>91.79</v>
      </c>
      <c r="F12" s="7">
        <v>89.29</v>
      </c>
      <c r="G12" s="7">
        <v>91.65</v>
      </c>
      <c r="H12" s="7">
        <v>90.58</v>
      </c>
    </row>
    <row r="13" spans="1:8" x14ac:dyDescent="0.3">
      <c r="A13" t="s">
        <v>96</v>
      </c>
      <c r="D13" s="7"/>
      <c r="E13" s="7"/>
      <c r="F13" s="7"/>
      <c r="G13" s="7"/>
      <c r="H13" s="7"/>
    </row>
    <row r="14" spans="1:8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101</v>
      </c>
      <c r="D16" s="7"/>
      <c r="E16" s="7"/>
      <c r="F16" s="7"/>
      <c r="G16" s="7"/>
      <c r="H16" s="7"/>
    </row>
    <row r="17" spans="1:8" x14ac:dyDescent="0.3">
      <c r="A17" t="s">
        <v>102</v>
      </c>
      <c r="B17" t="s">
        <v>103</v>
      </c>
      <c r="D17" s="7">
        <v>1.82</v>
      </c>
      <c r="E17" s="7">
        <v>1.78</v>
      </c>
      <c r="F17" s="7">
        <v>1.81</v>
      </c>
      <c r="G17" s="7">
        <v>1.76</v>
      </c>
      <c r="H17" s="7">
        <v>1.61</v>
      </c>
    </row>
    <row r="18" spans="1:8" x14ac:dyDescent="0.3">
      <c r="A18" t="s">
        <v>104</v>
      </c>
      <c r="B18" t="s">
        <v>105</v>
      </c>
      <c r="D18" s="7">
        <v>16.46</v>
      </c>
      <c r="E18" s="7">
        <v>16.64</v>
      </c>
      <c r="F18" s="7">
        <v>17.2</v>
      </c>
      <c r="G18" s="7">
        <v>18.87</v>
      </c>
      <c r="H18" s="7">
        <v>20.23</v>
      </c>
    </row>
    <row r="19" spans="1:8" x14ac:dyDescent="0.3">
      <c r="A19" t="s">
        <v>106</v>
      </c>
      <c r="B19" t="s">
        <v>107</v>
      </c>
      <c r="D19" s="7">
        <v>18.82</v>
      </c>
      <c r="E19" s="7">
        <v>19.05</v>
      </c>
      <c r="F19" s="7">
        <v>14.42</v>
      </c>
      <c r="G19" s="7">
        <v>16.43</v>
      </c>
      <c r="H19" s="7">
        <v>19.989999999999998</v>
      </c>
    </row>
    <row r="20" spans="1:8" x14ac:dyDescent="0.3">
      <c r="A20" t="s">
        <v>108</v>
      </c>
      <c r="B20" t="s">
        <v>109</v>
      </c>
      <c r="D20" s="7">
        <v>41.26</v>
      </c>
      <c r="E20" s="7">
        <v>40.83</v>
      </c>
      <c r="F20" s="7">
        <v>42.25</v>
      </c>
      <c r="G20" s="7">
        <v>41.98</v>
      </c>
      <c r="H20" s="7">
        <v>41.04</v>
      </c>
    </row>
    <row r="21" spans="1:8" x14ac:dyDescent="0.3">
      <c r="A21" t="s">
        <v>110</v>
      </c>
      <c r="D21" s="7"/>
      <c r="E21" s="7"/>
      <c r="F21" s="7"/>
      <c r="G21" s="7"/>
      <c r="H21" s="7"/>
    </row>
    <row r="22" spans="1:8" x14ac:dyDescent="0.3">
      <c r="A22" t="s">
        <v>111</v>
      </c>
      <c r="B22" t="s">
        <v>112</v>
      </c>
      <c r="D22" s="7">
        <v>1.5</v>
      </c>
      <c r="E22" s="7">
        <v>1.64</v>
      </c>
      <c r="F22" s="7">
        <v>1.52</v>
      </c>
      <c r="G22" s="7">
        <v>1.57</v>
      </c>
      <c r="H22" s="7">
        <v>1.82</v>
      </c>
    </row>
    <row r="23" spans="1:8" x14ac:dyDescent="0.3">
      <c r="A23" t="s">
        <v>113</v>
      </c>
      <c r="D23" s="7"/>
      <c r="E23" s="7"/>
      <c r="F23" s="7"/>
      <c r="G23" s="7"/>
      <c r="H23" s="7"/>
    </row>
    <row r="24" spans="1:8" x14ac:dyDescent="0.3">
      <c r="A24" t="s">
        <v>114</v>
      </c>
      <c r="B24" t="s">
        <v>115</v>
      </c>
      <c r="D24" s="7">
        <v>0.59</v>
      </c>
      <c r="E24" s="7">
        <v>0.54</v>
      </c>
      <c r="F24" s="7">
        <v>0.49</v>
      </c>
      <c r="G24" s="7">
        <v>0.45</v>
      </c>
      <c r="H24" s="7">
        <v>0.4</v>
      </c>
    </row>
    <row r="25" spans="1:8" x14ac:dyDescent="0.3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118</v>
      </c>
      <c r="B26" t="s">
        <v>119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3">
      <c r="A27" t="s">
        <v>120</v>
      </c>
      <c r="D27" s="7"/>
      <c r="E27" s="7"/>
      <c r="F27" s="7"/>
      <c r="G27" s="7"/>
      <c r="H27" s="7"/>
    </row>
    <row r="28" spans="1:8" x14ac:dyDescent="0.3">
      <c r="A28" t="s">
        <v>121</v>
      </c>
      <c r="B28" t="s">
        <v>122</v>
      </c>
      <c r="D28" s="7">
        <v>2.75</v>
      </c>
      <c r="E28" s="7">
        <v>2.99</v>
      </c>
      <c r="F28" s="7">
        <v>3.48</v>
      </c>
      <c r="G28" s="7">
        <v>3.49</v>
      </c>
      <c r="H28" s="7">
        <v>3.4</v>
      </c>
    </row>
    <row r="29" spans="1:8" x14ac:dyDescent="0.3">
      <c r="A29" t="s">
        <v>123</v>
      </c>
      <c r="B29" t="s">
        <v>124</v>
      </c>
      <c r="D29" s="7">
        <v>17.989999999999998</v>
      </c>
      <c r="E29" s="7">
        <v>9.11</v>
      </c>
      <c r="F29" s="7">
        <v>11.5</v>
      </c>
      <c r="G29" s="7">
        <v>13.19</v>
      </c>
      <c r="H29" s="7">
        <v>16.95</v>
      </c>
    </row>
    <row r="30" spans="1:8" x14ac:dyDescent="0.3">
      <c r="A30" t="s">
        <v>125</v>
      </c>
      <c r="B30" t="s">
        <v>126</v>
      </c>
      <c r="D30" s="7">
        <v>46.58</v>
      </c>
      <c r="E30" s="7">
        <v>62.1</v>
      </c>
      <c r="F30" s="7">
        <v>73.25</v>
      </c>
      <c r="G30" s="7">
        <v>73.430000000000007</v>
      </c>
      <c r="H30" s="7">
        <v>73.319999999999993</v>
      </c>
    </row>
    <row r="31" spans="1:8" x14ac:dyDescent="0.3">
      <c r="A31" t="s">
        <v>127</v>
      </c>
      <c r="B31" t="s">
        <v>128</v>
      </c>
      <c r="D31" s="7">
        <v>64.569999999999993</v>
      </c>
      <c r="E31" s="7">
        <v>71.209999999999994</v>
      </c>
      <c r="F31" s="7">
        <v>84.76</v>
      </c>
      <c r="G31" s="7">
        <v>86.62</v>
      </c>
      <c r="H31" s="7">
        <v>90.27</v>
      </c>
    </row>
    <row r="32" spans="1:8" x14ac:dyDescent="0.3">
      <c r="A32" t="s">
        <v>129</v>
      </c>
      <c r="B32" t="s">
        <v>130</v>
      </c>
      <c r="D32" s="7">
        <v>24.62</v>
      </c>
      <c r="E32" s="7">
        <v>25.63</v>
      </c>
      <c r="F32" s="7">
        <v>33.31</v>
      </c>
      <c r="G32" s="7">
        <v>38.68</v>
      </c>
      <c r="H32" s="7">
        <v>32.630000000000003</v>
      </c>
    </row>
    <row r="33" spans="1:8" x14ac:dyDescent="0.3">
      <c r="A33" t="s">
        <v>131</v>
      </c>
      <c r="B33" t="s">
        <v>132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x14ac:dyDescent="0.3">
      <c r="A34" t="s">
        <v>133</v>
      </c>
      <c r="B34" t="s">
        <v>134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1:8" x14ac:dyDescent="0.3">
      <c r="A35" t="s">
        <v>135</v>
      </c>
      <c r="D35" s="7"/>
      <c r="E35" s="7"/>
      <c r="F35" s="7"/>
      <c r="G35" s="7"/>
      <c r="H35" s="7"/>
    </row>
    <row r="36" spans="1:8" x14ac:dyDescent="0.3">
      <c r="A36" t="s">
        <v>136</v>
      </c>
      <c r="B36" t="s">
        <v>137</v>
      </c>
      <c r="D36" s="7">
        <v>47.8</v>
      </c>
      <c r="E36" s="7">
        <v>47.69</v>
      </c>
      <c r="F36" s="7">
        <v>57.77</v>
      </c>
      <c r="G36" s="7">
        <v>47.76</v>
      </c>
      <c r="H36" s="7">
        <v>62.05</v>
      </c>
    </row>
    <row r="37" spans="1:8" x14ac:dyDescent="0.3">
      <c r="A37" t="s">
        <v>138</v>
      </c>
      <c r="B37" t="s">
        <v>139</v>
      </c>
      <c r="D37" s="7">
        <v>24.21</v>
      </c>
      <c r="E37" s="7">
        <v>38.28</v>
      </c>
      <c r="F37" s="7">
        <v>47.02</v>
      </c>
      <c r="G37" s="7">
        <v>52.14</v>
      </c>
      <c r="H37" s="7">
        <v>46</v>
      </c>
    </row>
    <row r="38" spans="1:8" x14ac:dyDescent="0.3">
      <c r="A38" t="s">
        <v>140</v>
      </c>
      <c r="B38" t="s">
        <v>141</v>
      </c>
      <c r="D38" s="7">
        <v>97.43</v>
      </c>
      <c r="E38" s="7">
        <v>96.59</v>
      </c>
      <c r="F38" s="7">
        <v>0</v>
      </c>
      <c r="G38" s="7">
        <v>36.07</v>
      </c>
      <c r="H38" s="7">
        <v>41.37</v>
      </c>
    </row>
    <row r="39" spans="1:8" x14ac:dyDescent="0.3">
      <c r="A39" t="s">
        <v>142</v>
      </c>
      <c r="B39" t="s">
        <v>143</v>
      </c>
      <c r="D39" s="7">
        <v>47.42</v>
      </c>
      <c r="E39" s="7">
        <v>42.1</v>
      </c>
      <c r="F39" s="7">
        <v>42.37</v>
      </c>
      <c r="G39" s="7">
        <v>34.61</v>
      </c>
      <c r="H39" s="7">
        <v>56.26</v>
      </c>
    </row>
    <row r="40" spans="1:8" x14ac:dyDescent="0.3">
      <c r="A40" t="s">
        <v>144</v>
      </c>
      <c r="B40" t="s">
        <v>145</v>
      </c>
      <c r="D40" s="7">
        <v>11.84</v>
      </c>
      <c r="E40" s="7">
        <v>28.86</v>
      </c>
      <c r="F40" s="7">
        <v>33.07</v>
      </c>
      <c r="G40" s="7">
        <v>36.74</v>
      </c>
      <c r="H40" s="7">
        <v>25.91</v>
      </c>
    </row>
    <row r="41" spans="1:8" x14ac:dyDescent="0.3">
      <c r="A41" t="s">
        <v>146</v>
      </c>
      <c r="B41" t="s">
        <v>147</v>
      </c>
      <c r="D41" s="7">
        <v>85.94</v>
      </c>
      <c r="E41" s="7">
        <v>79</v>
      </c>
      <c r="F41" s="7">
        <v>92.74</v>
      </c>
      <c r="G41" s="7">
        <v>100</v>
      </c>
      <c r="H41" s="7">
        <v>92.37</v>
      </c>
    </row>
    <row r="42" spans="1:8" x14ac:dyDescent="0.3">
      <c r="A42" t="s">
        <v>148</v>
      </c>
      <c r="D42" s="7"/>
      <c r="E42" s="7"/>
      <c r="F42" s="7"/>
      <c r="G42" s="7"/>
      <c r="H42" s="7"/>
    </row>
    <row r="43" spans="1:8" x14ac:dyDescent="0.3">
      <c r="A43" t="s">
        <v>149</v>
      </c>
      <c r="B43" t="s">
        <v>150</v>
      </c>
      <c r="D43" s="7">
        <v>81.77</v>
      </c>
      <c r="E43" s="7">
        <v>81.459999999999994</v>
      </c>
      <c r="F43" s="7">
        <v>82.12</v>
      </c>
      <c r="G43" s="7">
        <v>82.52</v>
      </c>
      <c r="H43" s="7">
        <v>82.64</v>
      </c>
    </row>
    <row r="44" spans="1:8" x14ac:dyDescent="0.3">
      <c r="A44" t="s">
        <v>151</v>
      </c>
      <c r="B44" t="s">
        <v>152</v>
      </c>
      <c r="D44" s="7">
        <v>69.27</v>
      </c>
      <c r="E44" s="7">
        <v>66.430000000000007</v>
      </c>
      <c r="F44" s="7">
        <v>62.58</v>
      </c>
      <c r="G44" s="7">
        <v>71.790000000000006</v>
      </c>
      <c r="H44" s="7">
        <v>69.540000000000006</v>
      </c>
    </row>
    <row r="45" spans="1:8" x14ac:dyDescent="0.3">
      <c r="A45" t="s">
        <v>153</v>
      </c>
      <c r="B45" t="s">
        <v>154</v>
      </c>
      <c r="D45" s="7">
        <v>92.97</v>
      </c>
      <c r="E45" s="7">
        <v>93.13</v>
      </c>
      <c r="F45" s="7">
        <v>93.88</v>
      </c>
      <c r="G45" s="7">
        <v>94.73</v>
      </c>
      <c r="H45" s="7">
        <v>91.6</v>
      </c>
    </row>
    <row r="46" spans="1:8" x14ac:dyDescent="0.3">
      <c r="A46" t="s">
        <v>155</v>
      </c>
      <c r="B46" t="s">
        <v>156</v>
      </c>
      <c r="D46" s="7">
        <v>54.81</v>
      </c>
      <c r="E46" s="7">
        <v>42.13</v>
      </c>
      <c r="F46" s="7">
        <v>61.76</v>
      </c>
      <c r="G46" s="7">
        <v>38.31</v>
      </c>
      <c r="H46" s="7">
        <v>38.79</v>
      </c>
    </row>
    <row r="47" spans="1:8" x14ac:dyDescent="0.3">
      <c r="A47" t="s">
        <v>157</v>
      </c>
      <c r="B47" t="s">
        <v>158</v>
      </c>
      <c r="D47" s="7">
        <v>-3.2</v>
      </c>
      <c r="E47" s="7">
        <v>-8.4600000000000009</v>
      </c>
      <c r="F47" s="7">
        <v>-10.02</v>
      </c>
      <c r="G47" s="7">
        <v>-12.44</v>
      </c>
      <c r="H47" s="7">
        <v>-17.920000000000002</v>
      </c>
    </row>
    <row r="48" spans="1:8" x14ac:dyDescent="0.3">
      <c r="A48" t="s">
        <v>159</v>
      </c>
      <c r="D48" s="7"/>
      <c r="E48" s="7"/>
      <c r="F48" s="7"/>
      <c r="G48" s="7"/>
      <c r="H48" s="7"/>
    </row>
    <row r="49" spans="1:8" x14ac:dyDescent="0.3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3">
      <c r="A50" t="s">
        <v>162</v>
      </c>
      <c r="B50" t="s">
        <v>163</v>
      </c>
      <c r="D50" s="7">
        <v>15.75</v>
      </c>
      <c r="E50" s="7">
        <v>14.59</v>
      </c>
      <c r="F50" s="7">
        <v>14.53</v>
      </c>
      <c r="G50" s="7">
        <v>13.39</v>
      </c>
      <c r="H50" s="7">
        <v>10.050000000000001</v>
      </c>
    </row>
    <row r="51" spans="1:8" x14ac:dyDescent="0.3">
      <c r="A51" s="8" t="s">
        <v>164</v>
      </c>
      <c r="B51" s="8" t="s">
        <v>165</v>
      </c>
      <c r="C51" s="9">
        <v>16</v>
      </c>
      <c r="D51" s="7">
        <v>1.2</v>
      </c>
      <c r="E51" s="7">
        <v>1.17</v>
      </c>
      <c r="F51" s="7">
        <v>1.07</v>
      </c>
      <c r="G51" s="7">
        <v>1.02</v>
      </c>
      <c r="H51" s="7">
        <v>0.78</v>
      </c>
    </row>
    <row r="52" spans="1:8" x14ac:dyDescent="0.3">
      <c r="A52" t="s">
        <v>166</v>
      </c>
      <c r="B52" t="s">
        <v>167</v>
      </c>
      <c r="D52" s="7">
        <v>151.87</v>
      </c>
      <c r="E52" s="7">
        <v>151.77000000000001</v>
      </c>
      <c r="F52" s="7">
        <v>134.34</v>
      </c>
      <c r="G52" s="7">
        <v>839.97333657960348</v>
      </c>
      <c r="H52" s="7">
        <v>285.34070157179946</v>
      </c>
    </row>
    <row r="53" spans="1:8" x14ac:dyDescent="0.3">
      <c r="A53" t="s">
        <v>168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169</v>
      </c>
      <c r="B54" t="s">
        <v>170</v>
      </c>
      <c r="D54" s="7">
        <v>0</v>
      </c>
      <c r="E54" s="7">
        <v>0</v>
      </c>
      <c r="F54" s="7">
        <v>0</v>
      </c>
      <c r="G54" s="7">
        <v>-355.45790701457111</v>
      </c>
      <c r="H54" s="7">
        <v>-284.59954620613956</v>
      </c>
    </row>
    <row r="55" spans="1:8" x14ac:dyDescent="0.3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1.6721023643556914</v>
      </c>
      <c r="H55" s="7">
        <v>1.4358737345411758</v>
      </c>
    </row>
    <row r="56" spans="1:8" x14ac:dyDescent="0.3">
      <c r="A56" t="s">
        <v>173</v>
      </c>
      <c r="B56" t="s">
        <v>174</v>
      </c>
      <c r="D56" s="7">
        <v>0</v>
      </c>
      <c r="E56" s="7">
        <v>0</v>
      </c>
      <c r="F56" s="7">
        <v>0</v>
      </c>
      <c r="G56" s="7">
        <v>274.92160141172775</v>
      </c>
      <c r="H56" s="7">
        <v>234.963246293103</v>
      </c>
    </row>
    <row r="57" spans="1:8" x14ac:dyDescent="0.3">
      <c r="A57" t="s">
        <v>175</v>
      </c>
      <c r="B57" t="s">
        <v>176</v>
      </c>
      <c r="D57" s="7">
        <v>0</v>
      </c>
      <c r="E57" s="7">
        <v>0</v>
      </c>
      <c r="F57" s="7">
        <v>0</v>
      </c>
      <c r="G57" s="7">
        <v>178.86420323848759</v>
      </c>
      <c r="H57" s="7">
        <v>148.20042617849543</v>
      </c>
    </row>
    <row r="58" spans="1:8" x14ac:dyDescent="0.3">
      <c r="A58" t="s">
        <v>177</v>
      </c>
      <c r="D58" s="7"/>
      <c r="E58" s="7"/>
      <c r="F58" s="7"/>
      <c r="G58" s="7"/>
      <c r="H58" s="7"/>
    </row>
    <row r="59" spans="1:8" x14ac:dyDescent="0.3">
      <c r="A59" t="s">
        <v>178</v>
      </c>
      <c r="B59" t="s">
        <v>179</v>
      </c>
      <c r="D59" s="7">
        <v>0</v>
      </c>
      <c r="E59" s="7">
        <v>0</v>
      </c>
      <c r="F59" s="7">
        <v>0</v>
      </c>
      <c r="G59" s="7">
        <v>16.101677927933487</v>
      </c>
      <c r="H59" s="7">
        <v>6.7620677522478063</v>
      </c>
    </row>
    <row r="60" spans="1:8" x14ac:dyDescent="0.3">
      <c r="A60" t="s">
        <v>180</v>
      </c>
      <c r="B60" t="s">
        <v>181</v>
      </c>
      <c r="D60" s="7"/>
      <c r="E60" s="7"/>
      <c r="F60" s="7"/>
      <c r="G60" s="7">
        <v>-16.101677927933487</v>
      </c>
      <c r="H60" s="7">
        <v>-6.7620677522478063</v>
      </c>
    </row>
    <row r="61" spans="1:8" x14ac:dyDescent="0.3">
      <c r="A61" t="s">
        <v>182</v>
      </c>
      <c r="B61" t="s">
        <v>183</v>
      </c>
      <c r="D61" s="7">
        <v>0</v>
      </c>
      <c r="E61" s="7">
        <v>0</v>
      </c>
      <c r="F61" s="7">
        <v>0</v>
      </c>
      <c r="G61" s="7">
        <v>100</v>
      </c>
      <c r="H61" s="7">
        <v>1463.469030509855</v>
      </c>
    </row>
    <row r="62" spans="1:8" x14ac:dyDescent="0.3">
      <c r="A62" s="8" t="s">
        <v>184</v>
      </c>
      <c r="B62" s="8" t="s">
        <v>185</v>
      </c>
      <c r="C62" s="9">
        <v>1.2</v>
      </c>
      <c r="D62" s="7">
        <v>14.456585420128325</v>
      </c>
      <c r="E62" s="7">
        <v>14.456585420128325</v>
      </c>
      <c r="F62" s="7">
        <v>11.693011738732288</v>
      </c>
      <c r="G62" s="7">
        <v>9.0454614217547604</v>
      </c>
      <c r="H62" s="7">
        <v>-6.1920253998470436</v>
      </c>
    </row>
    <row r="63" spans="1:8" x14ac:dyDescent="0.3">
      <c r="A63" t="s">
        <v>352</v>
      </c>
      <c r="B63" t="s">
        <v>353</v>
      </c>
      <c r="C63" s="7"/>
      <c r="D63" s="7">
        <v>100</v>
      </c>
      <c r="E63" s="7">
        <v>100</v>
      </c>
      <c r="F63" s="7">
        <v>100</v>
      </c>
      <c r="G63" s="7">
        <v>100</v>
      </c>
      <c r="H63" s="7">
        <v>100</v>
      </c>
    </row>
    <row r="64" spans="1:8" x14ac:dyDescent="0.3">
      <c r="A64" t="s">
        <v>186</v>
      </c>
      <c r="D64" s="7"/>
      <c r="E64" s="7"/>
      <c r="F64" s="7"/>
      <c r="G64" s="7"/>
      <c r="H64" s="7"/>
    </row>
    <row r="65" spans="1:8" x14ac:dyDescent="0.3">
      <c r="A65" s="8" t="s">
        <v>187</v>
      </c>
      <c r="B65" s="8" t="s">
        <v>188</v>
      </c>
      <c r="C65" s="9">
        <v>1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1:8" x14ac:dyDescent="0.3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193</v>
      </c>
      <c r="D68" s="7"/>
      <c r="E68" s="7"/>
      <c r="F68" s="7"/>
      <c r="G68" s="7"/>
      <c r="H68" s="7"/>
    </row>
    <row r="69" spans="1:8" x14ac:dyDescent="0.3">
      <c r="A69" t="s">
        <v>194</v>
      </c>
      <c r="B69" t="s">
        <v>195</v>
      </c>
      <c r="D69" s="7">
        <v>32.21</v>
      </c>
      <c r="E69" s="7">
        <v>28.7</v>
      </c>
      <c r="F69" s="30">
        <v>30.8</v>
      </c>
      <c r="G69" s="30">
        <v>24.43</v>
      </c>
      <c r="H69" s="30">
        <v>27.72</v>
      </c>
    </row>
    <row r="70" spans="1:8" x14ac:dyDescent="0.3">
      <c r="A70" t="s">
        <v>196</v>
      </c>
      <c r="D70" s="7"/>
      <c r="E70" s="7"/>
      <c r="F70" s="7"/>
      <c r="G70" s="7"/>
      <c r="H70" s="7"/>
    </row>
    <row r="71" spans="1:8" x14ac:dyDescent="0.3">
      <c r="A71" t="s">
        <v>197</v>
      </c>
      <c r="B71" t="s">
        <v>198</v>
      </c>
      <c r="D71" s="7">
        <v>1.2</v>
      </c>
      <c r="E71" s="30">
        <v>1.18</v>
      </c>
      <c r="F71" s="7">
        <v>1.93</v>
      </c>
      <c r="G71" s="7">
        <v>1.1599999999999999</v>
      </c>
      <c r="H71" s="7">
        <v>1.02</v>
      </c>
    </row>
    <row r="72" spans="1:8" x14ac:dyDescent="0.3">
      <c r="A72" t="s">
        <v>199</v>
      </c>
      <c r="B72" t="s">
        <v>200</v>
      </c>
      <c r="D72" s="7">
        <v>1.25</v>
      </c>
      <c r="E72" s="30">
        <v>1.22</v>
      </c>
      <c r="F72" s="7">
        <v>2.02</v>
      </c>
      <c r="G72" s="7">
        <v>1.21</v>
      </c>
      <c r="H72" s="7">
        <v>1.06</v>
      </c>
    </row>
    <row r="73" spans="1:8" x14ac:dyDescent="0.3">
      <c r="A73" t="s">
        <v>303</v>
      </c>
      <c r="D73" s="7"/>
      <c r="E73" s="7"/>
      <c r="F73" s="7"/>
      <c r="G73" s="7"/>
      <c r="H73" s="7"/>
    </row>
    <row r="74" spans="1:8" x14ac:dyDescent="0.3">
      <c r="B74" t="s">
        <v>201</v>
      </c>
      <c r="D74" s="7">
        <v>72.53</v>
      </c>
      <c r="E74" s="7">
        <v>70.39</v>
      </c>
      <c r="F74" s="7">
        <v>72.709999999999994</v>
      </c>
      <c r="G74" s="7">
        <v>75.89</v>
      </c>
      <c r="H74" s="7">
        <v>79.45</v>
      </c>
    </row>
    <row r="75" spans="1:8" x14ac:dyDescent="0.3">
      <c r="B75" t="s">
        <v>202</v>
      </c>
      <c r="D75" s="7">
        <v>73.430000000000007</v>
      </c>
      <c r="E75" s="7">
        <v>82.4</v>
      </c>
      <c r="F75" s="7">
        <v>83.31</v>
      </c>
      <c r="G75" s="7">
        <v>88.95</v>
      </c>
      <c r="H75" s="7">
        <v>85.98</v>
      </c>
    </row>
    <row r="76" spans="1:8" x14ac:dyDescent="0.3">
      <c r="B76" t="s">
        <v>203</v>
      </c>
      <c r="D76" s="7">
        <v>72.23</v>
      </c>
      <c r="E76" s="7">
        <v>40.549999999999997</v>
      </c>
      <c r="F76" s="7">
        <v>46.82</v>
      </c>
      <c r="G76" s="7">
        <v>41.85</v>
      </c>
      <c r="H76" s="7">
        <v>59.44</v>
      </c>
    </row>
    <row r="77" spans="1:8" x14ac:dyDescent="0.3">
      <c r="A77" s="8" t="s">
        <v>36</v>
      </c>
      <c r="B77" s="8"/>
      <c r="C77" s="9">
        <v>47</v>
      </c>
      <c r="D77" s="7">
        <v>74.392310629328506</v>
      </c>
      <c r="E77" s="7">
        <v>71.621571587127974</v>
      </c>
      <c r="F77" s="30">
        <v>74.61878009081218</v>
      </c>
      <c r="G77" s="30">
        <v>77.631096386458481</v>
      </c>
      <c r="H77" s="30">
        <v>80.519169701301379</v>
      </c>
    </row>
    <row r="78" spans="1:8" x14ac:dyDescent="0.3">
      <c r="A78" s="31" t="s">
        <v>333</v>
      </c>
      <c r="B78" s="31"/>
      <c r="C78" s="63"/>
      <c r="D78" s="30">
        <v>69.89502619315482</v>
      </c>
      <c r="E78" s="30">
        <v>67.564652872612029</v>
      </c>
      <c r="F78" s="30">
        <v>71.475237299352841</v>
      </c>
      <c r="G78" s="30">
        <v>75.064632794940096</v>
      </c>
      <c r="H78" s="30">
        <v>77.659802301304936</v>
      </c>
    </row>
    <row r="79" spans="1:8" x14ac:dyDescent="0.3">
      <c r="A79" t="s">
        <v>266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204</v>
      </c>
      <c r="D80" s="7">
        <v>0.76078822649039646</v>
      </c>
      <c r="E80" s="7">
        <v>0.67218821269955598</v>
      </c>
      <c r="F80" s="30">
        <v>0.69273218269343662</v>
      </c>
      <c r="G80" s="30">
        <v>0.67028776147001035</v>
      </c>
      <c r="H80" s="30">
        <v>0.62900545929266549</v>
      </c>
    </row>
    <row r="81" spans="1:8" x14ac:dyDescent="0.3">
      <c r="A81">
        <v>9</v>
      </c>
      <c r="B81" t="s">
        <v>345</v>
      </c>
      <c r="D81" s="7">
        <v>1.0725866799700672</v>
      </c>
      <c r="E81" s="7">
        <v>1.1403192894010321</v>
      </c>
      <c r="F81" s="30">
        <v>1.1271574498062698</v>
      </c>
      <c r="G81" s="30">
        <v>1.6063792904195078</v>
      </c>
      <c r="H81" s="30">
        <v>0.90197009257061478</v>
      </c>
    </row>
    <row r="82" spans="1:8" x14ac:dyDescent="0.3">
      <c r="A82">
        <v>10</v>
      </c>
      <c r="B82" t="s">
        <v>205</v>
      </c>
      <c r="D82" s="7">
        <v>6.1985532551758542</v>
      </c>
      <c r="E82" s="7">
        <v>6.5418317128796062</v>
      </c>
      <c r="F82" s="30">
        <v>5.8471292708700249</v>
      </c>
      <c r="G82" s="30">
        <v>6.1481567086559581</v>
      </c>
      <c r="H82" s="30">
        <v>6.1001661523854729</v>
      </c>
    </row>
    <row r="83" spans="1:8" x14ac:dyDescent="0.3">
      <c r="A83">
        <v>12</v>
      </c>
      <c r="B83" t="s">
        <v>206</v>
      </c>
      <c r="D83" s="7">
        <v>1.2846096283362434</v>
      </c>
      <c r="E83" s="7">
        <v>1.1283159284599686</v>
      </c>
      <c r="F83" s="30">
        <v>1.4676529294352472</v>
      </c>
      <c r="G83" s="30">
        <v>1.3521322084826071</v>
      </c>
      <c r="H83" s="30">
        <v>2.1837170662235934</v>
      </c>
    </row>
    <row r="84" spans="1:8" x14ac:dyDescent="0.3">
      <c r="A84">
        <v>13</v>
      </c>
      <c r="B84" t="s">
        <v>354</v>
      </c>
      <c r="D84" s="7">
        <v>80.144674482414572</v>
      </c>
      <c r="E84" s="7">
        <v>80.818629216180526</v>
      </c>
      <c r="F84" s="30">
        <v>78.71316191147119</v>
      </c>
      <c r="G84" s="30">
        <v>78.412111406448631</v>
      </c>
      <c r="H84" s="30">
        <v>78.067885117493475</v>
      </c>
    </row>
    <row r="85" spans="1:8" x14ac:dyDescent="0.3">
      <c r="A85" t="s">
        <v>207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204</v>
      </c>
      <c r="D86" s="7">
        <v>95.92</v>
      </c>
      <c r="E86" s="7">
        <v>90.85</v>
      </c>
      <c r="F86" s="7">
        <v>94.3</v>
      </c>
      <c r="G86" s="7">
        <v>94.46</v>
      </c>
      <c r="H86" s="7">
        <v>79.52</v>
      </c>
    </row>
    <row r="87" spans="1:8" x14ac:dyDescent="0.3">
      <c r="A87">
        <v>9</v>
      </c>
      <c r="B87" t="s">
        <v>345</v>
      </c>
      <c r="D87" s="7">
        <v>60.35</v>
      </c>
      <c r="E87" s="7">
        <v>69.06</v>
      </c>
      <c r="F87" s="7">
        <v>67.42</v>
      </c>
      <c r="G87" s="7">
        <v>70.81</v>
      </c>
      <c r="H87" s="7">
        <v>75.3</v>
      </c>
    </row>
    <row r="88" spans="1:8" x14ac:dyDescent="0.3">
      <c r="A88">
        <v>10</v>
      </c>
      <c r="B88" t="s">
        <v>205</v>
      </c>
      <c r="D88" s="7">
        <v>90.15</v>
      </c>
      <c r="E88" s="7">
        <v>85.42</v>
      </c>
      <c r="F88" s="7">
        <v>92.06</v>
      </c>
      <c r="G88" s="7">
        <v>86.08</v>
      </c>
      <c r="H88" s="7">
        <v>87.82</v>
      </c>
    </row>
    <row r="89" spans="1:8" x14ac:dyDescent="0.3">
      <c r="A89">
        <v>12</v>
      </c>
      <c r="B89" t="s">
        <v>206</v>
      </c>
      <c r="D89" s="7">
        <v>49.51</v>
      </c>
      <c r="E89" s="7">
        <v>69.069999999999993</v>
      </c>
      <c r="F89" s="7">
        <v>79.37</v>
      </c>
      <c r="G89" s="7">
        <v>84.23</v>
      </c>
      <c r="H89" s="7">
        <v>85.13</v>
      </c>
    </row>
    <row r="90" spans="1:8" x14ac:dyDescent="0.3">
      <c r="A90">
        <v>13</v>
      </c>
      <c r="B90" t="s">
        <v>354</v>
      </c>
      <c r="D90" s="7">
        <v>86</v>
      </c>
      <c r="E90" s="7">
        <v>86.26</v>
      </c>
      <c r="F90" s="7">
        <v>90.58</v>
      </c>
      <c r="G90" s="7">
        <v>89.93</v>
      </c>
      <c r="H90" s="7">
        <v>87.93</v>
      </c>
    </row>
    <row r="91" spans="1:8" x14ac:dyDescent="0.3">
      <c r="B91" s="68" t="s">
        <v>357</v>
      </c>
      <c r="D91" s="7"/>
      <c r="E91" s="7"/>
      <c r="F91" s="7"/>
      <c r="G91" s="7"/>
      <c r="H91" s="7"/>
    </row>
    <row r="92" spans="1:8" x14ac:dyDescent="0.3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301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302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158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167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300</v>
      </c>
    </row>
    <row r="182" spans="2:8" x14ac:dyDescent="0.3">
      <c r="E182" s="31"/>
    </row>
    <row r="202" spans="2:2" x14ac:dyDescent="0.3">
      <c r="B202" s="39" t="s">
        <v>266</v>
      </c>
    </row>
    <row r="221" spans="2:2" x14ac:dyDescent="0.3">
      <c r="B221" s="39" t="s">
        <v>207</v>
      </c>
    </row>
  </sheetData>
  <mergeCells count="1">
    <mergeCell ref="A1:B1"/>
  </mergeCells>
  <conditionalFormatting sqref="D3">
    <cfRule type="cellIs" dxfId="39" priority="37" operator="greaterThan">
      <formula>$C3</formula>
    </cfRule>
  </conditionalFormatting>
  <conditionalFormatting sqref="D12">
    <cfRule type="cellIs" dxfId="38" priority="35" operator="lessThan">
      <formula>$C12</formula>
    </cfRule>
  </conditionalFormatting>
  <conditionalFormatting sqref="D15:F15 H15">
    <cfRule type="cellIs" dxfId="37" priority="33" operator="greaterThan">
      <formula>$C$15</formula>
    </cfRule>
  </conditionalFormatting>
  <conditionalFormatting sqref="E3:F3 H3">
    <cfRule type="cellIs" dxfId="36" priority="29" operator="greaterThan">
      <formula>$C3</formula>
    </cfRule>
  </conditionalFormatting>
  <conditionalFormatting sqref="D51:F51 H51">
    <cfRule type="cellIs" dxfId="35" priority="28" operator="greaterThan">
      <formula>$C51</formula>
    </cfRule>
  </conditionalFormatting>
  <conditionalFormatting sqref="D62:F63 H62:H63">
    <cfRule type="cellIs" dxfId="34" priority="27" operator="greaterThan">
      <formula>$C62</formula>
    </cfRule>
  </conditionalFormatting>
  <conditionalFormatting sqref="D65:F65 H65">
    <cfRule type="cellIs" dxfId="33" priority="26" operator="greaterThan">
      <formula>$C65</formula>
    </cfRule>
  </conditionalFormatting>
  <conditionalFormatting sqref="E12:F12 H12">
    <cfRule type="cellIs" dxfId="32" priority="25" operator="lessThan">
      <formula>$C12</formula>
    </cfRule>
  </conditionalFormatting>
  <conditionalFormatting sqref="D77:F78">
    <cfRule type="cellIs" dxfId="31" priority="24" operator="lessThan">
      <formula>$C77</formula>
    </cfRule>
  </conditionalFormatting>
  <conditionalFormatting sqref="E77:F78 H77:H78">
    <cfRule type="cellIs" dxfId="30" priority="23" operator="lessThan">
      <formula>$C77</formula>
    </cfRule>
  </conditionalFormatting>
  <conditionalFormatting sqref="D66">
    <cfRule type="expression" dxfId="29" priority="14">
      <formula>D$66+D$67&gt;=$C$67</formula>
    </cfRule>
  </conditionalFormatting>
  <conditionalFormatting sqref="E66:F66 H66">
    <cfRule type="expression" dxfId="28" priority="13">
      <formula>E$66+E$67&gt;=$C$67</formula>
    </cfRule>
  </conditionalFormatting>
  <conditionalFormatting sqref="D67">
    <cfRule type="expression" dxfId="27" priority="12">
      <formula>D$66+D$67&gt;=$C$67</formula>
    </cfRule>
  </conditionalFormatting>
  <conditionalFormatting sqref="E67:F67 H67">
    <cfRule type="expression" dxfId="26" priority="11">
      <formula>E$66+E$67&gt;=$C$67</formula>
    </cfRule>
  </conditionalFormatting>
  <conditionalFormatting sqref="C63">
    <cfRule type="cellIs" dxfId="25" priority="10" operator="greaterThan">
      <formula>$C63</formula>
    </cfRule>
  </conditionalFormatting>
  <conditionalFormatting sqref="G15">
    <cfRule type="cellIs" dxfId="24" priority="9" operator="greaterThan">
      <formula>$C$15</formula>
    </cfRule>
  </conditionalFormatting>
  <conditionalFormatting sqref="G3">
    <cfRule type="cellIs" dxfId="23" priority="8" operator="greaterThan">
      <formula>$C3</formula>
    </cfRule>
  </conditionalFormatting>
  <conditionalFormatting sqref="G51">
    <cfRule type="cellIs" dxfId="22" priority="7" operator="greaterThan">
      <formula>$C51</formula>
    </cfRule>
  </conditionalFormatting>
  <conditionalFormatting sqref="G62:G63">
    <cfRule type="cellIs" dxfId="21" priority="6" operator="greaterThan">
      <formula>$C62</formula>
    </cfRule>
  </conditionalFormatting>
  <conditionalFormatting sqref="G65">
    <cfRule type="cellIs" dxfId="20" priority="5" operator="greaterThan">
      <formula>$C65</formula>
    </cfRule>
  </conditionalFormatting>
  <conditionalFormatting sqref="G12">
    <cfRule type="cellIs" dxfId="19" priority="4" operator="lessThan">
      <formula>$C12</formula>
    </cfRule>
  </conditionalFormatting>
  <conditionalFormatting sqref="G77:G78">
    <cfRule type="cellIs" dxfId="18" priority="3" operator="lessThan">
      <formula>$C77</formula>
    </cfRule>
  </conditionalFormatting>
  <conditionalFormatting sqref="G66">
    <cfRule type="expression" dxfId="17" priority="2">
      <formula>G$66+G$67&gt;=$C$67</formula>
    </cfRule>
  </conditionalFormatting>
  <conditionalFormatting sqref="G67">
    <cfRule type="expression" dxfId="16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2022-06-11T15:58:52Z</dcterms:modified>
</cp:coreProperties>
</file>