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lanci\rendiconti\Regioni\"/>
    </mc:Choice>
  </mc:AlternateContent>
  <bookViews>
    <workbookView xWindow="240" yWindow="48" windowWidth="20112" windowHeight="7992" firstSheet="4" activeTab="7"/>
  </bookViews>
  <sheets>
    <sheet name="Entrate_Uscite" sheetId="2" r:id="rId1"/>
    <sheet name="Tav_Entrate" sheetId="7" r:id="rId2"/>
    <sheet name="Tav_Uscite" sheetId="8" r:id="rId3"/>
    <sheet name="Tav_Saldi" sheetId="9" r:id="rId4"/>
    <sheet name="Risultato_amministrazione" sheetId="1" r:id="rId5"/>
    <sheet name="Conto_economico" sheetId="6" r:id="rId6"/>
    <sheet name="Tav_contoeconomico" sheetId="10" r:id="rId7"/>
    <sheet name="Stato_patrimoniale" sheetId="5" r:id="rId8"/>
    <sheet name="Piano_indicatori" sheetId="4" r:id="rId9"/>
    <sheet name="Tav_indicatori" sheetId="12" r:id="rId10"/>
    <sheet name="Popolazione" sheetId="13" r:id="rId11"/>
  </sheets>
  <calcPr calcId="152511"/>
</workbook>
</file>

<file path=xl/calcChain.xml><?xml version="1.0" encoding="utf-8"?>
<calcChain xmlns="http://schemas.openxmlformats.org/spreadsheetml/2006/main">
  <c r="X55" i="2" l="1"/>
  <c r="W55" i="2"/>
  <c r="X54" i="2"/>
  <c r="W54" i="2"/>
  <c r="X53" i="2"/>
  <c r="W53" i="2"/>
  <c r="X52" i="2"/>
  <c r="W52" i="2"/>
  <c r="X51" i="2"/>
  <c r="W51" i="2"/>
  <c r="X50" i="2"/>
  <c r="W50" i="2"/>
  <c r="X20" i="2"/>
  <c r="X21" i="2" s="1"/>
  <c r="W20" i="2"/>
  <c r="W21" i="2" s="1"/>
  <c r="X16" i="2"/>
  <c r="W16" i="2"/>
  <c r="X15" i="2"/>
  <c r="W15" i="2"/>
  <c r="X14" i="2"/>
  <c r="W14" i="2"/>
  <c r="M27" i="6" l="1"/>
  <c r="M26" i="6"/>
  <c r="M25" i="6"/>
  <c r="M24" i="6"/>
  <c r="M23" i="6"/>
  <c r="M22" i="6"/>
  <c r="M20" i="6"/>
  <c r="M19" i="6"/>
  <c r="M18" i="6"/>
  <c r="M17" i="6"/>
  <c r="M16" i="6"/>
  <c r="M15" i="6"/>
  <c r="M14" i="6"/>
  <c r="M13" i="6"/>
  <c r="M12" i="6"/>
  <c r="M11" i="6"/>
  <c r="M9" i="6"/>
  <c r="M8" i="6"/>
  <c r="M7" i="6"/>
  <c r="M6" i="6"/>
  <c r="M5" i="6"/>
  <c r="M4" i="6"/>
  <c r="M3" i="6"/>
  <c r="M2" i="6"/>
  <c r="K28" i="8"/>
  <c r="K26" i="8"/>
  <c r="K25" i="8"/>
  <c r="K23" i="8"/>
  <c r="K22" i="8"/>
  <c r="K18" i="8"/>
  <c r="K17" i="8"/>
  <c r="K16" i="8"/>
  <c r="K7" i="8"/>
  <c r="K18" i="7"/>
  <c r="K17" i="7"/>
  <c r="K13" i="7"/>
  <c r="K12" i="7"/>
  <c r="K10" i="7"/>
  <c r="K6" i="7"/>
  <c r="AA60" i="2"/>
  <c r="Z60" i="2"/>
  <c r="AA55" i="2"/>
  <c r="Z55" i="2"/>
  <c r="AA54" i="2"/>
  <c r="Z54" i="2"/>
  <c r="AA53" i="2"/>
  <c r="Z53" i="2"/>
  <c r="AA52" i="2"/>
  <c r="Z52" i="2"/>
  <c r="AA51" i="2"/>
  <c r="Z51" i="2"/>
  <c r="AA50" i="2"/>
  <c r="Z50" i="2"/>
  <c r="AA49" i="2"/>
  <c r="Z49" i="2"/>
  <c r="AA48" i="2"/>
  <c r="Z48" i="2"/>
  <c r="AA47" i="2"/>
  <c r="Z47" i="2"/>
  <c r="AA46" i="2"/>
  <c r="Z46" i="2"/>
  <c r="AA45" i="2"/>
  <c r="Z45" i="2"/>
  <c r="AA44" i="2"/>
  <c r="Z44" i="2"/>
  <c r="AA43" i="2"/>
  <c r="Z43" i="2"/>
  <c r="AA42" i="2"/>
  <c r="Z42" i="2"/>
  <c r="AA41" i="2"/>
  <c r="Z41" i="2"/>
  <c r="AA40" i="2"/>
  <c r="Z40" i="2"/>
  <c r="AA39" i="2"/>
  <c r="Z39" i="2"/>
  <c r="AA38" i="2"/>
  <c r="Z38" i="2"/>
  <c r="AA37" i="2"/>
  <c r="Z37" i="2"/>
  <c r="AA36" i="2"/>
  <c r="Z36" i="2"/>
  <c r="AA35" i="2"/>
  <c r="Z35" i="2"/>
  <c r="AA34" i="2"/>
  <c r="Z34" i="2"/>
  <c r="AA33" i="2"/>
  <c r="Z33" i="2"/>
  <c r="AA32" i="2"/>
  <c r="Z32" i="2"/>
  <c r="AA31" i="2"/>
  <c r="Z31" i="2"/>
  <c r="AA30" i="2"/>
  <c r="Z30" i="2"/>
  <c r="AA29" i="2"/>
  <c r="Z29" i="2"/>
  <c r="AA28" i="2"/>
  <c r="Z28" i="2"/>
  <c r="AA27" i="2"/>
  <c r="Z27" i="2"/>
  <c r="AA26" i="2"/>
  <c r="Z26" i="2"/>
  <c r="AA25" i="2"/>
  <c r="Z25" i="2"/>
  <c r="AA24" i="2"/>
  <c r="Z24" i="2"/>
  <c r="AA23" i="2"/>
  <c r="Z23" i="2"/>
  <c r="AA21" i="2"/>
  <c r="Z21" i="2"/>
  <c r="AA20" i="2"/>
  <c r="Z20" i="2"/>
  <c r="AA19" i="2"/>
  <c r="Z19" i="2"/>
  <c r="AA18" i="2"/>
  <c r="Z18" i="2"/>
  <c r="AA17" i="2"/>
  <c r="Z17" i="2"/>
  <c r="AA16" i="2"/>
  <c r="Z16" i="2"/>
  <c r="AA15" i="2"/>
  <c r="Z15" i="2"/>
  <c r="AA14" i="2"/>
  <c r="Z14" i="2"/>
  <c r="AA13" i="2"/>
  <c r="Z13" i="2"/>
  <c r="AA12" i="2"/>
  <c r="Z12" i="2"/>
  <c r="AA11" i="2"/>
  <c r="Z11" i="2"/>
  <c r="AA10" i="2"/>
  <c r="Z10" i="2"/>
  <c r="AA9" i="2"/>
  <c r="Z9" i="2"/>
  <c r="AA8" i="2"/>
  <c r="Z8" i="2"/>
  <c r="AA7" i="2"/>
  <c r="Z7" i="2"/>
  <c r="AA6" i="2"/>
  <c r="Z6" i="2"/>
  <c r="AA5" i="2"/>
  <c r="Z5" i="2"/>
  <c r="AA4" i="2"/>
  <c r="Z4" i="2"/>
  <c r="AA3" i="2"/>
  <c r="Z3" i="2"/>
  <c r="K9" i="12" l="1"/>
  <c r="K8" i="12"/>
  <c r="K7" i="12"/>
  <c r="K6" i="12"/>
  <c r="K5" i="12"/>
  <c r="K4" i="12"/>
  <c r="K3" i="12"/>
  <c r="K2" i="12"/>
  <c r="J30" i="5"/>
  <c r="J31" i="5" s="1"/>
  <c r="J29" i="5"/>
  <c r="J15" i="5"/>
  <c r="J15" i="10"/>
  <c r="J13" i="10"/>
  <c r="J12" i="10"/>
  <c r="J11" i="10"/>
  <c r="J9" i="10"/>
  <c r="J8" i="10"/>
  <c r="J7" i="10"/>
  <c r="J6" i="10"/>
  <c r="J5" i="10"/>
  <c r="J4" i="10"/>
  <c r="J3" i="10"/>
  <c r="J2" i="10"/>
  <c r="J10" i="10" s="1"/>
  <c r="J14" i="10" s="1"/>
  <c r="J16" i="10" s="1"/>
  <c r="K29" i="6"/>
  <c r="K21" i="6"/>
  <c r="K28" i="6" s="1"/>
  <c r="K10" i="6"/>
  <c r="J56" i="1"/>
  <c r="J24" i="1"/>
  <c r="J20" i="1"/>
  <c r="J14" i="1"/>
  <c r="J7" i="1"/>
  <c r="J22" i="1" s="1"/>
  <c r="H6" i="9"/>
  <c r="H5" i="9"/>
  <c r="H4" i="9"/>
  <c r="H3" i="9"/>
  <c r="H2" i="9"/>
  <c r="H29" i="8"/>
  <c r="H28" i="8"/>
  <c r="H26" i="8"/>
  <c r="H25" i="8"/>
  <c r="H24" i="8"/>
  <c r="H23" i="8"/>
  <c r="H22" i="8"/>
  <c r="H27" i="8" s="1"/>
  <c r="H19" i="8"/>
  <c r="H18" i="8"/>
  <c r="H17" i="8"/>
  <c r="H16" i="8"/>
  <c r="H14" i="8"/>
  <c r="H13" i="8"/>
  <c r="H12" i="8"/>
  <c r="H11" i="8"/>
  <c r="H15" i="8" s="1"/>
  <c r="H9" i="8"/>
  <c r="H8" i="8"/>
  <c r="H7" i="8"/>
  <c r="H6" i="8"/>
  <c r="H5" i="8"/>
  <c r="H4" i="8"/>
  <c r="H3" i="8"/>
  <c r="H2" i="8"/>
  <c r="H10" i="8" s="1"/>
  <c r="H19" i="7"/>
  <c r="H18" i="7"/>
  <c r="H17" i="7"/>
  <c r="H14" i="7"/>
  <c r="H13" i="7"/>
  <c r="H12" i="7"/>
  <c r="H15" i="7" s="1"/>
  <c r="H10" i="7"/>
  <c r="H9" i="7"/>
  <c r="H8" i="7"/>
  <c r="H7" i="7"/>
  <c r="H6" i="7"/>
  <c r="H4" i="7"/>
  <c r="H3" i="7"/>
  <c r="H5" i="7" s="1"/>
  <c r="H2" i="7"/>
  <c r="T55" i="2"/>
  <c r="V55" i="2" s="1"/>
  <c r="V54" i="2"/>
  <c r="U54" i="2"/>
  <c r="T54" i="2"/>
  <c r="U53" i="2"/>
  <c r="U56" i="2" s="1"/>
  <c r="U57" i="2" s="1"/>
  <c r="T53" i="2"/>
  <c r="U52" i="2"/>
  <c r="T52" i="2"/>
  <c r="V52" i="2" s="1"/>
  <c r="U51" i="2"/>
  <c r="T51" i="2"/>
  <c r="V51" i="2" s="1"/>
  <c r="V50" i="2"/>
  <c r="U50" i="2"/>
  <c r="T50" i="2"/>
  <c r="T56" i="2" s="1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6" i="2"/>
  <c r="V25" i="2"/>
  <c r="V24" i="2"/>
  <c r="V23" i="2"/>
  <c r="V19" i="2"/>
  <c r="V18" i="2"/>
  <c r="V17" i="2"/>
  <c r="U16" i="2"/>
  <c r="T16" i="2"/>
  <c r="T20" i="2" s="1"/>
  <c r="V15" i="2"/>
  <c r="U15" i="2"/>
  <c r="U60" i="2" s="1"/>
  <c r="T15" i="2"/>
  <c r="T60" i="2" s="1"/>
  <c r="U14" i="2"/>
  <c r="U59" i="2" s="1"/>
  <c r="T14" i="2"/>
  <c r="T59" i="2" s="1"/>
  <c r="V13" i="2"/>
  <c r="V12" i="2"/>
  <c r="V11" i="2"/>
  <c r="V10" i="2"/>
  <c r="V9" i="2"/>
  <c r="V8" i="2"/>
  <c r="V7" i="2"/>
  <c r="V6" i="2"/>
  <c r="V5" i="2"/>
  <c r="V4" i="2"/>
  <c r="V3" i="2"/>
  <c r="H20" i="8" l="1"/>
  <c r="H30" i="8"/>
  <c r="H31" i="8" s="1"/>
  <c r="H21" i="8"/>
  <c r="H11" i="7"/>
  <c r="H20" i="7"/>
  <c r="H21" i="7" s="1"/>
  <c r="H16" i="7"/>
  <c r="T21" i="2"/>
  <c r="T57" i="2"/>
  <c r="V57" i="2" s="1"/>
  <c r="V56" i="2"/>
  <c r="V16" i="2"/>
  <c r="V14" i="2"/>
  <c r="U20" i="2"/>
  <c r="U21" i="2" s="1"/>
  <c r="U58" i="2" s="1"/>
  <c r="V53" i="2"/>
  <c r="V21" i="2" l="1"/>
  <c r="T58" i="2"/>
  <c r="V20" i="2"/>
  <c r="J9" i="12" l="1"/>
  <c r="J8" i="12"/>
  <c r="J7" i="12"/>
  <c r="J6" i="12"/>
  <c r="J5" i="12"/>
  <c r="J4" i="12"/>
  <c r="J3" i="12"/>
  <c r="J2" i="12"/>
  <c r="I30" i="5"/>
  <c r="I31" i="5" s="1"/>
  <c r="I29" i="5"/>
  <c r="I15" i="5"/>
  <c r="I15" i="10"/>
  <c r="I13" i="10"/>
  <c r="I12" i="10"/>
  <c r="I11" i="10"/>
  <c r="I9" i="10"/>
  <c r="I8" i="10"/>
  <c r="I7" i="10"/>
  <c r="I6" i="10"/>
  <c r="I5" i="10"/>
  <c r="I4" i="10"/>
  <c r="I3" i="10"/>
  <c r="I2" i="10"/>
  <c r="I10" i="10" s="1"/>
  <c r="I14" i="10" s="1"/>
  <c r="I16" i="10" s="1"/>
  <c r="J21" i="6"/>
  <c r="J10" i="6"/>
  <c r="J29" i="6" s="1"/>
  <c r="I56" i="1"/>
  <c r="I24" i="1"/>
  <c r="I20" i="1"/>
  <c r="I14" i="1"/>
  <c r="I7" i="1"/>
  <c r="I22" i="1" s="1"/>
  <c r="G5" i="9"/>
  <c r="G29" i="8"/>
  <c r="G28" i="8"/>
  <c r="G26" i="8"/>
  <c r="G25" i="8"/>
  <c r="G24" i="8"/>
  <c r="G23" i="8"/>
  <c r="G22" i="8"/>
  <c r="G19" i="8"/>
  <c r="G18" i="8"/>
  <c r="G17" i="8"/>
  <c r="G16" i="8"/>
  <c r="G14" i="8"/>
  <c r="G13" i="8"/>
  <c r="G12" i="8"/>
  <c r="G11" i="8"/>
  <c r="G9" i="8"/>
  <c r="G8" i="8"/>
  <c r="G7" i="8"/>
  <c r="G6" i="8"/>
  <c r="G5" i="8"/>
  <c r="G4" i="8"/>
  <c r="G3" i="8"/>
  <c r="G2" i="8"/>
  <c r="G19" i="7"/>
  <c r="G18" i="7"/>
  <c r="G17" i="7"/>
  <c r="G14" i="7"/>
  <c r="G13" i="7"/>
  <c r="G12" i="7"/>
  <c r="G10" i="7"/>
  <c r="G9" i="7"/>
  <c r="G8" i="7"/>
  <c r="G7" i="7"/>
  <c r="G6" i="7"/>
  <c r="G4" i="7"/>
  <c r="G3" i="7"/>
  <c r="G2" i="7"/>
  <c r="S55" i="2"/>
  <c r="Q55" i="2"/>
  <c r="R54" i="2"/>
  <c r="Q54" i="2"/>
  <c r="S54" i="2" s="1"/>
  <c r="R53" i="2"/>
  <c r="Q53" i="2"/>
  <c r="S53" i="2" s="1"/>
  <c r="S52" i="2"/>
  <c r="R52" i="2"/>
  <c r="Q52" i="2"/>
  <c r="R51" i="2"/>
  <c r="S51" i="2" s="1"/>
  <c r="Q51" i="2"/>
  <c r="R50" i="2"/>
  <c r="R56" i="2" s="1"/>
  <c r="R57" i="2" s="1"/>
  <c r="Q50" i="2"/>
  <c r="S50" i="2" s="1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S26" i="2"/>
  <c r="S25" i="2"/>
  <c r="S24" i="2"/>
  <c r="S23" i="2"/>
  <c r="S19" i="2"/>
  <c r="S18" i="2"/>
  <c r="S17" i="2"/>
  <c r="R16" i="2"/>
  <c r="Q16" i="2"/>
  <c r="R15" i="2"/>
  <c r="Q15" i="2"/>
  <c r="R14" i="2"/>
  <c r="Q14" i="2"/>
  <c r="S13" i="2"/>
  <c r="S12" i="2"/>
  <c r="S11" i="2"/>
  <c r="S10" i="2"/>
  <c r="S9" i="2"/>
  <c r="S8" i="2"/>
  <c r="S7" i="2"/>
  <c r="S6" i="2"/>
  <c r="S5" i="2"/>
  <c r="S4" i="2"/>
  <c r="S3" i="2"/>
  <c r="G20" i="8" l="1"/>
  <c r="Q59" i="2"/>
  <c r="G2" i="9" s="1"/>
  <c r="G15" i="7"/>
  <c r="G16" i="7" s="1"/>
  <c r="S16" i="2"/>
  <c r="G10" i="8"/>
  <c r="G30" i="8" s="1"/>
  <c r="G31" i="8" s="1"/>
  <c r="G15" i="8"/>
  <c r="G27" i="8"/>
  <c r="R59" i="2"/>
  <c r="Q60" i="2"/>
  <c r="G4" i="9"/>
  <c r="J28" i="6"/>
  <c r="G5" i="7"/>
  <c r="G11" i="7"/>
  <c r="R60" i="2"/>
  <c r="S14" i="2"/>
  <c r="Q20" i="2"/>
  <c r="Q56" i="2"/>
  <c r="S15" i="2"/>
  <c r="R20" i="2"/>
  <c r="E3" i="13"/>
  <c r="G3" i="13" s="1"/>
  <c r="E4" i="13"/>
  <c r="G4" i="13" s="1"/>
  <c r="C2" i="13"/>
  <c r="C3" i="13"/>
  <c r="C4" i="13"/>
  <c r="G21" i="8" l="1"/>
  <c r="G20" i="7"/>
  <c r="G21" i="7" s="1"/>
  <c r="G3" i="9"/>
  <c r="R21" i="2"/>
  <c r="S56" i="2"/>
  <c r="Q57" i="2"/>
  <c r="S57" i="2" s="1"/>
  <c r="S20" i="2"/>
  <c r="Q21" i="2"/>
  <c r="G5" i="13"/>
  <c r="E5" i="13"/>
  <c r="C5" i="13"/>
  <c r="R58" i="2" l="1"/>
  <c r="Q58" i="2"/>
  <c r="G6" i="9" s="1"/>
  <c r="S21" i="2"/>
  <c r="I29" i="6"/>
  <c r="C9" i="10" l="1"/>
  <c r="D9" i="10"/>
  <c r="E9" i="10"/>
  <c r="F9" i="10"/>
  <c r="G9" i="10"/>
  <c r="H9" i="10"/>
  <c r="B9" i="10"/>
  <c r="H29" i="6"/>
  <c r="G29" i="6"/>
  <c r="F29" i="6"/>
  <c r="E29" i="6"/>
  <c r="D29" i="6"/>
  <c r="C29" i="6"/>
  <c r="I9" i="12" l="1"/>
  <c r="I8" i="12"/>
  <c r="I7" i="12"/>
  <c r="I6" i="12"/>
  <c r="I5" i="12"/>
  <c r="I4" i="12"/>
  <c r="I3" i="12"/>
  <c r="I2" i="12"/>
  <c r="F26" i="8"/>
  <c r="F25" i="8"/>
  <c r="F24" i="8"/>
  <c r="F23" i="8"/>
  <c r="F22" i="8"/>
  <c r="F19" i="8"/>
  <c r="F18" i="8"/>
  <c r="F17" i="8"/>
  <c r="F16" i="8"/>
  <c r="F14" i="8"/>
  <c r="F13" i="8"/>
  <c r="F12" i="8"/>
  <c r="F11" i="8"/>
  <c r="F9" i="8"/>
  <c r="F8" i="8"/>
  <c r="F7" i="8"/>
  <c r="F6" i="8"/>
  <c r="F5" i="8"/>
  <c r="F4" i="8"/>
  <c r="F3" i="8"/>
  <c r="F2" i="8"/>
  <c r="F19" i="7"/>
  <c r="F18" i="7"/>
  <c r="F17" i="7"/>
  <c r="F14" i="7"/>
  <c r="F13" i="7"/>
  <c r="F12" i="7"/>
  <c r="F10" i="7"/>
  <c r="F9" i="7"/>
  <c r="F8" i="7"/>
  <c r="F7" i="7"/>
  <c r="F6" i="7"/>
  <c r="F4" i="7"/>
  <c r="F3" i="7"/>
  <c r="F2" i="7"/>
  <c r="N55" i="2"/>
  <c r="P55" i="2" s="1"/>
  <c r="O54" i="2"/>
  <c r="N54" i="2"/>
  <c r="P54" i="2" s="1"/>
  <c r="O53" i="2"/>
  <c r="N53" i="2"/>
  <c r="P53" i="2" s="1"/>
  <c r="O52" i="2"/>
  <c r="N52" i="2"/>
  <c r="P52" i="2" s="1"/>
  <c r="O51" i="2"/>
  <c r="N51" i="2"/>
  <c r="O50" i="2"/>
  <c r="O56" i="2" s="1"/>
  <c r="O57" i="2" s="1"/>
  <c r="N50" i="2"/>
  <c r="P50" i="2" s="1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6" i="2"/>
  <c r="P25" i="2"/>
  <c r="P24" i="2"/>
  <c r="P23" i="2"/>
  <c r="P19" i="2"/>
  <c r="P18" i="2"/>
  <c r="P17" i="2"/>
  <c r="O16" i="2"/>
  <c r="N16" i="2"/>
  <c r="O15" i="2"/>
  <c r="N15" i="2"/>
  <c r="N60" i="2" s="1"/>
  <c r="F3" i="9" s="1"/>
  <c r="O14" i="2"/>
  <c r="O59" i="2" s="1"/>
  <c r="N14" i="2"/>
  <c r="P14" i="2" s="1"/>
  <c r="P13" i="2"/>
  <c r="P12" i="2"/>
  <c r="P11" i="2"/>
  <c r="P10" i="2"/>
  <c r="P9" i="2"/>
  <c r="P8" i="2"/>
  <c r="P7" i="2"/>
  <c r="P6" i="2"/>
  <c r="P5" i="2"/>
  <c r="P4" i="2"/>
  <c r="P3" i="2"/>
  <c r="K30" i="5"/>
  <c r="F10" i="8" l="1"/>
  <c r="F15" i="7"/>
  <c r="F20" i="8"/>
  <c r="F28" i="8"/>
  <c r="F4" i="9"/>
  <c r="P16" i="2"/>
  <c r="P51" i="2"/>
  <c r="F27" i="8"/>
  <c r="F29" i="8"/>
  <c r="F5" i="9"/>
  <c r="F15" i="8"/>
  <c r="F5" i="7"/>
  <c r="F11" i="7"/>
  <c r="O60" i="2"/>
  <c r="N20" i="2"/>
  <c r="N56" i="2"/>
  <c r="N59" i="2"/>
  <c r="F2" i="9" s="1"/>
  <c r="P15" i="2"/>
  <c r="O20" i="2"/>
  <c r="O21" i="2" s="1"/>
  <c r="O58" i="2" s="1"/>
  <c r="F20" i="7" l="1"/>
  <c r="F21" i="7" s="1"/>
  <c r="F30" i="8"/>
  <c r="F16" i="7"/>
  <c r="F21" i="8"/>
  <c r="P56" i="2"/>
  <c r="N57" i="2"/>
  <c r="P57" i="2" s="1"/>
  <c r="P20" i="2"/>
  <c r="N21" i="2"/>
  <c r="F31" i="8" l="1"/>
  <c r="P21" i="2"/>
  <c r="N58" i="2"/>
  <c r="F6" i="9" l="1"/>
  <c r="H30" i="5"/>
  <c r="H31" i="5" s="1"/>
  <c r="H29" i="5"/>
  <c r="H15" i="5"/>
  <c r="H15" i="10"/>
  <c r="H13" i="10"/>
  <c r="H12" i="10"/>
  <c r="H11" i="10"/>
  <c r="H8" i="10"/>
  <c r="H7" i="10"/>
  <c r="H6" i="10"/>
  <c r="H4" i="10"/>
  <c r="H3" i="10"/>
  <c r="I21" i="6"/>
  <c r="H5" i="10" s="1"/>
  <c r="I10" i="6"/>
  <c r="I28" i="6" s="1"/>
  <c r="H56" i="1"/>
  <c r="H24" i="1"/>
  <c r="H20" i="1"/>
  <c r="H14" i="1"/>
  <c r="H7" i="1"/>
  <c r="H2" i="10" l="1"/>
  <c r="H10" i="10" s="1"/>
  <c r="H14" i="10" s="1"/>
  <c r="H16" i="10" s="1"/>
  <c r="H22" i="1"/>
  <c r="G7" i="13"/>
  <c r="G6" i="13"/>
  <c r="C6" i="13" l="1"/>
  <c r="H9" i="12" l="1"/>
  <c r="H8" i="12"/>
  <c r="H7" i="12"/>
  <c r="H6" i="12"/>
  <c r="H5" i="12"/>
  <c r="H4" i="12"/>
  <c r="H3" i="12"/>
  <c r="H2" i="12"/>
  <c r="E26" i="8"/>
  <c r="E25" i="8"/>
  <c r="E24" i="8"/>
  <c r="E23" i="8"/>
  <c r="E22" i="8"/>
  <c r="E19" i="8"/>
  <c r="E18" i="8"/>
  <c r="E17" i="8"/>
  <c r="E16" i="8"/>
  <c r="E14" i="8"/>
  <c r="E13" i="8"/>
  <c r="E12" i="8"/>
  <c r="E11" i="8"/>
  <c r="E9" i="8"/>
  <c r="E8" i="8"/>
  <c r="E7" i="8"/>
  <c r="E6" i="8"/>
  <c r="E5" i="8"/>
  <c r="E4" i="8"/>
  <c r="E3" i="8"/>
  <c r="E2" i="8"/>
  <c r="E19" i="7"/>
  <c r="E18" i="7"/>
  <c r="E17" i="7"/>
  <c r="E14" i="7"/>
  <c r="E13" i="7"/>
  <c r="E12" i="7"/>
  <c r="E10" i="7"/>
  <c r="E9" i="7"/>
  <c r="E8" i="7"/>
  <c r="E7" i="7"/>
  <c r="E6" i="7"/>
  <c r="E4" i="7"/>
  <c r="E3" i="7"/>
  <c r="E2" i="7"/>
  <c r="E15" i="8" l="1"/>
  <c r="E27" i="8"/>
  <c r="E10" i="8"/>
  <c r="E11" i="7"/>
  <c r="E5" i="7"/>
  <c r="E20" i="8"/>
  <c r="E15" i="7"/>
  <c r="E20" i="7" l="1"/>
  <c r="E21" i="8"/>
  <c r="E16" i="7"/>
  <c r="E21" i="7" l="1"/>
  <c r="K55" i="2"/>
  <c r="L54" i="2"/>
  <c r="K54" i="2"/>
  <c r="E28" i="8" s="1"/>
  <c r="L53" i="2"/>
  <c r="K53" i="2"/>
  <c r="L52" i="2"/>
  <c r="K52" i="2"/>
  <c r="L51" i="2"/>
  <c r="K51" i="2"/>
  <c r="M51" i="2" s="1"/>
  <c r="L50" i="2"/>
  <c r="K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6" i="2"/>
  <c r="M25" i="2"/>
  <c r="M24" i="2"/>
  <c r="M23" i="2"/>
  <c r="M19" i="2"/>
  <c r="M18" i="2"/>
  <c r="M17" i="2"/>
  <c r="L16" i="2"/>
  <c r="K16" i="2"/>
  <c r="L15" i="2"/>
  <c r="K15" i="2"/>
  <c r="L14" i="2"/>
  <c r="K14" i="2"/>
  <c r="K20" i="2" s="1"/>
  <c r="M13" i="2"/>
  <c r="M12" i="2"/>
  <c r="M11" i="2"/>
  <c r="M10" i="2"/>
  <c r="M9" i="2"/>
  <c r="M8" i="2"/>
  <c r="M7" i="2"/>
  <c r="M6" i="2"/>
  <c r="M5" i="2"/>
  <c r="M4" i="2"/>
  <c r="M3" i="2"/>
  <c r="G30" i="5"/>
  <c r="G29" i="5"/>
  <c r="G15" i="5"/>
  <c r="G15" i="10"/>
  <c r="G13" i="10"/>
  <c r="G12" i="10"/>
  <c r="G11" i="10"/>
  <c r="G8" i="10"/>
  <c r="G7" i="10"/>
  <c r="G6" i="10"/>
  <c r="G4" i="10"/>
  <c r="G3" i="10"/>
  <c r="H21" i="6"/>
  <c r="G5" i="10" s="1"/>
  <c r="H10" i="6"/>
  <c r="H28" i="6" s="1"/>
  <c r="G56" i="1"/>
  <c r="G24" i="1"/>
  <c r="G20" i="1"/>
  <c r="G14" i="1"/>
  <c r="G7" i="1"/>
  <c r="M55" i="2" l="1"/>
  <c r="E29" i="8"/>
  <c r="E30" i="8" s="1"/>
  <c r="E31" i="8" s="1"/>
  <c r="G2" i="10"/>
  <c r="G10" i="10" s="1"/>
  <c r="G14" i="10" s="1"/>
  <c r="G16" i="10" s="1"/>
  <c r="G22" i="1"/>
  <c r="G31" i="5"/>
  <c r="L56" i="2"/>
  <c r="L57" i="2" s="1"/>
  <c r="M52" i="2"/>
  <c r="M53" i="2"/>
  <c r="M54" i="2"/>
  <c r="M14" i="2"/>
  <c r="E5" i="9"/>
  <c r="L59" i="2"/>
  <c r="K59" i="2"/>
  <c r="E2" i="9" s="1"/>
  <c r="K60" i="2"/>
  <c r="E3" i="9" s="1"/>
  <c r="L60" i="2"/>
  <c r="K21" i="2"/>
  <c r="E4" i="9"/>
  <c r="M16" i="2"/>
  <c r="K56" i="2"/>
  <c r="L20" i="2"/>
  <c r="M50" i="2"/>
  <c r="M15" i="2"/>
  <c r="G9" i="12"/>
  <c r="G8" i="12"/>
  <c r="G7" i="12"/>
  <c r="G6" i="12"/>
  <c r="G5" i="12"/>
  <c r="G4" i="12"/>
  <c r="G3" i="12"/>
  <c r="G2" i="12"/>
  <c r="D26" i="8"/>
  <c r="D25" i="8"/>
  <c r="D24" i="8"/>
  <c r="D23" i="8"/>
  <c r="D22" i="8"/>
  <c r="D19" i="8"/>
  <c r="D18" i="8"/>
  <c r="D17" i="8"/>
  <c r="D16" i="8"/>
  <c r="D14" i="8"/>
  <c r="D13" i="8"/>
  <c r="D12" i="8"/>
  <c r="D11" i="8"/>
  <c r="D9" i="8"/>
  <c r="D8" i="8"/>
  <c r="D7" i="8"/>
  <c r="D6" i="8"/>
  <c r="D5" i="8"/>
  <c r="D4" i="8"/>
  <c r="D3" i="8"/>
  <c r="D2" i="8"/>
  <c r="D19" i="7"/>
  <c r="D18" i="7"/>
  <c r="D17" i="7"/>
  <c r="D14" i="7"/>
  <c r="D13" i="7"/>
  <c r="D12" i="7"/>
  <c r="D10" i="7"/>
  <c r="D9" i="7"/>
  <c r="D8" i="7"/>
  <c r="D7" i="7"/>
  <c r="D6" i="7"/>
  <c r="D4" i="7"/>
  <c r="D3" i="7"/>
  <c r="D2" i="7"/>
  <c r="L21" i="2" l="1"/>
  <c r="M21" i="2" s="1"/>
  <c r="M20" i="2"/>
  <c r="K57" i="2"/>
  <c r="M56" i="2"/>
  <c r="D15" i="7"/>
  <c r="D5" i="7"/>
  <c r="D10" i="8"/>
  <c r="D15" i="8"/>
  <c r="D27" i="8"/>
  <c r="D20" i="8"/>
  <c r="D11" i="7"/>
  <c r="L58" i="2" l="1"/>
  <c r="M57" i="2"/>
  <c r="K58" i="2"/>
  <c r="E6" i="9" s="1"/>
  <c r="D20" i="7"/>
  <c r="D21" i="7" s="1"/>
  <c r="D21" i="8"/>
  <c r="D16" i="7"/>
  <c r="H55" i="2"/>
  <c r="I54" i="2"/>
  <c r="H54" i="2"/>
  <c r="J54" i="2" s="1"/>
  <c r="I53" i="2"/>
  <c r="H53" i="2"/>
  <c r="I52" i="2"/>
  <c r="H52" i="2"/>
  <c r="I51" i="2"/>
  <c r="H51" i="2"/>
  <c r="I50" i="2"/>
  <c r="H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6" i="2"/>
  <c r="J25" i="2"/>
  <c r="J24" i="2"/>
  <c r="J23" i="2"/>
  <c r="J19" i="2"/>
  <c r="J18" i="2"/>
  <c r="J17" i="2"/>
  <c r="I16" i="2"/>
  <c r="H16" i="2"/>
  <c r="J16" i="2" s="1"/>
  <c r="I15" i="2"/>
  <c r="H15" i="2"/>
  <c r="I14" i="2"/>
  <c r="H14" i="2"/>
  <c r="J13" i="2"/>
  <c r="J12" i="2"/>
  <c r="J11" i="2"/>
  <c r="J10" i="2"/>
  <c r="J9" i="2"/>
  <c r="J8" i="2"/>
  <c r="J7" i="2"/>
  <c r="J6" i="2"/>
  <c r="J5" i="2"/>
  <c r="J4" i="2"/>
  <c r="J3" i="2"/>
  <c r="J51" i="2" l="1"/>
  <c r="J52" i="2"/>
  <c r="J55" i="2"/>
  <c r="D29" i="8"/>
  <c r="J50" i="2"/>
  <c r="I56" i="2"/>
  <c r="I57" i="2" s="1"/>
  <c r="J53" i="2"/>
  <c r="D28" i="8"/>
  <c r="I59" i="2"/>
  <c r="H59" i="2"/>
  <c r="D2" i="9" s="1"/>
  <c r="D5" i="9"/>
  <c r="H60" i="2"/>
  <c r="D3" i="9" s="1"/>
  <c r="I60" i="2"/>
  <c r="D4" i="9"/>
  <c r="J14" i="2"/>
  <c r="H20" i="2"/>
  <c r="H56" i="2"/>
  <c r="J15" i="2"/>
  <c r="I20" i="2"/>
  <c r="F30" i="5"/>
  <c r="F31" i="5" s="1"/>
  <c r="F29" i="5"/>
  <c r="F15" i="5"/>
  <c r="F15" i="10"/>
  <c r="F13" i="10"/>
  <c r="F12" i="10"/>
  <c r="F11" i="10"/>
  <c r="F8" i="10"/>
  <c r="F7" i="10"/>
  <c r="F6" i="10"/>
  <c r="F4" i="10"/>
  <c r="F3" i="10"/>
  <c r="G21" i="6"/>
  <c r="F5" i="10" s="1"/>
  <c r="G10" i="6"/>
  <c r="G28" i="6" s="1"/>
  <c r="F56" i="1"/>
  <c r="F24" i="1"/>
  <c r="F20" i="1"/>
  <c r="F14" i="1"/>
  <c r="F7" i="1"/>
  <c r="F22" i="1" l="1"/>
  <c r="F2" i="10"/>
  <c r="D30" i="8"/>
  <c r="D31" i="8" s="1"/>
  <c r="I21" i="2"/>
  <c r="F10" i="10"/>
  <c r="F14" i="10" s="1"/>
  <c r="F16" i="10" s="1"/>
  <c r="H57" i="2"/>
  <c r="J57" i="2" s="1"/>
  <c r="J56" i="2"/>
  <c r="H21" i="2"/>
  <c r="J20" i="2"/>
  <c r="B17" i="5"/>
  <c r="B15" i="10"/>
  <c r="B13" i="10"/>
  <c r="B12" i="10"/>
  <c r="B11" i="10"/>
  <c r="B8" i="10"/>
  <c r="B7" i="10"/>
  <c r="B6" i="10"/>
  <c r="B4" i="10"/>
  <c r="B3" i="10"/>
  <c r="C15" i="10"/>
  <c r="C13" i="10"/>
  <c r="C12" i="10"/>
  <c r="C11" i="10"/>
  <c r="C8" i="10"/>
  <c r="C7" i="10"/>
  <c r="C6" i="10"/>
  <c r="C4" i="10"/>
  <c r="C3" i="10"/>
  <c r="I58" i="2" l="1"/>
  <c r="H58" i="2"/>
  <c r="D6" i="9" s="1"/>
  <c r="J21" i="2"/>
  <c r="B55" i="2"/>
  <c r="C54" i="2"/>
  <c r="B54" i="2"/>
  <c r="C53" i="2"/>
  <c r="B53" i="2"/>
  <c r="C52" i="2"/>
  <c r="B52" i="2"/>
  <c r="C51" i="2"/>
  <c r="B51" i="2"/>
  <c r="C50" i="2"/>
  <c r="B50" i="2"/>
  <c r="C16" i="2"/>
  <c r="B16" i="2"/>
  <c r="C15" i="2"/>
  <c r="B15" i="2"/>
  <c r="C14" i="2"/>
  <c r="B14" i="2"/>
  <c r="C20" i="2" l="1"/>
  <c r="C21" i="2" s="1"/>
  <c r="B20" i="2"/>
  <c r="B21" i="2" s="1"/>
  <c r="E55" i="2"/>
  <c r="F54" i="2"/>
  <c r="E54" i="2"/>
  <c r="F53" i="2"/>
  <c r="E53" i="2"/>
  <c r="F52" i="2"/>
  <c r="E52" i="2"/>
  <c r="F51" i="2"/>
  <c r="E51" i="2"/>
  <c r="F50" i="2"/>
  <c r="E50" i="2"/>
  <c r="F16" i="2"/>
  <c r="E16" i="2"/>
  <c r="F15" i="2"/>
  <c r="E15" i="2"/>
  <c r="F14" i="2"/>
  <c r="E14" i="2"/>
  <c r="E20" i="2" l="1"/>
  <c r="E21" i="2" s="1"/>
  <c r="F20" i="2"/>
  <c r="F21" i="2" s="1"/>
  <c r="D8" i="13"/>
  <c r="G8" i="13" s="1"/>
  <c r="D9" i="13"/>
  <c r="D10" i="13"/>
  <c r="D11" i="13"/>
  <c r="E11" i="13"/>
  <c r="D12" i="13"/>
  <c r="E12" i="13" l="1"/>
  <c r="G12" i="13"/>
  <c r="G11" i="13"/>
  <c r="E9" i="13"/>
  <c r="G9" i="13" s="1"/>
  <c r="E10" i="13"/>
  <c r="G10" i="13" s="1"/>
  <c r="C7" i="13"/>
  <c r="B56" i="1"/>
  <c r="C56" i="1"/>
  <c r="D56" i="1"/>
  <c r="E56" i="1"/>
  <c r="K56" i="1"/>
  <c r="C24" i="1" l="1"/>
  <c r="D24" i="1"/>
  <c r="E24" i="1"/>
  <c r="K24" i="1"/>
  <c r="B24" i="1"/>
  <c r="C11" i="13" l="1"/>
  <c r="C10" i="13"/>
  <c r="C9" i="13"/>
  <c r="C8" i="13"/>
  <c r="C7" i="1" l="1"/>
  <c r="C14" i="1"/>
  <c r="C20" i="1"/>
  <c r="C29" i="5"/>
  <c r="C30" i="5"/>
  <c r="C15" i="5"/>
  <c r="C22" i="1" l="1"/>
  <c r="B29" i="5"/>
  <c r="D29" i="5"/>
  <c r="E29" i="5"/>
  <c r="K29" i="5"/>
  <c r="B15" i="5" l="1"/>
  <c r="D15" i="5"/>
  <c r="E15" i="5"/>
  <c r="K15" i="5"/>
  <c r="E7" i="1" l="1"/>
  <c r="D30" i="5"/>
  <c r="B7" i="1"/>
  <c r="D7" i="1"/>
  <c r="K7" i="1"/>
  <c r="E10" i="6"/>
  <c r="E21" i="6"/>
  <c r="C21" i="6"/>
  <c r="B5" i="10" s="1"/>
  <c r="D21" i="6"/>
  <c r="C5" i="10" s="1"/>
  <c r="C10" i="6"/>
  <c r="B2" i="10" s="1"/>
  <c r="F56" i="2"/>
  <c r="F57" i="2" s="1"/>
  <c r="E56" i="2"/>
  <c r="E57" i="2" s="1"/>
  <c r="B10" i="10" l="1"/>
  <c r="B14" i="10" s="1"/>
  <c r="B16" i="10" s="1"/>
  <c r="C28" i="6"/>
  <c r="E28" i="6"/>
  <c r="B20" i="1" l="1"/>
  <c r="B30" i="5"/>
  <c r="D10" i="6" l="1"/>
  <c r="C2" i="10" s="1"/>
  <c r="C10" i="10" s="1"/>
  <c r="C14" i="10" s="1"/>
  <c r="C16" i="10" s="1"/>
  <c r="D28" i="6" l="1"/>
  <c r="B14" i="1" l="1"/>
  <c r="B22" i="1" s="1"/>
  <c r="F21" i="6" l="1"/>
  <c r="L21" i="6"/>
  <c r="M21" i="6" s="1"/>
  <c r="L10" i="6"/>
  <c r="M10" i="6" s="1"/>
  <c r="F10" i="6"/>
  <c r="L29" i="6" l="1"/>
  <c r="M29" i="6" s="1"/>
  <c r="E20" i="1"/>
  <c r="D20" i="1"/>
  <c r="K20" i="1"/>
  <c r="D14" i="1"/>
  <c r="E14" i="1"/>
  <c r="K14" i="1"/>
  <c r="K9" i="10" l="1"/>
  <c r="L9" i="10" s="1"/>
  <c r="E30" i="5"/>
  <c r="F28" i="6"/>
  <c r="L28" i="6"/>
  <c r="M28" i="6" s="1"/>
  <c r="K31" i="5" l="1"/>
  <c r="D22" i="1"/>
  <c r="E22" i="1"/>
  <c r="K22" i="1"/>
  <c r="D6" i="10" l="1"/>
  <c r="E6" i="10"/>
  <c r="K6" i="10"/>
  <c r="L6" i="10" s="1"/>
  <c r="D7" i="10"/>
  <c r="E7" i="10"/>
  <c r="K7" i="10"/>
  <c r="L7" i="10" s="1"/>
  <c r="D8" i="10"/>
  <c r="E8" i="10"/>
  <c r="K8" i="10"/>
  <c r="L8" i="10" s="1"/>
  <c r="D3" i="10"/>
  <c r="E3" i="10"/>
  <c r="K3" i="10"/>
  <c r="L3" i="10" s="1"/>
  <c r="D4" i="10"/>
  <c r="E4" i="10"/>
  <c r="K4" i="10"/>
  <c r="L4" i="10" s="1"/>
  <c r="L6" i="12" l="1"/>
  <c r="F2" i="12"/>
  <c r="L2" i="12"/>
  <c r="F3" i="12"/>
  <c r="L3" i="12"/>
  <c r="F4" i="12"/>
  <c r="L4" i="12"/>
  <c r="F5" i="12"/>
  <c r="L5" i="12"/>
  <c r="F6" i="12"/>
  <c r="F7" i="12"/>
  <c r="L7" i="12"/>
  <c r="F8" i="12"/>
  <c r="L8" i="12"/>
  <c r="F9" i="12"/>
  <c r="L9" i="12"/>
  <c r="E9" i="12"/>
  <c r="E8" i="12"/>
  <c r="E7" i="12"/>
  <c r="E6" i="12"/>
  <c r="E5" i="12"/>
  <c r="E4" i="12"/>
  <c r="E3" i="12"/>
  <c r="E2" i="12"/>
  <c r="D11" i="10"/>
  <c r="E11" i="10"/>
  <c r="K11" i="10"/>
  <c r="L11" i="10" s="1"/>
  <c r="D12" i="10"/>
  <c r="E12" i="10"/>
  <c r="K12" i="10"/>
  <c r="L12" i="10" s="1"/>
  <c r="D13" i="10"/>
  <c r="E13" i="10"/>
  <c r="K13" i="10"/>
  <c r="L13" i="10" s="1"/>
  <c r="D15" i="10"/>
  <c r="E15" i="10"/>
  <c r="K15" i="10"/>
  <c r="L15" i="10" s="1"/>
  <c r="C4" i="9" l="1"/>
  <c r="B4" i="9"/>
  <c r="C5" i="9"/>
  <c r="B5" i="9"/>
  <c r="L2" i="8"/>
  <c r="L3" i="8"/>
  <c r="L4" i="8"/>
  <c r="L5" i="8"/>
  <c r="L6" i="8"/>
  <c r="L7" i="8"/>
  <c r="L8" i="8"/>
  <c r="L9" i="8"/>
  <c r="L11" i="8"/>
  <c r="L12" i="8"/>
  <c r="L13" i="8"/>
  <c r="L14" i="8"/>
  <c r="L16" i="8"/>
  <c r="L17" i="8"/>
  <c r="L18" i="8"/>
  <c r="L19" i="8"/>
  <c r="L22" i="8"/>
  <c r="L23" i="8"/>
  <c r="L24" i="8"/>
  <c r="L25" i="8"/>
  <c r="L26" i="8"/>
  <c r="L29" i="8"/>
  <c r="I26" i="8"/>
  <c r="M26" i="8" s="1"/>
  <c r="I25" i="8"/>
  <c r="I24" i="8"/>
  <c r="K24" i="8" s="1"/>
  <c r="I23" i="8"/>
  <c r="I22" i="8"/>
  <c r="I19" i="8"/>
  <c r="K19" i="8" s="1"/>
  <c r="I18" i="8"/>
  <c r="I17" i="8"/>
  <c r="M17" i="8" s="1"/>
  <c r="I16" i="8"/>
  <c r="I14" i="8"/>
  <c r="K14" i="8" s="1"/>
  <c r="I13" i="8"/>
  <c r="K13" i="8" s="1"/>
  <c r="I12" i="8"/>
  <c r="K12" i="8" s="1"/>
  <c r="I11" i="8"/>
  <c r="K11" i="8" s="1"/>
  <c r="I9" i="8"/>
  <c r="K9" i="8" s="1"/>
  <c r="I8" i="8"/>
  <c r="K8" i="8" s="1"/>
  <c r="I7" i="8"/>
  <c r="M7" i="8" s="1"/>
  <c r="I6" i="8"/>
  <c r="K6" i="8" s="1"/>
  <c r="I5" i="8"/>
  <c r="K5" i="8" s="1"/>
  <c r="I4" i="8"/>
  <c r="K4" i="8" s="1"/>
  <c r="I3" i="8"/>
  <c r="K3" i="8" s="1"/>
  <c r="I2" i="8"/>
  <c r="K2" i="8" s="1"/>
  <c r="C29" i="8"/>
  <c r="C28" i="8"/>
  <c r="C26" i="8"/>
  <c r="C25" i="8"/>
  <c r="C24" i="8"/>
  <c r="C23" i="8"/>
  <c r="C22" i="8"/>
  <c r="C19" i="8"/>
  <c r="C18" i="8"/>
  <c r="C17" i="8"/>
  <c r="C16" i="8"/>
  <c r="C14" i="8"/>
  <c r="C13" i="8"/>
  <c r="C12" i="8"/>
  <c r="C11" i="8"/>
  <c r="C9" i="8"/>
  <c r="C8" i="8"/>
  <c r="C7" i="8"/>
  <c r="C6" i="8"/>
  <c r="C5" i="8"/>
  <c r="C4" i="8"/>
  <c r="C3" i="8"/>
  <c r="C2" i="8"/>
  <c r="B12" i="8"/>
  <c r="B13" i="8"/>
  <c r="B14" i="8"/>
  <c r="B29" i="8"/>
  <c r="B28" i="8"/>
  <c r="B23" i="8"/>
  <c r="B24" i="8"/>
  <c r="B25" i="8"/>
  <c r="B26" i="8"/>
  <c r="B22" i="8"/>
  <c r="B17" i="8"/>
  <c r="B18" i="8"/>
  <c r="B19" i="8"/>
  <c r="B16" i="8"/>
  <c r="B11" i="8"/>
  <c r="B3" i="8"/>
  <c r="B4" i="8"/>
  <c r="B5" i="8"/>
  <c r="B6" i="8"/>
  <c r="B7" i="8"/>
  <c r="B8" i="8"/>
  <c r="B9" i="8"/>
  <c r="B2" i="8"/>
  <c r="L2" i="7"/>
  <c r="L3" i="7"/>
  <c r="L4" i="7"/>
  <c r="L6" i="7"/>
  <c r="L7" i="7"/>
  <c r="L8" i="7"/>
  <c r="L9" i="7"/>
  <c r="L10" i="7"/>
  <c r="L12" i="7"/>
  <c r="L13" i="7"/>
  <c r="L14" i="7"/>
  <c r="L17" i="7"/>
  <c r="L18" i="7"/>
  <c r="L19" i="7"/>
  <c r="I19" i="7"/>
  <c r="K19" i="7" s="1"/>
  <c r="I18" i="7"/>
  <c r="I17" i="7"/>
  <c r="I14" i="7"/>
  <c r="K14" i="7" s="1"/>
  <c r="I13" i="7"/>
  <c r="I12" i="7"/>
  <c r="I10" i="7"/>
  <c r="I9" i="7"/>
  <c r="K9" i="7" s="1"/>
  <c r="I8" i="7"/>
  <c r="K8" i="7" s="1"/>
  <c r="I7" i="7"/>
  <c r="K7" i="7" s="1"/>
  <c r="I6" i="7"/>
  <c r="I4" i="7"/>
  <c r="K4" i="7" s="1"/>
  <c r="I3" i="7"/>
  <c r="K3" i="7" s="1"/>
  <c r="I2" i="7"/>
  <c r="K2" i="7" s="1"/>
  <c r="C19" i="7"/>
  <c r="C18" i="7"/>
  <c r="C17" i="7"/>
  <c r="C14" i="7"/>
  <c r="C13" i="7"/>
  <c r="C12" i="7"/>
  <c r="C10" i="7"/>
  <c r="C9" i="7"/>
  <c r="C8" i="7"/>
  <c r="C7" i="7"/>
  <c r="C6" i="7"/>
  <c r="C4" i="7"/>
  <c r="C3" i="7"/>
  <c r="C2" i="7"/>
  <c r="B18" i="7"/>
  <c r="B19" i="7"/>
  <c r="B17" i="7"/>
  <c r="B13" i="7"/>
  <c r="B14" i="7"/>
  <c r="B12" i="7"/>
  <c r="B7" i="7"/>
  <c r="B8" i="7"/>
  <c r="B9" i="7"/>
  <c r="B10" i="7"/>
  <c r="B6" i="7"/>
  <c r="B3" i="7"/>
  <c r="B4" i="7"/>
  <c r="B2" i="7"/>
  <c r="M9" i="8" l="1"/>
  <c r="M19" i="8"/>
  <c r="M5" i="8"/>
  <c r="M25" i="8"/>
  <c r="M13" i="8"/>
  <c r="M8" i="7"/>
  <c r="M13" i="7"/>
  <c r="M6" i="7"/>
  <c r="M18" i="8"/>
  <c r="M6" i="8"/>
  <c r="M22" i="8"/>
  <c r="L20" i="8"/>
  <c r="M10" i="7"/>
  <c r="M9" i="7"/>
  <c r="M19" i="7"/>
  <c r="L11" i="7"/>
  <c r="I15" i="8"/>
  <c r="K15" i="8" s="1"/>
  <c r="M23" i="8"/>
  <c r="B5" i="7"/>
  <c r="M4" i="8"/>
  <c r="M8" i="8"/>
  <c r="M24" i="8"/>
  <c r="L15" i="7"/>
  <c r="M14" i="7"/>
  <c r="B11" i="7"/>
  <c r="M4" i="7"/>
  <c r="B27" i="8"/>
  <c r="B15" i="7"/>
  <c r="I27" i="8"/>
  <c r="K27" i="8" s="1"/>
  <c r="L27" i="8"/>
  <c r="L15" i="8"/>
  <c r="C27" i="8"/>
  <c r="L10" i="8"/>
  <c r="I10" i="8"/>
  <c r="K10" i="8" s="1"/>
  <c r="I20" i="8"/>
  <c r="K20" i="8" s="1"/>
  <c r="C10" i="8"/>
  <c r="C15" i="8"/>
  <c r="C20" i="8"/>
  <c r="M14" i="8"/>
  <c r="M3" i="8"/>
  <c r="M12" i="8"/>
  <c r="B20" i="8"/>
  <c r="B15" i="8"/>
  <c r="B10" i="8"/>
  <c r="M2" i="8"/>
  <c r="M11" i="8"/>
  <c r="M16" i="8"/>
  <c r="M2" i="7"/>
  <c r="L5" i="7"/>
  <c r="M17" i="7"/>
  <c r="C15" i="7"/>
  <c r="C11" i="7"/>
  <c r="M7" i="7"/>
  <c r="M12" i="7"/>
  <c r="M18" i="7"/>
  <c r="I11" i="7"/>
  <c r="K11" i="7" s="1"/>
  <c r="I5" i="7"/>
  <c r="K5" i="7" s="1"/>
  <c r="I15" i="7"/>
  <c r="K15" i="7" s="1"/>
  <c r="M3" i="7"/>
  <c r="C5" i="7"/>
  <c r="I21" i="8" l="1"/>
  <c r="K21" i="8" s="1"/>
  <c r="B21" i="8"/>
  <c r="C21" i="8"/>
  <c r="L21" i="8"/>
  <c r="C16" i="7"/>
  <c r="L16" i="7"/>
  <c r="I16" i="7"/>
  <c r="K16" i="7" s="1"/>
  <c r="B16" i="7"/>
  <c r="B20" i="7"/>
  <c r="B21" i="7" s="1"/>
  <c r="L20" i="7"/>
  <c r="L21" i="7" s="1"/>
  <c r="M11" i="7"/>
  <c r="M20" i="8"/>
  <c r="M15" i="7"/>
  <c r="C30" i="8"/>
  <c r="C31" i="8" s="1"/>
  <c r="M27" i="8"/>
  <c r="B30" i="8"/>
  <c r="B31" i="8" s="1"/>
  <c r="M15" i="8"/>
  <c r="M10" i="8"/>
  <c r="C20" i="7"/>
  <c r="C21" i="7" s="1"/>
  <c r="I20" i="7"/>
  <c r="K20" i="7" s="1"/>
  <c r="M5" i="7"/>
  <c r="I21" i="7" l="1"/>
  <c r="K21" i="7" s="1"/>
  <c r="M21" i="8"/>
  <c r="M16" i="7"/>
  <c r="M20" i="7"/>
  <c r="L28" i="8"/>
  <c r="L30" i="8" s="1"/>
  <c r="L31" i="8" s="1"/>
  <c r="J8" i="7" l="1"/>
  <c r="J12" i="7"/>
  <c r="J2" i="7"/>
  <c r="J7" i="7"/>
  <c r="J13" i="7"/>
  <c r="J3" i="7"/>
  <c r="J10" i="7"/>
  <c r="J16" i="7"/>
  <c r="J14" i="7"/>
  <c r="J6" i="7"/>
  <c r="J5" i="7"/>
  <c r="M21" i="7"/>
  <c r="J21" i="7"/>
  <c r="J15" i="7"/>
  <c r="J18" i="7"/>
  <c r="J4" i="7"/>
  <c r="J17" i="7"/>
  <c r="J9" i="7"/>
  <c r="J11" i="7"/>
  <c r="E5" i="10"/>
  <c r="K5" i="10"/>
  <c r="L5" i="10" s="1"/>
  <c r="D5" i="10"/>
  <c r="E2" i="10"/>
  <c r="K2" i="10"/>
  <c r="L2" i="10" s="1"/>
  <c r="D2" i="10"/>
  <c r="E10" i="10" l="1"/>
  <c r="E14" i="10" s="1"/>
  <c r="E16" i="10" s="1"/>
  <c r="D10" i="10"/>
  <c r="D14" i="10" s="1"/>
  <c r="D16" i="10" s="1"/>
  <c r="K10" i="10"/>
  <c r="L10" i="10" s="1"/>
  <c r="K14" i="10" l="1"/>
  <c r="L14" i="10" s="1"/>
  <c r="F58" i="2"/>
  <c r="E58" i="2"/>
  <c r="C6" i="9" s="1"/>
  <c r="K16" i="10" l="1"/>
  <c r="L16" i="10" s="1"/>
  <c r="Y49" i="2" l="1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6" i="2"/>
  <c r="Y25" i="2"/>
  <c r="Y24" i="2"/>
  <c r="Y23" i="2"/>
  <c r="Y19" i="2"/>
  <c r="Y18" i="2"/>
  <c r="Y17" i="2"/>
  <c r="Y13" i="2"/>
  <c r="Y12" i="2"/>
  <c r="Y11" i="2"/>
  <c r="Y10" i="2"/>
  <c r="Y9" i="2"/>
  <c r="Y8" i="2"/>
  <c r="Y7" i="2"/>
  <c r="Y6" i="2"/>
  <c r="Y5" i="2"/>
  <c r="Y4" i="2"/>
  <c r="Y3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6" i="2"/>
  <c r="G25" i="2"/>
  <c r="G24" i="2"/>
  <c r="G23" i="2"/>
  <c r="G19" i="2"/>
  <c r="G18" i="2"/>
  <c r="G17" i="2"/>
  <c r="G13" i="2"/>
  <c r="G11" i="2"/>
  <c r="G10" i="2"/>
  <c r="G9" i="2"/>
  <c r="G8" i="2"/>
  <c r="G7" i="2"/>
  <c r="G6" i="2"/>
  <c r="G5" i="2"/>
  <c r="G4" i="2"/>
  <c r="G3" i="2"/>
  <c r="D24" i="2"/>
  <c r="D25" i="2"/>
  <c r="D26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23" i="2"/>
  <c r="D4" i="2"/>
  <c r="D5" i="2"/>
  <c r="D6" i="2"/>
  <c r="D7" i="2"/>
  <c r="D8" i="2"/>
  <c r="D9" i="2"/>
  <c r="D10" i="2"/>
  <c r="D11" i="2"/>
  <c r="D13" i="2"/>
  <c r="D17" i="2"/>
  <c r="D18" i="2"/>
  <c r="D19" i="2"/>
  <c r="D3" i="2"/>
  <c r="I28" i="8" l="1"/>
  <c r="K5" i="9"/>
  <c r="K4" i="9" l="1"/>
  <c r="I4" i="9"/>
  <c r="J4" i="9" s="1"/>
  <c r="Y55" i="2"/>
  <c r="I29" i="8"/>
  <c r="K29" i="8" s="1"/>
  <c r="I5" i="9"/>
  <c r="J5" i="9" s="1"/>
  <c r="M28" i="8"/>
  <c r="Y51" i="2"/>
  <c r="Y54" i="2"/>
  <c r="Y53" i="2"/>
  <c r="Y52" i="2"/>
  <c r="Y50" i="2"/>
  <c r="Y16" i="2"/>
  <c r="Y14" i="2"/>
  <c r="Y15" i="2"/>
  <c r="X56" i="2"/>
  <c r="AA56" i="2" s="1"/>
  <c r="X60" i="2"/>
  <c r="K3" i="9" s="1"/>
  <c r="W60" i="2"/>
  <c r="W56" i="2"/>
  <c r="Z56" i="2" s="1"/>
  <c r="X59" i="2"/>
  <c r="W59" i="2"/>
  <c r="Z59" i="2" s="1"/>
  <c r="K2" i="9" l="1"/>
  <c r="AA59" i="2"/>
  <c r="I30" i="8"/>
  <c r="K30" i="8" s="1"/>
  <c r="X57" i="2"/>
  <c r="AA57" i="2" s="1"/>
  <c r="I2" i="9"/>
  <c r="J2" i="9" s="1"/>
  <c r="I3" i="9"/>
  <c r="J3" i="9" s="1"/>
  <c r="M29" i="8"/>
  <c r="Y21" i="2"/>
  <c r="Y20" i="2"/>
  <c r="W57" i="2"/>
  <c r="Z57" i="2" s="1"/>
  <c r="Y56" i="2"/>
  <c r="X58" i="2"/>
  <c r="G12" i="2"/>
  <c r="D55" i="2"/>
  <c r="D54" i="2"/>
  <c r="K6" i="9" l="1"/>
  <c r="AA58" i="2"/>
  <c r="I31" i="8"/>
  <c r="K31" i="8" s="1"/>
  <c r="M30" i="8"/>
  <c r="Y57" i="2"/>
  <c r="W58" i="2"/>
  <c r="Z58" i="2" s="1"/>
  <c r="G14" i="2"/>
  <c r="G15" i="2"/>
  <c r="G50" i="2"/>
  <c r="G51" i="2"/>
  <c r="G52" i="2"/>
  <c r="G53" i="2"/>
  <c r="G54" i="2"/>
  <c r="G55" i="2"/>
  <c r="B59" i="2"/>
  <c r="B2" i="9" s="1"/>
  <c r="D14" i="2"/>
  <c r="D16" i="2"/>
  <c r="D12" i="2"/>
  <c r="B60" i="2"/>
  <c r="B3" i="9" s="1"/>
  <c r="D51" i="2"/>
  <c r="F59" i="2"/>
  <c r="C60" i="2"/>
  <c r="D53" i="2"/>
  <c r="D15" i="2"/>
  <c r="D50" i="2"/>
  <c r="D52" i="2"/>
  <c r="E60" i="2"/>
  <c r="C56" i="2"/>
  <c r="C57" i="2" s="1"/>
  <c r="E59" i="2"/>
  <c r="F60" i="2"/>
  <c r="C59" i="2"/>
  <c r="B56" i="2"/>
  <c r="J2" i="8" l="1"/>
  <c r="J14" i="8"/>
  <c r="J28" i="8"/>
  <c r="M31" i="8"/>
  <c r="J26" i="8"/>
  <c r="J18" i="8"/>
  <c r="J7" i="8"/>
  <c r="J24" i="8"/>
  <c r="J23" i="8"/>
  <c r="J13" i="8"/>
  <c r="J12" i="8"/>
  <c r="J27" i="8"/>
  <c r="J8" i="8"/>
  <c r="J19" i="8"/>
  <c r="J16" i="8"/>
  <c r="J22" i="8"/>
  <c r="J25" i="8"/>
  <c r="J5" i="8"/>
  <c r="J4" i="8"/>
  <c r="J3" i="8"/>
  <c r="J31" i="8"/>
  <c r="J21" i="8"/>
  <c r="J9" i="8"/>
  <c r="J10" i="8"/>
  <c r="J17" i="8"/>
  <c r="J20" i="8"/>
  <c r="J6" i="8"/>
  <c r="J15" i="8"/>
  <c r="J11" i="8"/>
  <c r="I6" i="9"/>
  <c r="J6" i="9" s="1"/>
  <c r="C2" i="9"/>
  <c r="C3" i="9"/>
  <c r="C58" i="2"/>
  <c r="G20" i="2"/>
  <c r="G56" i="2"/>
  <c r="G16" i="2"/>
  <c r="D21" i="2"/>
  <c r="D20" i="2"/>
  <c r="B57" i="2"/>
  <c r="D57" i="2" s="1"/>
  <c r="D56" i="2"/>
  <c r="G21" i="2" l="1"/>
  <c r="G57" i="2"/>
  <c r="B58" i="2"/>
  <c r="B6" i="9" s="1"/>
</calcChain>
</file>

<file path=xl/sharedStrings.xml><?xml version="1.0" encoding="utf-8"?>
<sst xmlns="http://schemas.openxmlformats.org/spreadsheetml/2006/main" count="493" uniqueCount="374">
  <si>
    <t>Risultato di amministrazione (A)</t>
  </si>
  <si>
    <t>Parte accantonata (B)</t>
  </si>
  <si>
    <t>Parte vincolata (C)</t>
  </si>
  <si>
    <t>Parte destinata a investimenti (D)</t>
  </si>
  <si>
    <t>Parte disponibile (E=A-B-C-D)</t>
  </si>
  <si>
    <t>Saldo di cassa</t>
  </si>
  <si>
    <t>Residui attivi</t>
  </si>
  <si>
    <t>Residui passivi</t>
  </si>
  <si>
    <t>FPV per spese correnti</t>
  </si>
  <si>
    <t>Fondo crediti di dubbia esigibilità</t>
  </si>
  <si>
    <t>Fondo anticipazioni liquidità DL35/2013</t>
  </si>
  <si>
    <t>Fondo perdite società partecipate</t>
  </si>
  <si>
    <t>Fondo contenzioso</t>
  </si>
  <si>
    <t>Altri accantonamenti</t>
  </si>
  <si>
    <t>Vincoli da trasferimenti</t>
  </si>
  <si>
    <t>Vincoli da leggi e principi contabili</t>
  </si>
  <si>
    <t>Vincoli da contrazione di mutui</t>
  </si>
  <si>
    <t>Vincoli attribuiti dall'ente</t>
  </si>
  <si>
    <t>Altri vincoli</t>
  </si>
  <si>
    <t xml:space="preserve">  100 Entrate correnti di natura tributaria, contributiva e perequativa </t>
  </si>
  <si>
    <t xml:space="preserve">  200 Trasferimenti correnti </t>
  </si>
  <si>
    <t xml:space="preserve">  300 Entrate extratributarie </t>
  </si>
  <si>
    <t xml:space="preserve">  401 Tributi in conto capitale</t>
  </si>
  <si>
    <t xml:space="preserve">  402 Contributi agli investimenti </t>
  </si>
  <si>
    <t xml:space="preserve">  403 Altri trasferimenti in conto capitale </t>
  </si>
  <si>
    <t xml:space="preserve">  404 Entrate da alienazione di beni materiali e immateriali </t>
  </si>
  <si>
    <t xml:space="preserve">  405 Altre entrate in conto capitale </t>
  </si>
  <si>
    <t xml:space="preserve">  501 Alienazione di attività finanziarie </t>
  </si>
  <si>
    <t xml:space="preserve">  502_3 Riscossione di crediti </t>
  </si>
  <si>
    <t xml:space="preserve">  504 Altre entrate per riduzione di attività finanziarie </t>
  </si>
  <si>
    <t xml:space="preserve"> - Entrate correnti </t>
  </si>
  <si>
    <t xml:space="preserve"> - Entrate in conto capitale</t>
  </si>
  <si>
    <t xml:space="preserve"> - Entrate da riduzione attività finanziarie </t>
  </si>
  <si>
    <t xml:space="preserve"> - Accensione di prestiti </t>
  </si>
  <si>
    <t xml:space="preserve"> - Anticipazioni da istituto tesoriere/cassiere </t>
  </si>
  <si>
    <t xml:space="preserve"> - Entrate per conto terzi e partite di giro</t>
  </si>
  <si>
    <t>Totale Entrate</t>
  </si>
  <si>
    <t>Entrate nette</t>
  </si>
  <si>
    <t xml:space="preserve">101 REDDITI DA LAVORO DIPENDENTE </t>
  </si>
  <si>
    <t xml:space="preserve">102 IMPOSTE E TASSE A CARICO DELL'ENTE </t>
  </si>
  <si>
    <t xml:space="preserve">103 ACQUISTO DI BENI E SERVIZI </t>
  </si>
  <si>
    <t xml:space="preserve">104 TRASFERIMENTI CORRENTI </t>
  </si>
  <si>
    <t xml:space="preserve">107 INTERESSI PASSIVI </t>
  </si>
  <si>
    <t xml:space="preserve">108 ALTRE SPESE PER REDDITI DA CAPITALE </t>
  </si>
  <si>
    <t xml:space="preserve">109 RIMBORSI E POSTE CORRETTIVE DELLE ENTRATE </t>
  </si>
  <si>
    <t xml:space="preserve">110 ALTRE SPESE CORRENTI </t>
  </si>
  <si>
    <t>201 TRIBUTI IN CONTO CAPITALE A CARICO DELL?ENTE</t>
  </si>
  <si>
    <t xml:space="preserve">202 INVESTIMENTI FISSI LORDI E ACQUISTO DI TERRENI </t>
  </si>
  <si>
    <t xml:space="preserve">203 CONTRIBUTI AGLI INVESTIMENTI </t>
  </si>
  <si>
    <t xml:space="preserve">204ALTRI TRASFERIMENTI IN CONTO CAPITALE </t>
  </si>
  <si>
    <t xml:space="preserve">205ALTRE SPESE IN CONTO CAPITALE </t>
  </si>
  <si>
    <t xml:space="preserve">301 ACQUISIZIONI DI ATTIVITA' FINANZIARIE </t>
  </si>
  <si>
    <t xml:space="preserve">303 CONCESSIONE CREDITI DI MEDIO-LUNGO TERMINE </t>
  </si>
  <si>
    <t xml:space="preserve">304 ALTRE SPESE PER INCREMENTO DI ATTIVITA' FINANZIARIE </t>
  </si>
  <si>
    <t xml:space="preserve">401 RIMBORSO DI TITOLI OBBLIGAZIONARI </t>
  </si>
  <si>
    <t xml:space="preserve">402 RIMBORSO PRESTITI A BREVE TERMINE </t>
  </si>
  <si>
    <t xml:space="preserve">403 RIMBORSO MUTUI E ALTRI FINANZIAMENTI A MEDIO LUNGO TERMINE </t>
  </si>
  <si>
    <t xml:space="preserve">404 RIMBORSO DI ALTRE FORME DI INDEBITAMENTO </t>
  </si>
  <si>
    <t xml:space="preserve">405 FONDI PER RIMBORSO PRESTITI </t>
  </si>
  <si>
    <t xml:space="preserve">501 CHIUSURA ANTICIPAZIONI RICEVUTE DA ISTITUTO TESORIERE/CASSIERE </t>
  </si>
  <si>
    <t xml:space="preserve">701 USCITE PER PARTITE DI GIRO </t>
  </si>
  <si>
    <t xml:space="preserve">702 USCITE PER CONTO TERZI </t>
  </si>
  <si>
    <t>1 Spese correnti</t>
  </si>
  <si>
    <t>2 Spese in conto capitale</t>
  </si>
  <si>
    <t>3 Spese per incremento attività finanziaria</t>
  </si>
  <si>
    <t>4 Rimborso prestiti</t>
  </si>
  <si>
    <t>5 Chiusura anticipazioni ricevute tesoriere/cassiere</t>
  </si>
  <si>
    <t>7 Conto terzi e partite di giro</t>
  </si>
  <si>
    <t>Totale Uscite</t>
  </si>
  <si>
    <t>Uscite nette</t>
  </si>
  <si>
    <t>Saldo entrate/uscite</t>
  </si>
  <si>
    <t>Saldo corrente</t>
  </si>
  <si>
    <t>Saldo in conto capitale</t>
  </si>
  <si>
    <t>Acc</t>
  </si>
  <si>
    <t>Risc</t>
  </si>
  <si>
    <t>Imp</t>
  </si>
  <si>
    <t>Pag</t>
  </si>
  <si>
    <t>Rigidità strutturale di bilancio</t>
  </si>
  <si>
    <t>1.1</t>
  </si>
  <si>
    <t>Incidenza spese rigide (ripiano disavanzo,personale e debito) su entrate correnti</t>
  </si>
  <si>
    <t>Entrate correnti</t>
  </si>
  <si>
    <t>2.1</t>
  </si>
  <si>
    <t>Incidenza degli accertamenti di parte corrente sulle previsioni iniziali di parte corrente</t>
  </si>
  <si>
    <t>2.2</t>
  </si>
  <si>
    <t>Incidenza degli accertamenti di parte corrente sulle previsioni definitive di parte corrente</t>
  </si>
  <si>
    <t>2.3</t>
  </si>
  <si>
    <t>Incidenza degli accertamenti delle entrate proprie sulle previsioni iniziali di parte corrente</t>
  </si>
  <si>
    <t>2.4</t>
  </si>
  <si>
    <t>Incidenza degli accertamenti delle entrate proprie sulle previsioni definitive di parte corrente</t>
  </si>
  <si>
    <t>2.5</t>
  </si>
  <si>
    <t>Incidenza degli incassi correnti sulle previsioni iniziali di parte corrente</t>
  </si>
  <si>
    <t>2.6</t>
  </si>
  <si>
    <t>Incidenza degli incassi correnti sulle previsioni definitive di parte corrente</t>
  </si>
  <si>
    <t>2.7</t>
  </si>
  <si>
    <t>Incidenza degli incassi delle entrate proprie sulle previsioni iniziali di parte corrente</t>
  </si>
  <si>
    <t>2.8</t>
  </si>
  <si>
    <t>Incidenza degli incassi delle entrate proprie sulle previsioni definitive di parte corrente</t>
  </si>
  <si>
    <t>Anticipazioni dell'Istituto tesoriere</t>
  </si>
  <si>
    <t>3.1</t>
  </si>
  <si>
    <t>Utilizzo medio Anticipazioni di tesoreria</t>
  </si>
  <si>
    <t>3.2</t>
  </si>
  <si>
    <t>Anticipazione chiuse solo contabilmente</t>
  </si>
  <si>
    <t>Spese di personale</t>
  </si>
  <si>
    <t>4.1</t>
  </si>
  <si>
    <t>Incidenza della spesa di personale sulla spesa corrente</t>
  </si>
  <si>
    <t>4.2</t>
  </si>
  <si>
    <t>Incidenza del salario accessorio ed incentivante rispetto al totale della spesa di personale</t>
  </si>
  <si>
    <t>4.3</t>
  </si>
  <si>
    <t>Incidenza spesa personale flessibile rispetto al totale della spesa di personale</t>
  </si>
  <si>
    <t>4.4</t>
  </si>
  <si>
    <t>Spesa di personale procapite</t>
  </si>
  <si>
    <t>Esternalizzazione dei servizi</t>
  </si>
  <si>
    <t>5.1</t>
  </si>
  <si>
    <t>Indicatore di esternalizzazione dei servizi</t>
  </si>
  <si>
    <t>Interessi passivi</t>
  </si>
  <si>
    <t>6.1</t>
  </si>
  <si>
    <t>Incidenza degli interessi passivi sulla spesa corrente</t>
  </si>
  <si>
    <t>6.2</t>
  </si>
  <si>
    <t>Incidenza degli interessi passivi sulle anticipazioni sul totale della spesa per interessi passivi</t>
  </si>
  <si>
    <t>6.3</t>
  </si>
  <si>
    <t>Incidenza interessi di mora sul totale della spesa per interessi passivi</t>
  </si>
  <si>
    <t>Investimenti</t>
  </si>
  <si>
    <t>7.1</t>
  </si>
  <si>
    <t>Incidenza investimenti sul totale della spesa corrente e in conto capitale</t>
  </si>
  <si>
    <t>7.2</t>
  </si>
  <si>
    <t>Investimenti diretti procapite</t>
  </si>
  <si>
    <t>7.3</t>
  </si>
  <si>
    <t>Contributi agli investimenti procapite</t>
  </si>
  <si>
    <t>7.4</t>
  </si>
  <si>
    <t>Investimenti complessivi procapite</t>
  </si>
  <si>
    <t>7.5</t>
  </si>
  <si>
    <t>Quota investimenti complessivi finanziati dal risparmio corrente</t>
  </si>
  <si>
    <t>7.6</t>
  </si>
  <si>
    <t>Quota investimenti complessivi finanziati dal saldo positivo delle partite finanziarie</t>
  </si>
  <si>
    <t>7.7</t>
  </si>
  <si>
    <t>Quota investimenti complessivi finanziati da debito</t>
  </si>
  <si>
    <t>Analisi dei residui</t>
  </si>
  <si>
    <t>8.1</t>
  </si>
  <si>
    <t>Incidenza nuovi residui passivi di parte corrente su stock residui passivi correnti</t>
  </si>
  <si>
    <t>8.2</t>
  </si>
  <si>
    <t>Incidenza nuovi residui passivi in c/capitale su stock residui passivi in conto capitale al 31/12</t>
  </si>
  <si>
    <t>8.3</t>
  </si>
  <si>
    <t>Incidenza nuovi residui passivi per incremento attività finanziarie su stock residui passivi per incremento attività finanziarie al 31/12</t>
  </si>
  <si>
    <t>8.4</t>
  </si>
  <si>
    <t>Incidenza nuovi residui attivi di parte corrente su stock residui attivi di parte corrente</t>
  </si>
  <si>
    <t>8.5</t>
  </si>
  <si>
    <t>Incidenza nuovi residui attivi in c/capitale su stock residui attivi in c/capitale</t>
  </si>
  <si>
    <t>8.6</t>
  </si>
  <si>
    <t>Incidenza nuovi residui attivi per riduzione di attività finanziarie su stock residui attivi per riduzione di attività finanziarie</t>
  </si>
  <si>
    <t>Smaltimento debiti non finanziari</t>
  </si>
  <si>
    <t>9.1</t>
  </si>
  <si>
    <t>Smaltimento debiti commerciali nati nell'esercizio</t>
  </si>
  <si>
    <t>9.2</t>
  </si>
  <si>
    <t>Smaltimento debiti commerciali nati negli esercizi precedenti</t>
  </si>
  <si>
    <t>9.3</t>
  </si>
  <si>
    <t>Smaltimento debiti verso altre amministrazioni pubbliche nati nell'esercizio</t>
  </si>
  <si>
    <t>9.4</t>
  </si>
  <si>
    <t>Smaltimento debiti verso altre amministrazioni pubbliche nati negli esercizi precedenti</t>
  </si>
  <si>
    <t>9.5</t>
  </si>
  <si>
    <t>Indicatore annuale di tempestività dei pagamenti</t>
  </si>
  <si>
    <t>Debiti finanziari</t>
  </si>
  <si>
    <t>10.1</t>
  </si>
  <si>
    <t>Incidenza estinzioni anticipate debiti finanziari</t>
  </si>
  <si>
    <t>10.2</t>
  </si>
  <si>
    <t>Incidenza estinzioni ordinarie debiti finanziari</t>
  </si>
  <si>
    <t>10.3</t>
  </si>
  <si>
    <t>Sostenibilità debiti finanziari</t>
  </si>
  <si>
    <t>10.4</t>
  </si>
  <si>
    <t>Indebitamento procapite</t>
  </si>
  <si>
    <t>Composizione dell'avanzo di amministrazione</t>
  </si>
  <si>
    <t>11.1</t>
  </si>
  <si>
    <t>Incidenza quota libera di parte corrente nell'avanzo</t>
  </si>
  <si>
    <t>11.2</t>
  </si>
  <si>
    <t>Incidenza quota libera in c/capitale nell'avanzo</t>
  </si>
  <si>
    <t>11.3</t>
  </si>
  <si>
    <t>Incidenza quota accantonata nell'avanzo</t>
  </si>
  <si>
    <t>11.4</t>
  </si>
  <si>
    <t>Incidenza quota vincolata nell'avanzo</t>
  </si>
  <si>
    <t>Disavanzo di amministrazione</t>
  </si>
  <si>
    <t>12.1</t>
  </si>
  <si>
    <t>Quota disavanzo ripianato nell'esercizio</t>
  </si>
  <si>
    <t>12.2</t>
  </si>
  <si>
    <t>Incremento del disavanzo rispetto all'esercizio precedente</t>
  </si>
  <si>
    <t>12.3</t>
  </si>
  <si>
    <t>Sostenibilità patrimoniale del disavanzo</t>
  </si>
  <si>
    <t>12.4</t>
  </si>
  <si>
    <t>Sostenibilità disavanzo effettivamente a carico dell'esercizio</t>
  </si>
  <si>
    <t>Debiti fuori bilancio</t>
  </si>
  <si>
    <t>13.1</t>
  </si>
  <si>
    <t>Debiti riconosciuti e finanziati</t>
  </si>
  <si>
    <t>13.2</t>
  </si>
  <si>
    <t>Debiti in corso di riconoscimento</t>
  </si>
  <si>
    <t>13.3</t>
  </si>
  <si>
    <t>Debiti riconosciuti e in corso di finanziamento</t>
  </si>
  <si>
    <t>Fondo pluriennale vincolato</t>
  </si>
  <si>
    <t>14.1</t>
  </si>
  <si>
    <t>Utilizzo del FPV</t>
  </si>
  <si>
    <t>Partite di giro e conto terzi</t>
  </si>
  <si>
    <t>15.1</t>
  </si>
  <si>
    <t>Incidenza partite di giro e conto terzi in entrata</t>
  </si>
  <si>
    <t>15.2</t>
  </si>
  <si>
    <t>Incidenza partite di giro e conto terzi in uscita</t>
  </si>
  <si>
    <t>Complessiva</t>
  </si>
  <si>
    <t>Crediti esigibili nell'esercizio</t>
  </si>
  <si>
    <t>Crediti esigibili negli esercizi precedenti</t>
  </si>
  <si>
    <t>Istruzione e diritto allo studio</t>
  </si>
  <si>
    <t>Trasporti e diritto alla mobilità</t>
  </si>
  <si>
    <t>Diritti sociali, politiche sociali e famiglia</t>
  </si>
  <si>
    <t>Capacità di pagamento</t>
  </si>
  <si>
    <t>Debiti da finanziamento (D1)</t>
  </si>
  <si>
    <t>Piano degli indicatori</t>
  </si>
  <si>
    <t>Soglia</t>
  </si>
  <si>
    <t>Crediti verso lo Stato e altre AP per Fondo dotazione (A)</t>
  </si>
  <si>
    <t>Immobilizzazioni immateriali (B1)</t>
  </si>
  <si>
    <t>Immobilizzazioni materiali (B2)</t>
  </si>
  <si>
    <t>Crediti (C2)</t>
  </si>
  <si>
    <t>Disponibilità liquide (C4)</t>
  </si>
  <si>
    <t>Ratei e risconti attivi (D)</t>
  </si>
  <si>
    <t>TOTALE ATTIVO</t>
  </si>
  <si>
    <t>Fondo di dotazione (A1)</t>
  </si>
  <si>
    <t>Riserve (A2)</t>
  </si>
  <si>
    <t>Risultato economico dell'esercizio (A3)</t>
  </si>
  <si>
    <t>Fondo rischi ed oneri (B)</t>
  </si>
  <si>
    <t>Debiti verso fornitori (D2)</t>
  </si>
  <si>
    <t>Debiti per trasferimenti e contributi (D4)</t>
  </si>
  <si>
    <t>Altri debiti (D5)</t>
  </si>
  <si>
    <t>Ratei e risconti passivi (E)</t>
  </si>
  <si>
    <t>TOTALE PASSIVO</t>
  </si>
  <si>
    <t>Immobilizzazioni finanziarie - partecipazioni (B3.1)</t>
  </si>
  <si>
    <t>Immobilizzazioni finanziarie - crediti (B3.2)</t>
  </si>
  <si>
    <t>Immobilizzazioni finanziarie - altri titoli (B3.3)</t>
  </si>
  <si>
    <t>Rimanenze (C1)</t>
  </si>
  <si>
    <t>Attività finanziarie che non costituiscono utilizzi (C3)</t>
  </si>
  <si>
    <t>Var. %</t>
  </si>
  <si>
    <t>%Risc</t>
  </si>
  <si>
    <t>Proventi da tributi</t>
  </si>
  <si>
    <t>Proventi da fondi perequativi</t>
  </si>
  <si>
    <t>Proventi da trasferimenti e contributi</t>
  </si>
  <si>
    <t>Ricavi delle vendite e prestazioni e proventi da servizi pubblici</t>
  </si>
  <si>
    <t>Variazioni nelle rimanenze di prodotti in corso di lavorazione, etc. (+/-)</t>
  </si>
  <si>
    <t>Variazione dei lavori in corso su ordinazione</t>
  </si>
  <si>
    <t>Incrementi di immobilizzazioni per lavori interni</t>
  </si>
  <si>
    <t>Altri ricavi e proventi diversi</t>
  </si>
  <si>
    <t>Acquisto di materie prime e/o beni di consumo</t>
  </si>
  <si>
    <t>Prestazioni di servizi</t>
  </si>
  <si>
    <t>Utilizzo beni di terzi</t>
  </si>
  <si>
    <t>Trasferimenti e contributi</t>
  </si>
  <si>
    <t>Personale</t>
  </si>
  <si>
    <t>Ammortamenti e svalutazioni</t>
  </si>
  <si>
    <t>Variazioni nelle rimanenze di materie prime e/o beni di consumo (+/-)</t>
  </si>
  <si>
    <t>Accantonamenti per rischi</t>
  </si>
  <si>
    <t>Oneri diversi di gestione</t>
  </si>
  <si>
    <t>Proventi finanziari</t>
  </si>
  <si>
    <t>Oneri finanziari</t>
  </si>
  <si>
    <t>Rettifiche di valore</t>
  </si>
  <si>
    <t>Proventi straordinari</t>
  </si>
  <si>
    <t>Oneri straordinari</t>
  </si>
  <si>
    <t>Imposte</t>
  </si>
  <si>
    <t>Risultato dell'esercizio</t>
  </si>
  <si>
    <t>(+)</t>
  </si>
  <si>
    <t>(-)</t>
  </si>
  <si>
    <t>(=)</t>
  </si>
  <si>
    <t xml:space="preserve">302 CONCESSIONE CREDITI DI BREVE TERMINE </t>
  </si>
  <si>
    <t>COMPONENTI POSITIVI DELLA GESTIONE</t>
  </si>
  <si>
    <t>COMPONENTI NEGATIVI DELLA GESTIONE</t>
  </si>
  <si>
    <t>Diff.</t>
  </si>
  <si>
    <t>PATRIMONIO NETTO</t>
  </si>
  <si>
    <t>Incidenza spesa (al netto servizi per conto terzi)</t>
  </si>
  <si>
    <t>% Risc.</t>
  </si>
  <si>
    <t>101 Redditi da lavoro dipendente</t>
  </si>
  <si>
    <t>102 Imposte e tasse a carico dell'ente</t>
  </si>
  <si>
    <t>103 Acquisto di beni e servizi</t>
  </si>
  <si>
    <t>104 Trasferimenti correnti</t>
  </si>
  <si>
    <t>107 Interessi passivi</t>
  </si>
  <si>
    <t>108 Altre spese per redditi da capitale</t>
  </si>
  <si>
    <t>109 Rimborsi e poste correttive delle entrate</t>
  </si>
  <si>
    <t>110 Altre spese correnti</t>
  </si>
  <si>
    <t>202 Investimenti fissi lordi e acquisto di terreni</t>
  </si>
  <si>
    <t>203 Contributi agli investimenti</t>
  </si>
  <si>
    <t>204 Altri trasferimenti in conto capitale</t>
  </si>
  <si>
    <t>205 Altre spese in conto capitale</t>
  </si>
  <si>
    <t xml:space="preserve"> - Spese correnti </t>
  </si>
  <si>
    <t xml:space="preserve"> - Spese in conto capitale</t>
  </si>
  <si>
    <t>301 Acquisizioni di attività finanziarie</t>
  </si>
  <si>
    <t>302 Concessione crediti di breve termine</t>
  </si>
  <si>
    <t>303 Concessione crediti di medio-lungo termine</t>
  </si>
  <si>
    <t>304 Altre spese per incremento di attività finanziarie</t>
  </si>
  <si>
    <t xml:space="preserve"> - Spese per incremento attività finanziarie </t>
  </si>
  <si>
    <t>401 Rimborso di titoli obbligazionari</t>
  </si>
  <si>
    <t>402 Rimborso prestiti a breve termine</t>
  </si>
  <si>
    <t>403 Rimborso mutui e finanziamenti a medio-lungo termine</t>
  </si>
  <si>
    <t>404 Rimborso di altre forme di indebitamento</t>
  </si>
  <si>
    <t>405 Fondi per rimborso prestiti</t>
  </si>
  <si>
    <t xml:space="preserve"> - Rimborso prestiti </t>
  </si>
  <si>
    <t xml:space="preserve"> - Chiusura anticipazioni ricevute da tesoriere/cassiere </t>
  </si>
  <si>
    <t xml:space="preserve"> - Uscite per conto terzi e partite di giro</t>
  </si>
  <si>
    <t>Comp.% netta</t>
  </si>
  <si>
    <t xml:space="preserve">Saldo corrente </t>
  </si>
  <si>
    <t xml:space="preserve">Saldo finale </t>
  </si>
  <si>
    <t>Saldo netto</t>
  </si>
  <si>
    <t>Saldo riduzione/incremento attività finanziarie</t>
  </si>
  <si>
    <t>Capacità di riscossione</t>
  </si>
  <si>
    <t>Spesa per il personale (pro capite)</t>
  </si>
  <si>
    <t>Investimenti (pro capite)</t>
  </si>
  <si>
    <t>Entrate natura tributaria, contributiva e perequativa (Titolo 1)</t>
  </si>
  <si>
    <t>Saldo della gestione</t>
  </si>
  <si>
    <t>(Proventi - Oneri) finanziari</t>
  </si>
  <si>
    <t>(Proventi- Oneri) straordinari</t>
  </si>
  <si>
    <t>Saldo prima delle imposte</t>
  </si>
  <si>
    <t>Parametro</t>
  </si>
  <si>
    <t>Indicatore</t>
  </si>
  <si>
    <t>P.1</t>
  </si>
  <si>
    <t>P.2</t>
  </si>
  <si>
    <t>P.3</t>
  </si>
  <si>
    <t>P.4</t>
  </si>
  <si>
    <t>P.5</t>
  </si>
  <si>
    <t>P.6</t>
  </si>
  <si>
    <t>P.7</t>
  </si>
  <si>
    <t>P.8</t>
  </si>
  <si>
    <t>Incidenza spese rigide (ripiano disavanzo, personale e debito) su entrate correnti</t>
  </si>
  <si>
    <t>Descrizione</t>
  </si>
  <si>
    <t>13.2/3</t>
  </si>
  <si>
    <t>Anticipazione di tesoreria chiuse solo contabilmente</t>
  </si>
  <si>
    <t>Sostenibilità dei debiti finanziari</t>
  </si>
  <si>
    <t>Debiti in corso di riconoscimento o di finanziamento</t>
  </si>
  <si>
    <t>Effettiva capacità di riscossione (totale Entrate)</t>
  </si>
  <si>
    <t>&gt; 48</t>
  </si>
  <si>
    <t>&lt;22</t>
  </si>
  <si>
    <t>&gt;0</t>
  </si>
  <si>
    <t>&gt;16</t>
  </si>
  <si>
    <t>&gt;1,2</t>
  </si>
  <si>
    <t>&gt;1</t>
  </si>
  <si>
    <t>&gt;0,6</t>
  </si>
  <si>
    <t>&lt;47</t>
  </si>
  <si>
    <t>Totale Entrate nette</t>
  </si>
  <si>
    <t>% Pag.</t>
  </si>
  <si>
    <t>Risc. - Pag.</t>
  </si>
  <si>
    <t xml:space="preserve">  -- di cui proventi da tributi</t>
  </si>
  <si>
    <t xml:space="preserve">  -- di cui proventi da trasferimenti</t>
  </si>
  <si>
    <t xml:space="preserve">  -- di cui prestazioni di servizi</t>
  </si>
  <si>
    <t xml:space="preserve">  -- di cui personale</t>
  </si>
  <si>
    <t xml:space="preserve">  -- di cui ammortamenti e svalutazioni</t>
  </si>
  <si>
    <t>Ricavi e proventi</t>
  </si>
  <si>
    <t>Costi</t>
  </si>
  <si>
    <t>Entrate finali</t>
  </si>
  <si>
    <t>Uscite finali</t>
  </si>
  <si>
    <t>Sviluppo sostenibile, tutela territ. e ambiente</t>
  </si>
  <si>
    <t>Saldo naturale</t>
  </si>
  <si>
    <t>Saldo migratorio</t>
  </si>
  <si>
    <t>Verifica</t>
  </si>
  <si>
    <t>Fondo a copertura residui perenti</t>
  </si>
  <si>
    <t>105 TRASFERIMENTI DI TRIBUTI</t>
  </si>
  <si>
    <t>106 FONDI PEREQUATIVI</t>
  </si>
  <si>
    <t>12.5</t>
  </si>
  <si>
    <t>Quota disavanzo derivante da debito autorizzato e non contratto</t>
  </si>
  <si>
    <t xml:space="preserve">Tutela della salute </t>
  </si>
  <si>
    <t>FPV per spese in conto capitale (*)</t>
  </si>
  <si>
    <t>(*) include FPV per incremento attività finanziarie</t>
  </si>
  <si>
    <t>Media Regioni</t>
  </si>
  <si>
    <t xml:space="preserve">     di cui da tributi destinati al finanziamento della sanità</t>
  </si>
  <si>
    <t xml:space="preserve">    di cui enti finanziati dal ssn</t>
  </si>
  <si>
    <t xml:space="preserve">    di cui altre amministrazioni pubbliche</t>
  </si>
  <si>
    <t>Riaccertamento residui attivi</t>
  </si>
  <si>
    <t xml:space="preserve">     di cui da trasferimenti e contributi da amm.ni pubbliche</t>
  </si>
  <si>
    <t>Anno</t>
  </si>
  <si>
    <t>Regione</t>
  </si>
  <si>
    <t>Popolazione al 1° gennaio</t>
  </si>
  <si>
    <t>Rapporto Fcde/Residui attivi (scala dx)</t>
  </si>
  <si>
    <t>Saldo censuario</t>
  </si>
  <si>
    <t>Risultato economico di esercizi precedenti (A4)</t>
  </si>
  <si>
    <t>Riserve negative per beni indisponibili (A5)</t>
  </si>
  <si>
    <t>Margine operativo lordo</t>
  </si>
  <si>
    <t>Riscossioni 2023</t>
  </si>
  <si>
    <t>Pagamenti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</si>
</sst>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_-;\-* #,##0_-;_-* &quot;-&quot;??_-;_-@_-"/>
    <numFmt numFmtId="165" formatCode="0.0"/>
    <numFmt numFmtId="166" formatCode="#,##0_ ;\-#,##0\ "/>
    <numFmt numFmtId="167" formatCode="#,##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b/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ont="0" applyBorder="0" applyProtection="0"/>
  </cellStyleXfs>
  <cellXfs count="122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/>
    <xf numFmtId="0" fontId="5" fillId="0" borderId="0" xfId="2" applyFont="1" applyFill="1" applyBorder="1" applyAlignment="1" applyProtection="1">
      <alignment vertical="center" readingOrder="1"/>
    </xf>
    <xf numFmtId="165" fontId="0" fillId="0" borderId="0" xfId="0" applyNumberFormat="1"/>
    <xf numFmtId="2" fontId="0" fillId="0" borderId="0" xfId="0" applyNumberFormat="1"/>
    <xf numFmtId="0" fontId="0" fillId="3" borderId="0" xfId="0" applyFill="1"/>
    <xf numFmtId="0" fontId="0" fillId="3" borderId="0" xfId="0" applyFill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1" xfId="2" applyFont="1" applyFill="1" applyBorder="1" applyAlignment="1" applyProtection="1">
      <alignment vertical="center" readingOrder="1"/>
    </xf>
    <xf numFmtId="164" fontId="0" fillId="0" borderId="1" xfId="0" applyNumberFormat="1" applyBorder="1"/>
    <xf numFmtId="165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 applyBorder="1"/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2" xfId="0" applyNumberFormat="1" applyBorder="1"/>
    <xf numFmtId="0" fontId="0" fillId="0" borderId="4" xfId="0" applyBorder="1" applyAlignment="1">
      <alignment horizontal="center"/>
    </xf>
    <xf numFmtId="164" fontId="0" fillId="0" borderId="4" xfId="0" applyNumberFormat="1" applyBorder="1"/>
    <xf numFmtId="164" fontId="0" fillId="0" borderId="5" xfId="0" applyNumberFormat="1" applyBorder="1"/>
    <xf numFmtId="0" fontId="0" fillId="0" borderId="0" xfId="0" quotePrefix="1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164" fontId="0" fillId="2" borderId="0" xfId="1" applyNumberFormat="1" applyFont="1" applyFill="1"/>
    <xf numFmtId="2" fontId="0" fillId="0" borderId="0" xfId="0" applyNumberFormat="1" applyFill="1"/>
    <xf numFmtId="0" fontId="0" fillId="0" borderId="0" xfId="0" applyFill="1"/>
    <xf numFmtId="0" fontId="0" fillId="0" borderId="0" xfId="0" applyBorder="1"/>
    <xf numFmtId="0" fontId="0" fillId="0" borderId="0" xfId="0" quotePrefix="1" applyBorder="1" applyAlignment="1">
      <alignment horizontal="center"/>
    </xf>
    <xf numFmtId="3" fontId="0" fillId="0" borderId="0" xfId="0" applyNumberFormat="1" applyBorder="1"/>
    <xf numFmtId="0" fontId="1" fillId="0" borderId="1" xfId="0" applyFont="1" applyFill="1" applyBorder="1"/>
    <xf numFmtId="0" fontId="1" fillId="0" borderId="1" xfId="0" quotePrefix="1" applyFont="1" applyBorder="1" applyAlignment="1">
      <alignment horizontal="center"/>
    </xf>
    <xf numFmtId="3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/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0" xfId="1" applyNumberFormat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2" fillId="0" borderId="1" xfId="0" applyNumberFormat="1" applyFont="1" applyBorder="1"/>
    <xf numFmtId="165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7" fillId="4" borderId="0" xfId="0" applyFont="1" applyFill="1"/>
    <xf numFmtId="164" fontId="0" fillId="4" borderId="0" xfId="0" applyNumberFormat="1" applyFill="1"/>
    <xf numFmtId="165" fontId="0" fillId="4" borderId="0" xfId="0" applyNumberFormat="1" applyFill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0" fontId="8" fillId="4" borderId="0" xfId="2" applyFont="1" applyFill="1" applyBorder="1" applyAlignment="1" applyProtection="1">
      <alignment vertical="center" readingOrder="1"/>
    </xf>
    <xf numFmtId="164" fontId="0" fillId="4" borderId="0" xfId="0" applyNumberFormat="1" applyFont="1" applyFill="1"/>
    <xf numFmtId="165" fontId="0" fillId="4" borderId="0" xfId="0" applyNumberFormat="1" applyFont="1" applyFill="1" applyAlignment="1">
      <alignment horizontal="center"/>
    </xf>
    <xf numFmtId="0" fontId="0" fillId="4" borderId="0" xfId="0" applyFont="1" applyFill="1"/>
    <xf numFmtId="0" fontId="0" fillId="0" borderId="0" xfId="0" applyFill="1" applyAlignment="1">
      <alignment horizontal="center"/>
    </xf>
    <xf numFmtId="166" fontId="0" fillId="4" borderId="0" xfId="0" applyNumberFormat="1" applyFont="1" applyFill="1"/>
    <xf numFmtId="166" fontId="3" fillId="4" borderId="0" xfId="1" applyNumberFormat="1" applyFont="1" applyFill="1"/>
    <xf numFmtId="166" fontId="6" fillId="0" borderId="0" xfId="0" applyNumberFormat="1" applyFont="1"/>
    <xf numFmtId="166" fontId="2" fillId="0" borderId="1" xfId="0" applyNumberFormat="1" applyFont="1" applyBorder="1"/>
    <xf numFmtId="0" fontId="0" fillId="5" borderId="0" xfId="0" applyFill="1"/>
    <xf numFmtId="0" fontId="1" fillId="0" borderId="6" xfId="0" applyFont="1" applyBorder="1" applyAlignment="1">
      <alignment horizontal="center"/>
    </xf>
    <xf numFmtId="0" fontId="9" fillId="0" borderId="1" xfId="0" applyFont="1" applyBorder="1"/>
    <xf numFmtId="0" fontId="0" fillId="4" borderId="0" xfId="0" applyFill="1"/>
    <xf numFmtId="0" fontId="1" fillId="0" borderId="0" xfId="0" applyFont="1" applyBorder="1"/>
    <xf numFmtId="0" fontId="1" fillId="0" borderId="6" xfId="0" applyFont="1" applyBorder="1"/>
    <xf numFmtId="0" fontId="1" fillId="0" borderId="6" xfId="0" applyFont="1" applyBorder="1" applyAlignment="1">
      <alignment vertical="center"/>
    </xf>
    <xf numFmtId="166" fontId="0" fillId="4" borderId="0" xfId="0" applyNumberFormat="1" applyFill="1" applyAlignment="1">
      <alignment horizontal="center" vertical="center"/>
    </xf>
    <xf numFmtId="166" fontId="0" fillId="6" borderId="0" xfId="0" applyNumberFormat="1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10" fillId="4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166" fontId="1" fillId="4" borderId="0" xfId="0" applyNumberFormat="1" applyFont="1" applyFill="1" applyAlignment="1">
      <alignment horizontal="center" vertical="center"/>
    </xf>
    <xf numFmtId="166" fontId="1" fillId="6" borderId="0" xfId="1" applyNumberFormat="1" applyFont="1" applyFill="1" applyAlignment="1">
      <alignment horizontal="center" vertical="center"/>
    </xf>
    <xf numFmtId="166" fontId="9" fillId="4" borderId="0" xfId="0" applyNumberFormat="1" applyFont="1" applyFill="1" applyAlignment="1">
      <alignment horizontal="center" vertical="center"/>
    </xf>
    <xf numFmtId="166" fontId="9" fillId="6" borderId="0" xfId="0" applyNumberFormat="1" applyFont="1" applyFill="1" applyAlignment="1">
      <alignment horizontal="center" vertical="center"/>
    </xf>
    <xf numFmtId="166" fontId="9" fillId="4" borderId="0" xfId="1" applyNumberFormat="1" applyFont="1" applyFill="1" applyAlignment="1">
      <alignment horizontal="center" vertical="center"/>
    </xf>
    <xf numFmtId="166" fontId="9" fillId="6" borderId="0" xfId="1" applyNumberFormat="1" applyFont="1" applyFill="1" applyAlignment="1">
      <alignment horizontal="center" vertical="center"/>
    </xf>
    <xf numFmtId="166" fontId="1" fillId="6" borderId="0" xfId="0" applyNumberFormat="1" applyFont="1" applyFill="1" applyAlignment="1">
      <alignment horizontal="center" vertical="center"/>
    </xf>
    <xf numFmtId="166" fontId="6" fillId="4" borderId="0" xfId="0" quotePrefix="1" applyNumberFormat="1" applyFont="1" applyFill="1" applyAlignment="1">
      <alignment horizontal="center" vertical="center"/>
    </xf>
    <xf numFmtId="166" fontId="6" fillId="6" borderId="0" xfId="1" quotePrefix="1" applyNumberFormat="1" applyFont="1" applyFill="1" applyAlignment="1">
      <alignment horizontal="center" vertical="center"/>
    </xf>
    <xf numFmtId="166" fontId="6" fillId="6" borderId="0" xfId="0" quotePrefix="1" applyNumberFormat="1" applyFont="1" applyFill="1" applyAlignment="1">
      <alignment horizontal="center" vertical="center"/>
    </xf>
    <xf numFmtId="166" fontId="6" fillId="4" borderId="0" xfId="1" quotePrefix="1" applyNumberFormat="1" applyFont="1" applyFill="1" applyAlignment="1">
      <alignment horizontal="center" vertical="center"/>
    </xf>
    <xf numFmtId="0" fontId="10" fillId="4" borderId="0" xfId="0" applyFont="1" applyFill="1" applyAlignment="1">
      <alignment vertical="center" wrapText="1"/>
    </xf>
    <xf numFmtId="3" fontId="1" fillId="0" borderId="1" xfId="0" applyNumberFormat="1" applyFont="1" applyFill="1" applyBorder="1"/>
    <xf numFmtId="3" fontId="0" fillId="0" borderId="0" xfId="0" applyNumberFormat="1" applyFill="1"/>
    <xf numFmtId="0" fontId="1" fillId="0" borderId="6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4" fontId="0" fillId="0" borderId="0" xfId="0" applyNumberFormat="1"/>
    <xf numFmtId="0" fontId="0" fillId="0" borderId="0" xfId="0" applyFill="1" applyBorder="1"/>
    <xf numFmtId="0" fontId="0" fillId="0" borderId="6" xfId="0" applyBorder="1" applyAlignment="1">
      <alignment horizontal="center" vertical="center" wrapText="1"/>
    </xf>
    <xf numFmtId="167" fontId="0" fillId="0" borderId="0" xfId="0" applyNumberFormat="1" applyFill="1" applyAlignment="1">
      <alignment horizontal="center"/>
    </xf>
    <xf numFmtId="0" fontId="0" fillId="0" borderId="1" xfId="0" applyFill="1" applyBorder="1"/>
    <xf numFmtId="3" fontId="0" fillId="0" borderId="1" xfId="0" applyNumberFormat="1" applyFill="1" applyBorder="1"/>
    <xf numFmtId="0" fontId="0" fillId="0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0" fillId="0" borderId="0" xfId="0" applyFill="1" applyAlignment="1">
      <alignment horizontal="center"/>
    </xf>
    <xf numFmtId="3" fontId="0" fillId="0" borderId="0" xfId="0" applyNumberFormat="1" applyFill="1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164" fontId="0" fillId="0" borderId="0" xfId="1" applyNumberFormat="1" applyFont="1" applyFill="1"/>
    <xf numFmtId="167" fontId="0" fillId="4" borderId="0" xfId="0" applyNumberFormat="1" applyFill="1" applyAlignment="1">
      <alignment horizontal="center"/>
    </xf>
    <xf numFmtId="3" fontId="0" fillId="0" borderId="1" xfId="0" applyNumberFormat="1" applyBorder="1"/>
    <xf numFmtId="0" fontId="1" fillId="0" borderId="0" xfId="0" quotePrefix="1" applyFont="1" applyBorder="1" applyAlignment="1">
      <alignment horizontal="center"/>
    </xf>
    <xf numFmtId="3" fontId="2" fillId="0" borderId="0" xfId="0" applyNumberFormat="1" applyFont="1" applyBorder="1"/>
    <xf numFmtId="4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Migliaia" xfId="1" builtinId="3"/>
    <cellStyle name="Normal" xfId="2"/>
    <cellStyle name="Normale" xfId="0" builtinId="0"/>
  </cellStyles>
  <dxfs count="183"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color rgb="FF0070C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84511070852134"/>
          <c:y val="5.4234059497589075E-2"/>
          <c:w val="0.87983457131435205"/>
          <c:h val="0.75841736888152078"/>
        </c:manualLayout>
      </c:layout>
      <c:lineChart>
        <c:grouping val="standard"/>
        <c:varyColors val="0"/>
        <c:ser>
          <c:idx val="0"/>
          <c:order val="0"/>
          <c:tx>
            <c:strRef>
              <c:f>Risultato_amministrazione!$A$3</c:f>
              <c:strCache>
                <c:ptCount val="1"/>
                <c:pt idx="0">
                  <c:v>Residui attivi</c:v>
                </c:pt>
              </c:strCache>
            </c:strRef>
          </c:tx>
          <c:marker>
            <c:symbol val="triangle"/>
            <c:size val="5"/>
          </c:marker>
          <c:cat>
            <c:numRef>
              <c:f>Risultato_amministrazione!$B$1:$K$1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Risultato_amministrazione!$B$3:$K$3</c:f>
              <c:numCache>
                <c:formatCode>#,##0</c:formatCode>
                <c:ptCount val="10"/>
                <c:pt idx="0">
                  <c:v>1217383092.9400001</c:v>
                </c:pt>
                <c:pt idx="1">
                  <c:v>1216052033.8</c:v>
                </c:pt>
                <c:pt idx="2">
                  <c:v>1183501512.1099999</c:v>
                </c:pt>
                <c:pt idx="3">
                  <c:v>988899547.30999994</c:v>
                </c:pt>
                <c:pt idx="4">
                  <c:v>1325242353.0899999</c:v>
                </c:pt>
                <c:pt idx="5">
                  <c:v>1644419006.5599999</c:v>
                </c:pt>
                <c:pt idx="6">
                  <c:v>1663058795.5999999</c:v>
                </c:pt>
                <c:pt idx="7">
                  <c:v>1382707932.2</c:v>
                </c:pt>
                <c:pt idx="8">
                  <c:v>1498979924.5999999</c:v>
                </c:pt>
                <c:pt idx="9">
                  <c:v>1678889991.3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815-456D-8408-112A4369BD40}"/>
            </c:ext>
          </c:extLst>
        </c:ser>
        <c:ser>
          <c:idx val="1"/>
          <c:order val="1"/>
          <c:tx>
            <c:strRef>
              <c:f>Risultato_amministrazione!$A$4</c:f>
              <c:strCache>
                <c:ptCount val="1"/>
                <c:pt idx="0">
                  <c:v>Residui passivi</c:v>
                </c:pt>
              </c:strCache>
            </c:strRef>
          </c:tx>
          <c:marker>
            <c:symbol val="square"/>
            <c:size val="5"/>
          </c:marker>
          <c:cat>
            <c:numRef>
              <c:f>Risultato_amministrazione!$B$1:$K$1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Risultato_amministrazione!$B$4:$K$4</c:f>
              <c:numCache>
                <c:formatCode>#,##0</c:formatCode>
                <c:ptCount val="10"/>
                <c:pt idx="0">
                  <c:v>751845396.07000005</c:v>
                </c:pt>
                <c:pt idx="1">
                  <c:v>582550894.73000002</c:v>
                </c:pt>
                <c:pt idx="2">
                  <c:v>443685288.69</c:v>
                </c:pt>
                <c:pt idx="3">
                  <c:v>556971348.84000003</c:v>
                </c:pt>
                <c:pt idx="4">
                  <c:v>671795082.66999996</c:v>
                </c:pt>
                <c:pt idx="5">
                  <c:v>855936018.36000001</c:v>
                </c:pt>
                <c:pt idx="6">
                  <c:v>894439098.52999997</c:v>
                </c:pt>
                <c:pt idx="7">
                  <c:v>800611845.73000002</c:v>
                </c:pt>
                <c:pt idx="8">
                  <c:v>831607122.16999996</c:v>
                </c:pt>
                <c:pt idx="9">
                  <c:v>931778181.88999999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815-456D-8408-112A4369B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85571696"/>
        <c:axId val="-1585584208"/>
      </c:lineChart>
      <c:catAx>
        <c:axId val="-1585571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1585584208"/>
        <c:crosses val="autoZero"/>
        <c:auto val="1"/>
        <c:lblAlgn val="ctr"/>
        <c:lblOffset val="100"/>
        <c:noMultiLvlLbl val="0"/>
      </c:catAx>
      <c:valAx>
        <c:axId val="-1585584208"/>
        <c:scaling>
          <c:orientation val="minMax"/>
          <c:max val="1800000000"/>
          <c:min val="400000000"/>
        </c:scaling>
        <c:delete val="0"/>
        <c:axPos val="l"/>
        <c:numFmt formatCode="#,##0" sourceLinked="1"/>
        <c:majorTickMark val="none"/>
        <c:minorTickMark val="none"/>
        <c:tickLblPos val="nextTo"/>
        <c:crossAx val="-1585571696"/>
        <c:crosses val="autoZero"/>
        <c:crossBetween val="between"/>
        <c:majorUnit val="200000000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1588905605067"/>
          <c:y val="4.0952261919641013E-2"/>
          <c:w val="0.82373405415613943"/>
          <c:h val="0.7970921301607792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Risultato_amministrazione!$A$8</c:f>
              <c:strCache>
                <c:ptCount val="1"/>
                <c:pt idx="0">
                  <c:v>Fondo crediti di dubbia esigibilità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Risultato_amministrazione!$B$1:$K$1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Risultato_amministrazione!$B$8:$K$8</c:f>
              <c:numCache>
                <c:formatCode>#,##0</c:formatCode>
                <c:ptCount val="10"/>
                <c:pt idx="0">
                  <c:v>5760000</c:v>
                </c:pt>
                <c:pt idx="1">
                  <c:v>23900000</c:v>
                </c:pt>
                <c:pt idx="2">
                  <c:v>26567130</c:v>
                </c:pt>
                <c:pt idx="3">
                  <c:v>32463765.489999998</c:v>
                </c:pt>
                <c:pt idx="4">
                  <c:v>27550549.780000001</c:v>
                </c:pt>
                <c:pt idx="5">
                  <c:v>30809548.379999999</c:v>
                </c:pt>
                <c:pt idx="6">
                  <c:v>30700300.809999999</c:v>
                </c:pt>
                <c:pt idx="7">
                  <c:v>33038138.899999999</c:v>
                </c:pt>
                <c:pt idx="8">
                  <c:v>39165301.469999999</c:v>
                </c:pt>
                <c:pt idx="9">
                  <c:v>45431817.539999999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570-4566-BAA9-AA8B82BC92A7}"/>
            </c:ext>
          </c:extLst>
        </c:ser>
        <c:ser>
          <c:idx val="3"/>
          <c:order val="1"/>
          <c:tx>
            <c:strRef>
              <c:f>Risultato_amministrazione!$A$9</c:f>
              <c:strCache>
                <c:ptCount val="1"/>
                <c:pt idx="0">
                  <c:v>Fondo a copertura residui perenti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Risultato_amministrazione!$B$1:$K$1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Risultato_amministrazione!$B$9:$K$9</c:f>
              <c:numCache>
                <c:formatCode>#,##0</c:formatCode>
                <c:ptCount val="10"/>
                <c:pt idx="0">
                  <c:v>71439603.260000005</c:v>
                </c:pt>
                <c:pt idx="1">
                  <c:v>58493931</c:v>
                </c:pt>
                <c:pt idx="2">
                  <c:v>38461620.509999998</c:v>
                </c:pt>
                <c:pt idx="3">
                  <c:v>31657373.039999999</c:v>
                </c:pt>
                <c:pt idx="4">
                  <c:v>24843700.219999999</c:v>
                </c:pt>
                <c:pt idx="5">
                  <c:v>20467998.77</c:v>
                </c:pt>
                <c:pt idx="6">
                  <c:v>16819099.010000002</c:v>
                </c:pt>
                <c:pt idx="7">
                  <c:v>14113921.460000001</c:v>
                </c:pt>
                <c:pt idx="8">
                  <c:v>12511874.880000001</c:v>
                </c:pt>
                <c:pt idx="9">
                  <c:v>11690606.779999999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59-42A4-B578-A80858D62A77}"/>
            </c:ext>
          </c:extLst>
        </c:ser>
        <c:ser>
          <c:idx val="0"/>
          <c:order val="2"/>
          <c:tx>
            <c:strRef>
              <c:f>Risultato_amministrazione!$A$10</c:f>
              <c:strCache>
                <c:ptCount val="1"/>
                <c:pt idx="0">
                  <c:v>Fondo anticipazioni liquidità DL35/2013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Risultato_amministrazione!$B$1:$K$1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Risultato_amministrazione!$B$10:$K$10</c:f>
              <c:numCache>
                <c:formatCode>#,##0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59-42A4-B578-A80858D62A77}"/>
            </c:ext>
          </c:extLst>
        </c:ser>
        <c:ser>
          <c:idx val="4"/>
          <c:order val="3"/>
          <c:tx>
            <c:strRef>
              <c:f>Risultato_amministrazione!$A$56</c:f>
              <c:strCache>
                <c:ptCount val="1"/>
                <c:pt idx="0">
                  <c:v>Altri accantonamenti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Risultato_amministrazione!$B$1:$K$1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Risultato_amministrazione!$B$56:$K$56</c:f>
              <c:numCache>
                <c:formatCode>#,##0</c:formatCode>
                <c:ptCount val="10"/>
                <c:pt idx="0">
                  <c:v>22053407.699999999</c:v>
                </c:pt>
                <c:pt idx="1">
                  <c:v>17496755</c:v>
                </c:pt>
                <c:pt idx="2">
                  <c:v>23746994.620000001</c:v>
                </c:pt>
                <c:pt idx="3">
                  <c:v>18228416.199999999</c:v>
                </c:pt>
                <c:pt idx="4">
                  <c:v>32509674.509999998</c:v>
                </c:pt>
                <c:pt idx="5">
                  <c:v>44206548.07</c:v>
                </c:pt>
                <c:pt idx="6">
                  <c:v>31301341.850000001</c:v>
                </c:pt>
                <c:pt idx="7">
                  <c:v>37090958.269999996</c:v>
                </c:pt>
                <c:pt idx="8">
                  <c:v>43795706.740000002</c:v>
                </c:pt>
                <c:pt idx="9">
                  <c:v>79748935.300000012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159-42A4-B578-A80858D62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585593456"/>
        <c:axId val="-1585569520"/>
      </c:barChart>
      <c:lineChart>
        <c:grouping val="standard"/>
        <c:varyColors val="0"/>
        <c:ser>
          <c:idx val="2"/>
          <c:order val="4"/>
          <c:tx>
            <c:strRef>
              <c:f>Risultato_amministrazione!$A$24</c:f>
              <c:strCache>
                <c:ptCount val="1"/>
                <c:pt idx="0">
                  <c:v>Rapporto Fcde/Residui attivi (scala dx)</c:v>
                </c:pt>
              </c:strCache>
            </c:strRef>
          </c:tx>
          <c:spPr>
            <a:ln w="444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/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Risultato_amministrazione!$B$1:$K$1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Risultato_amministrazione!$B$24:$K$24</c:f>
              <c:numCache>
                <c:formatCode>0.0</c:formatCode>
                <c:ptCount val="10"/>
                <c:pt idx="0">
                  <c:v>0.47314604855317205</c:v>
                </c:pt>
                <c:pt idx="1">
                  <c:v>1.9653764259836559</c:v>
                </c:pt>
                <c:pt idx="2">
                  <c:v>2.2447905413010347</c:v>
                </c:pt>
                <c:pt idx="3">
                  <c:v>3.2828173072085818</c:v>
                </c:pt>
                <c:pt idx="4">
                  <c:v>2.0789065272296643</c:v>
                </c:pt>
                <c:pt idx="5">
                  <c:v>1.8735826001215614</c:v>
                </c:pt>
                <c:pt idx="6">
                  <c:v>1.8460141572399378</c:v>
                </c:pt>
                <c:pt idx="7">
                  <c:v>2.389379429351624</c:v>
                </c:pt>
                <c:pt idx="8">
                  <c:v>2.6127969312498425</c:v>
                </c:pt>
                <c:pt idx="9">
                  <c:v>2.7060628019362474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570-4566-BAA9-AA8B82BC92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85577680"/>
        <c:axId val="-1585592368"/>
      </c:lineChart>
      <c:catAx>
        <c:axId val="-1585593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-1585569520"/>
        <c:crosses val="autoZero"/>
        <c:auto val="1"/>
        <c:lblAlgn val="ctr"/>
        <c:lblOffset val="100"/>
        <c:noMultiLvlLbl val="0"/>
      </c:catAx>
      <c:valAx>
        <c:axId val="-158556952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-1585593456"/>
        <c:crosses val="autoZero"/>
        <c:crossBetween val="between"/>
      </c:valAx>
      <c:valAx>
        <c:axId val="-1585592368"/>
        <c:scaling>
          <c:orientation val="minMax"/>
          <c:max val="4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-1585577680"/>
        <c:crosses val="max"/>
        <c:crossBetween val="between"/>
        <c:majorUnit val="1"/>
      </c:valAx>
      <c:catAx>
        <c:axId val="-1585577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58559236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1.9608343240850784E-2"/>
          <c:y val="0.90512749251687263"/>
          <c:w val="0.96982286046854282"/>
          <c:h val="7.673188403720912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137752453005695E-2"/>
          <c:y val="1.9227205294990467E-2"/>
          <c:w val="0.95894520479320677"/>
          <c:h val="0.980772794705009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Conto_economico!$A$28</c:f>
              <c:strCache>
                <c:ptCount val="1"/>
                <c:pt idx="0">
                  <c:v>Risultato dell'esercizio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4452-41DC-B25A-48B8A55670DF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04B-4452-8B8F-26C4798F6DD6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04B-4452-8B8F-26C4798F6DD6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E70-4A90-B86D-A4CE500DC235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926164048510350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04B-4452-8B8F-26C4798F6D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04B-4452-8B8F-26C4798F6D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8271156944122606E-3"/>
                  <c:y val="3.8647342995169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E70-4A90-B86D-A4CE500DC23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3.1963655837855647E-2"/>
                  <c:y val="3.864734299516951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3EF-4EE1-84EC-90209335CF2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200" b="1">
                      <a:solidFill>
                        <a:srgbClr val="0070C0"/>
                      </a:solidFill>
                    </a:defRPr>
                  </a:pPr>
                  <a:endParaRPr lang="it-IT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rgbClr val="FF000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Conto_economico!$C$1:$L$1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Conto_economico!$C$28:$L$28</c:f>
              <c:numCache>
                <c:formatCode>#,##0</c:formatCode>
                <c:ptCount val="10"/>
                <c:pt idx="0">
                  <c:v>29646518.989999983</c:v>
                </c:pt>
                <c:pt idx="1">
                  <c:v>-33132581.219999813</c:v>
                </c:pt>
                <c:pt idx="2">
                  <c:v>-35822961.340000197</c:v>
                </c:pt>
                <c:pt idx="3">
                  <c:v>-77979092.029999986</c:v>
                </c:pt>
                <c:pt idx="4">
                  <c:v>22754419.440000277</c:v>
                </c:pt>
                <c:pt idx="5">
                  <c:v>38254302.170000091</c:v>
                </c:pt>
                <c:pt idx="6">
                  <c:v>5237581.8299998865</c:v>
                </c:pt>
                <c:pt idx="7">
                  <c:v>101049792.15999947</c:v>
                </c:pt>
                <c:pt idx="8">
                  <c:v>172601032.50000012</c:v>
                </c:pt>
                <c:pt idx="9">
                  <c:v>51409224.929999329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452-41DC-B25A-48B8A55670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5590736"/>
        <c:axId val="-1585578224"/>
      </c:barChart>
      <c:catAx>
        <c:axId val="-15855907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200" b="1"/>
            </a:pPr>
            <a:endParaRPr lang="it-IT"/>
          </a:p>
        </c:txPr>
        <c:crossAx val="-1585578224"/>
        <c:crosses val="autoZero"/>
        <c:auto val="1"/>
        <c:lblAlgn val="ctr"/>
        <c:lblOffset val="100"/>
        <c:noMultiLvlLbl val="0"/>
      </c:catAx>
      <c:valAx>
        <c:axId val="-1585578224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one"/>
        <c:crossAx val="-15855907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522" l="0.70000000000000062" r="0.70000000000000062" t="0.750000000000005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Stato_patrimoniale!$A$22</c:f>
              <c:strCache>
                <c:ptCount val="1"/>
                <c:pt idx="0">
                  <c:v>Debiti da finanziamento (D1)</c:v>
                </c:pt>
              </c:strCache>
            </c:strRef>
          </c:tx>
          <c:invertIfNegative val="0"/>
          <c:cat>
            <c:numRef>
              <c:f>Stato_patrimoniale!$B$1:$K$1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Stato_patrimoniale!$B$22:$K$22</c:f>
              <c:numCache>
                <c:formatCode>#,##0</c:formatCode>
                <c:ptCount val="10"/>
                <c:pt idx="0">
                  <c:v>328774163.14999998</c:v>
                </c:pt>
                <c:pt idx="1">
                  <c:v>622232605.88999999</c:v>
                </c:pt>
                <c:pt idx="2">
                  <c:v>525976016.42000002</c:v>
                </c:pt>
                <c:pt idx="3">
                  <c:v>622503670.46000004</c:v>
                </c:pt>
                <c:pt idx="4">
                  <c:v>696870524.99000001</c:v>
                </c:pt>
                <c:pt idx="5">
                  <c:v>832208957.48000002</c:v>
                </c:pt>
                <c:pt idx="6">
                  <c:v>1000698567.91</c:v>
                </c:pt>
                <c:pt idx="7">
                  <c:v>983305720.48000002</c:v>
                </c:pt>
                <c:pt idx="8">
                  <c:v>986260652.14999998</c:v>
                </c:pt>
                <c:pt idx="9">
                  <c:v>276541956.08999997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78-494A-A3FF-551A6B06C6B4}"/>
            </c:ext>
          </c:extLst>
        </c:ser>
        <c:ser>
          <c:idx val="1"/>
          <c:order val="1"/>
          <c:tx>
            <c:strRef>
              <c:f>Stato_patrimoniale!$A$23</c:f>
              <c:strCache>
                <c:ptCount val="1"/>
                <c:pt idx="0">
                  <c:v>Debiti verso fornitori (D2)</c:v>
                </c:pt>
              </c:strCache>
            </c:strRef>
          </c:tx>
          <c:invertIfNegative val="0"/>
          <c:cat>
            <c:numRef>
              <c:f>Stato_patrimoniale!$B$1:$K$1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Stato_patrimoniale!$B$23:$K$23</c:f>
              <c:numCache>
                <c:formatCode>#,##0</c:formatCode>
                <c:ptCount val="10"/>
                <c:pt idx="0">
                  <c:v>903256.39</c:v>
                </c:pt>
                <c:pt idx="1">
                  <c:v>24452696.530000001</c:v>
                </c:pt>
                <c:pt idx="2">
                  <c:v>2406277.14</c:v>
                </c:pt>
                <c:pt idx="3">
                  <c:v>1866342.02</c:v>
                </c:pt>
                <c:pt idx="4">
                  <c:v>1747502.97</c:v>
                </c:pt>
                <c:pt idx="5">
                  <c:v>1774863.49</c:v>
                </c:pt>
                <c:pt idx="6">
                  <c:v>3441052.19</c:v>
                </c:pt>
                <c:pt idx="7">
                  <c:v>3254577.97</c:v>
                </c:pt>
                <c:pt idx="8">
                  <c:v>3162636.76</c:v>
                </c:pt>
                <c:pt idx="9">
                  <c:v>3197381.32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978-494A-A3FF-551A6B06C6B4}"/>
            </c:ext>
          </c:extLst>
        </c:ser>
        <c:ser>
          <c:idx val="2"/>
          <c:order val="2"/>
          <c:tx>
            <c:strRef>
              <c:f>Stato_patrimoniale!$A$24</c:f>
              <c:strCache>
                <c:ptCount val="1"/>
                <c:pt idx="0">
                  <c:v>Debiti per trasferimenti e contributi (D4)</c:v>
                </c:pt>
              </c:strCache>
            </c:strRef>
          </c:tx>
          <c:invertIfNegative val="0"/>
          <c:cat>
            <c:numRef>
              <c:f>Stato_patrimoniale!$B$1:$K$1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Stato_patrimoniale!$B$24:$K$24</c:f>
              <c:numCache>
                <c:formatCode>#,##0</c:formatCode>
                <c:ptCount val="10"/>
                <c:pt idx="0">
                  <c:v>662202612.69000006</c:v>
                </c:pt>
                <c:pt idx="1">
                  <c:v>736205940.41999996</c:v>
                </c:pt>
                <c:pt idx="2">
                  <c:v>277174061.86000001</c:v>
                </c:pt>
                <c:pt idx="3">
                  <c:v>455912433.56999999</c:v>
                </c:pt>
                <c:pt idx="4">
                  <c:v>544770686.22000003</c:v>
                </c:pt>
                <c:pt idx="5">
                  <c:v>688946478.49000001</c:v>
                </c:pt>
                <c:pt idx="6">
                  <c:v>755252109.10000002</c:v>
                </c:pt>
                <c:pt idx="7">
                  <c:v>863484310.50999999</c:v>
                </c:pt>
                <c:pt idx="8">
                  <c:v>1029482381.29</c:v>
                </c:pt>
                <c:pt idx="9">
                  <c:v>1037132562.39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978-494A-A3FF-551A6B06C6B4}"/>
            </c:ext>
          </c:extLst>
        </c:ser>
        <c:ser>
          <c:idx val="3"/>
          <c:order val="3"/>
          <c:tx>
            <c:strRef>
              <c:f>Stato_patrimoniale!$A$27</c:f>
              <c:strCache>
                <c:ptCount val="1"/>
                <c:pt idx="0">
                  <c:v>Altri debiti (D5)</c:v>
                </c:pt>
              </c:strCache>
            </c:strRef>
          </c:tx>
          <c:invertIfNegative val="0"/>
          <c:cat>
            <c:numRef>
              <c:f>Stato_patrimoniale!$B$1:$K$1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Stato_patrimoniale!$B$27:$K$27</c:f>
              <c:numCache>
                <c:formatCode>#,##0</c:formatCode>
                <c:ptCount val="10"/>
                <c:pt idx="0">
                  <c:v>201555212.78999999</c:v>
                </c:pt>
                <c:pt idx="1">
                  <c:v>80454551.859999999</c:v>
                </c:pt>
                <c:pt idx="2">
                  <c:v>103375505.76000001</c:v>
                </c:pt>
                <c:pt idx="3">
                  <c:v>108439186.63</c:v>
                </c:pt>
                <c:pt idx="4">
                  <c:v>114863763.69</c:v>
                </c:pt>
                <c:pt idx="5">
                  <c:v>118926886.33</c:v>
                </c:pt>
                <c:pt idx="6">
                  <c:v>124760369.84999999</c:v>
                </c:pt>
                <c:pt idx="7">
                  <c:v>245816411.40000001</c:v>
                </c:pt>
                <c:pt idx="8">
                  <c:v>150212044.77000001</c:v>
                </c:pt>
                <c:pt idx="9">
                  <c:v>101610699.41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978-494A-A3FF-551A6B06C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585591824"/>
        <c:axId val="-1585568976"/>
      </c:barChart>
      <c:catAx>
        <c:axId val="-158559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1585568976"/>
        <c:crosses val="autoZero"/>
        <c:auto val="1"/>
        <c:lblAlgn val="ctr"/>
        <c:lblOffset val="100"/>
        <c:noMultiLvlLbl val="0"/>
      </c:catAx>
      <c:valAx>
        <c:axId val="-1585568976"/>
        <c:scaling>
          <c:orientation val="minMax"/>
          <c:max val="150000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crossAx val="-1585591824"/>
        <c:crosses val="autoZero"/>
        <c:crossBetween val="between"/>
        <c:majorUnit val="500000000"/>
      </c:valAx>
      <c:spPr>
        <a:noFill/>
        <a:ln>
          <a:noFill/>
        </a:ln>
      </c:spPr>
    </c:plotArea>
    <c:legend>
      <c:legendPos val="b"/>
      <c:layout/>
      <c:overlay val="0"/>
      <c:spPr>
        <a:noFill/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it-IT"/>
    </a:p>
  </c:tx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140016946700559E-2"/>
          <c:y val="1.2121212121212118E-2"/>
          <c:w val="0.85332768443314899"/>
          <c:h val="0.832514197089000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Stato_patrimoniale!$A$16</c:f>
              <c:strCache>
                <c:ptCount val="1"/>
                <c:pt idx="0">
                  <c:v>Fondo di dotazione (A1)</c:v>
                </c:pt>
              </c:strCache>
            </c:strRef>
          </c:tx>
          <c:invertIfNegative val="0"/>
          <c:cat>
            <c:numRef>
              <c:f>Stato_patrimoniale!$B$1:$K$1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Stato_patrimoniale!$B$16:$K$16</c:f>
              <c:numCache>
                <c:formatCode>#,##0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74-44E8-A59E-6B7D2C2D3CAD}"/>
            </c:ext>
          </c:extLst>
        </c:ser>
        <c:ser>
          <c:idx val="1"/>
          <c:order val="1"/>
          <c:tx>
            <c:strRef>
              <c:f>Stato_patrimoniale!$A$17</c:f>
              <c:strCache>
                <c:ptCount val="1"/>
                <c:pt idx="0">
                  <c:v>Riserve (A2)</c:v>
                </c:pt>
              </c:strCache>
            </c:strRef>
          </c:tx>
          <c:invertIfNegative val="0"/>
          <c:cat>
            <c:numRef>
              <c:f>Stato_patrimoniale!$B$1:$K$1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Stato_patrimoniale!$B$17:$K$17</c:f>
              <c:numCache>
                <c:formatCode>#,##0</c:formatCode>
                <c:ptCount val="10"/>
                <c:pt idx="0">
                  <c:v>1339972168.4099998</c:v>
                </c:pt>
                <c:pt idx="1">
                  <c:v>1369618687.4000001</c:v>
                </c:pt>
                <c:pt idx="2">
                  <c:v>657732292.53999996</c:v>
                </c:pt>
                <c:pt idx="3">
                  <c:v>655656664.88999999</c:v>
                </c:pt>
                <c:pt idx="4">
                  <c:v>580827446.38999999</c:v>
                </c:pt>
                <c:pt idx="5">
                  <c:v>604009508.55999994</c:v>
                </c:pt>
                <c:pt idx="6">
                  <c:v>641194737.48000002</c:v>
                </c:pt>
                <c:pt idx="7">
                  <c:v>605713867.82000005</c:v>
                </c:pt>
                <c:pt idx="8">
                  <c:v>612652260.10000002</c:v>
                </c:pt>
                <c:pt idx="9">
                  <c:v>613137645.10000002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374-44E8-A59E-6B7D2C2D3CAD}"/>
            </c:ext>
          </c:extLst>
        </c:ser>
        <c:ser>
          <c:idx val="2"/>
          <c:order val="2"/>
          <c:tx>
            <c:strRef>
              <c:f>Stato_patrimoniale!$A$18</c:f>
              <c:strCache>
                <c:ptCount val="1"/>
                <c:pt idx="0">
                  <c:v>Risultato economico dell'esercizio (A3)</c:v>
                </c:pt>
              </c:strCache>
            </c:strRef>
          </c:tx>
          <c:invertIfNegative val="0"/>
          <c:cat>
            <c:numRef>
              <c:f>Stato_patrimoniale!$B$1:$K$1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Stato_patrimoniale!$B$18:$K$18</c:f>
              <c:numCache>
                <c:formatCode>#,##0</c:formatCode>
                <c:ptCount val="10"/>
                <c:pt idx="0">
                  <c:v>29646518.989999998</c:v>
                </c:pt>
                <c:pt idx="1">
                  <c:v>-33132581.219999999</c:v>
                </c:pt>
                <c:pt idx="2">
                  <c:v>-35822961.340000004</c:v>
                </c:pt>
                <c:pt idx="3">
                  <c:v>-77979092.030000001</c:v>
                </c:pt>
                <c:pt idx="4">
                  <c:v>22754419.440000001</c:v>
                </c:pt>
                <c:pt idx="5">
                  <c:v>38254302.170000002</c:v>
                </c:pt>
                <c:pt idx="6">
                  <c:v>5237581.83</c:v>
                </c:pt>
                <c:pt idx="7">
                  <c:v>101049792.2</c:v>
                </c:pt>
                <c:pt idx="8">
                  <c:v>172601032.56</c:v>
                </c:pt>
                <c:pt idx="9">
                  <c:v>51409224.969999999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374-44E8-A59E-6B7D2C2D3CAD}"/>
            </c:ext>
          </c:extLst>
        </c:ser>
        <c:ser>
          <c:idx val="3"/>
          <c:order val="3"/>
          <c:tx>
            <c:strRef>
              <c:f>Stato_patrimoniale!$A$19</c:f>
              <c:strCache>
                <c:ptCount val="1"/>
                <c:pt idx="0">
                  <c:v>Risultato economico di esercizi precedenti (A4)</c:v>
                </c:pt>
              </c:strCache>
            </c:strRef>
          </c:tx>
          <c:invertIfNegative val="0"/>
          <c:cat>
            <c:numRef>
              <c:f>Stato_patrimoniale!$B$1:$K$1</c:f>
              <c:numCache>
                <c:formatCode>General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Stato_patrimoniale!$B$19:$K$19</c:f>
              <c:numCache>
                <c:formatCode>#,##0</c:formatCode>
                <c:ptCount val="10"/>
                <c:pt idx="7">
                  <c:v>43491884</c:v>
                </c:pt>
                <c:pt idx="8">
                  <c:v>144447582.84999999</c:v>
                </c:pt>
                <c:pt idx="9">
                  <c:v>317678253.99000001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AF-4039-ABCE-EDD305709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585568432"/>
        <c:axId val="-1585571152"/>
      </c:barChart>
      <c:catAx>
        <c:axId val="-15855684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400"/>
            </a:pPr>
            <a:endParaRPr lang="it-IT"/>
          </a:p>
        </c:txPr>
        <c:crossAx val="-1585571152"/>
        <c:crosses val="autoZero"/>
        <c:auto val="1"/>
        <c:lblAlgn val="ctr"/>
        <c:lblOffset val="100"/>
        <c:noMultiLvlLbl val="0"/>
      </c:catAx>
      <c:valAx>
        <c:axId val="-1585571152"/>
        <c:scaling>
          <c:orientation val="minMax"/>
          <c:max val="1500000000"/>
          <c:min val="-500000000"/>
        </c:scaling>
        <c:delete val="0"/>
        <c:axPos val="b"/>
        <c:numFmt formatCode="#,##0" sourceLinked="0"/>
        <c:majorTickMark val="none"/>
        <c:minorTickMark val="none"/>
        <c:tickLblPos val="nextTo"/>
        <c:crossAx val="-1585568432"/>
        <c:crosses val="autoZero"/>
        <c:crossBetween val="between"/>
        <c:majorUnit val="500000000"/>
      </c:valAx>
      <c:spPr>
        <a:noFill/>
        <a:ln>
          <a:noFill/>
        </a:ln>
      </c:spPr>
    </c:plotArea>
    <c:legend>
      <c:legendPos val="b"/>
      <c:overlay val="0"/>
      <c:spPr>
        <a:noFill/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200"/>
      </a:pPr>
      <a:endParaRPr lang="it-IT"/>
    </a:p>
  </c:tx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133228191836882E-2"/>
          <c:y val="3.03012788295083E-2"/>
          <c:w val="0.9122663790737443"/>
          <c:h val="0.68340956050706358"/>
        </c:manualLayout>
      </c:layout>
      <c:lineChart>
        <c:grouping val="standard"/>
        <c:varyColors val="0"/>
        <c:ser>
          <c:idx val="0"/>
          <c:order val="0"/>
          <c:tx>
            <c:strRef>
              <c:f>Piano_indicatori!$A$73</c:f>
              <c:strCache>
                <c:ptCount val="1"/>
                <c:pt idx="0">
                  <c:v>Entrate natura tributaria, contributiva e perequativa (Titolo 1)</c:v>
                </c:pt>
              </c:strCache>
            </c:strRef>
          </c:tx>
          <c:marker>
            <c:symbol val="triangle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Piano_indicatori!$D$74:$K$74</c:f>
              <c:numCache>
                <c:formatCode>0.00</c:formatCode>
                <c:ptCount val="8"/>
                <c:pt idx="0">
                  <c:v>88.893488705243044</c:v>
                </c:pt>
                <c:pt idx="1">
                  <c:v>87.955887649613913</c:v>
                </c:pt>
                <c:pt idx="2">
                  <c:v>82.525047333315285</c:v>
                </c:pt>
                <c:pt idx="3">
                  <c:v>72.025097751414052</c:v>
                </c:pt>
                <c:pt idx="4">
                  <c:v>76.824034851460539</c:v>
                </c:pt>
                <c:pt idx="5">
                  <c:v>84.757102892110609</c:v>
                </c:pt>
                <c:pt idx="6">
                  <c:v>89.139593155105075</c:v>
                </c:pt>
                <c:pt idx="7">
                  <c:v>88.974454170469613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F0-4554-BA49-E20421A575FC}"/>
            </c:ext>
          </c:extLst>
        </c:ser>
        <c:ser>
          <c:idx val="1"/>
          <c:order val="1"/>
          <c:tx>
            <c:strRef>
              <c:f>Piano_indicatori!$A$77</c:f>
              <c:strCache>
                <c:ptCount val="1"/>
                <c:pt idx="0">
                  <c:v>Totale Entrate</c:v>
                </c:pt>
              </c:strCache>
            </c:strRef>
          </c:tx>
          <c:marker>
            <c:symbol val="square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Piano_indicatori!$D$77:$K$77</c:f>
              <c:numCache>
                <c:formatCode>0.00</c:formatCode>
                <c:ptCount val="8"/>
                <c:pt idx="0">
                  <c:v>63.565860078197375</c:v>
                </c:pt>
                <c:pt idx="1">
                  <c:v>69.589610724473246</c:v>
                </c:pt>
                <c:pt idx="2">
                  <c:v>59.277558121475728</c:v>
                </c:pt>
                <c:pt idx="3">
                  <c:v>56.0888020646101</c:v>
                </c:pt>
                <c:pt idx="4">
                  <c:v>59.254644879798526</c:v>
                </c:pt>
                <c:pt idx="5">
                  <c:v>64.186634502440725</c:v>
                </c:pt>
                <c:pt idx="6">
                  <c:v>60.456338097643936</c:v>
                </c:pt>
                <c:pt idx="7">
                  <c:v>58.789060410671425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F0-4554-BA49-E20421A575FC}"/>
            </c:ext>
          </c:extLst>
        </c:ser>
        <c:ser>
          <c:idx val="2"/>
          <c:order val="2"/>
          <c:tx>
            <c:strRef>
              <c:f>Piano_indicatori!$A$78</c:f>
              <c:strCache>
                <c:ptCount val="1"/>
                <c:pt idx="0">
                  <c:v>Totale Entrate nette</c:v>
                </c:pt>
              </c:strCache>
            </c:strRef>
          </c:tx>
          <c:marker>
            <c:symbol val="diamond"/>
            <c:size val="7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Piano_indicatori!$D$78:$K$78</c:f>
              <c:numCache>
                <c:formatCode>0.00</c:formatCode>
                <c:ptCount val="8"/>
                <c:pt idx="0">
                  <c:v>61.996628532651869</c:v>
                </c:pt>
                <c:pt idx="1">
                  <c:v>68.687862544762439</c:v>
                </c:pt>
                <c:pt idx="2">
                  <c:v>57.995559122569759</c:v>
                </c:pt>
                <c:pt idx="3">
                  <c:v>53.869801212418224</c:v>
                </c:pt>
                <c:pt idx="4">
                  <c:v>57.488511282937225</c:v>
                </c:pt>
                <c:pt idx="5">
                  <c:v>63.182846090417009</c:v>
                </c:pt>
                <c:pt idx="6">
                  <c:v>59.419953669258305</c:v>
                </c:pt>
                <c:pt idx="7">
                  <c:v>57.332134952665861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3F0-4554-BA49-E20421A57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85566256"/>
        <c:axId val="-1585586928"/>
      </c:lineChart>
      <c:catAx>
        <c:axId val="-1585566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-1585586928"/>
        <c:crosses val="autoZero"/>
        <c:auto val="1"/>
        <c:lblAlgn val="ctr"/>
        <c:lblOffset val="100"/>
        <c:noMultiLvlLbl val="0"/>
      </c:catAx>
      <c:valAx>
        <c:axId val="-1585586928"/>
        <c:scaling>
          <c:orientation val="minMax"/>
          <c:max val="9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-1585566256"/>
        <c:crosses val="autoZero"/>
        <c:crossBetween val="between"/>
        <c:majorUnit val="10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2.5626467744163592E-2"/>
          <c:y val="0.82043195398448021"/>
          <c:w val="0.96177967444791601"/>
          <c:h val="0.1795680460155260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478781011404414E-2"/>
          <c:y val="4.1350142172088745E-2"/>
          <c:w val="0.9029842635309353"/>
          <c:h val="0.6747485008586637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Piano_indicatori!$B$80</c:f>
              <c:strCache>
                <c:ptCount val="1"/>
                <c:pt idx="0">
                  <c:v>Istruzione e diritto allo studio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Piano_indicatori!$D$80:$K$80</c:f>
              <c:numCache>
                <c:formatCode>0.00</c:formatCode>
                <c:ptCount val="8"/>
                <c:pt idx="0">
                  <c:v>1.6747765078646597</c:v>
                </c:pt>
                <c:pt idx="1">
                  <c:v>1.8329718004338393</c:v>
                </c:pt>
                <c:pt idx="2">
                  <c:v>1.2530791474777765</c:v>
                </c:pt>
                <c:pt idx="3">
                  <c:v>1.2065372381265769</c:v>
                </c:pt>
                <c:pt idx="4">
                  <c:v>1.7593397046046917</c:v>
                </c:pt>
                <c:pt idx="5">
                  <c:v>0.92229407399554764</c:v>
                </c:pt>
                <c:pt idx="6">
                  <c:v>1.0087212356835136</c:v>
                </c:pt>
                <c:pt idx="7">
                  <c:v>0.88926529748041494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3AA-4FC4-8050-8C2A7299C75D}"/>
            </c:ext>
          </c:extLst>
        </c:ser>
        <c:ser>
          <c:idx val="1"/>
          <c:order val="1"/>
          <c:tx>
            <c:strRef>
              <c:f>Piano_indicatori!$B$81</c:f>
              <c:strCache>
                <c:ptCount val="1"/>
                <c:pt idx="0">
                  <c:v>Sviluppo sostenibile, tutela territ. e ambiente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Piano_indicatori!$D$81:$K$81</c:f>
              <c:numCache>
                <c:formatCode>0.00</c:formatCode>
                <c:ptCount val="8"/>
                <c:pt idx="0">
                  <c:v>8.0457168722417105</c:v>
                </c:pt>
                <c:pt idx="1">
                  <c:v>8.2537960954446863</c:v>
                </c:pt>
                <c:pt idx="2">
                  <c:v>7.5506051194173711</c:v>
                </c:pt>
                <c:pt idx="3">
                  <c:v>8.4896347482724579</c:v>
                </c:pt>
                <c:pt idx="4">
                  <c:v>8.5143353605560392</c:v>
                </c:pt>
                <c:pt idx="5">
                  <c:v>7.5161666489981975</c:v>
                </c:pt>
                <c:pt idx="6">
                  <c:v>8.006724808237891</c:v>
                </c:pt>
                <c:pt idx="7">
                  <c:v>8.0669066271437639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3AA-4FC4-8050-8C2A7299C75D}"/>
            </c:ext>
          </c:extLst>
        </c:ser>
        <c:ser>
          <c:idx val="2"/>
          <c:order val="2"/>
          <c:tx>
            <c:strRef>
              <c:f>Piano_indicatori!$B$82</c:f>
              <c:strCache>
                <c:ptCount val="1"/>
                <c:pt idx="0">
                  <c:v>Trasporti e diritto alla mobilità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Piano_indicatori!$D$82:$K$82</c:f>
              <c:numCache>
                <c:formatCode>0.00</c:formatCode>
                <c:ptCount val="8"/>
                <c:pt idx="0">
                  <c:v>7.3441213081362449</c:v>
                </c:pt>
                <c:pt idx="1">
                  <c:v>7.7982646420824295</c:v>
                </c:pt>
                <c:pt idx="2">
                  <c:v>12.01670772196637</c:v>
                </c:pt>
                <c:pt idx="3">
                  <c:v>8.6322255127783265</c:v>
                </c:pt>
                <c:pt idx="4">
                  <c:v>9.8609904430929625</c:v>
                </c:pt>
                <c:pt idx="5">
                  <c:v>10.102830488709849</c:v>
                </c:pt>
                <c:pt idx="6">
                  <c:v>12.588000420300515</c:v>
                </c:pt>
                <c:pt idx="7">
                  <c:v>8.8185475333474503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3AA-4FC4-8050-8C2A7299C75D}"/>
            </c:ext>
          </c:extLst>
        </c:ser>
        <c:ser>
          <c:idx val="3"/>
          <c:order val="3"/>
          <c:tx>
            <c:strRef>
              <c:f>Piano_indicatori!$B$83</c:f>
              <c:strCache>
                <c:ptCount val="1"/>
                <c:pt idx="0">
                  <c:v>Diritti sociali, politiche sociali e famiglia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Piano_indicatori!$D$83:$K$83</c:f>
              <c:numCache>
                <c:formatCode>0.00</c:formatCode>
                <c:ptCount val="8"/>
                <c:pt idx="0">
                  <c:v>1.8105691976915244</c:v>
                </c:pt>
                <c:pt idx="1">
                  <c:v>2.8741865509761388</c:v>
                </c:pt>
                <c:pt idx="2">
                  <c:v>2.6346792331584017</c:v>
                </c:pt>
                <c:pt idx="3">
                  <c:v>3.0602171767028628</c:v>
                </c:pt>
                <c:pt idx="4">
                  <c:v>3.8227628149435278</c:v>
                </c:pt>
                <c:pt idx="5">
                  <c:v>2.6608714088837062</c:v>
                </c:pt>
                <c:pt idx="6">
                  <c:v>2.66890826941263</c:v>
                </c:pt>
                <c:pt idx="7">
                  <c:v>2.3396146517044256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3AA-4FC4-8050-8C2A7299C75D}"/>
            </c:ext>
          </c:extLst>
        </c:ser>
        <c:ser>
          <c:idx val="4"/>
          <c:order val="4"/>
          <c:tx>
            <c:strRef>
              <c:f>Piano_indicatori!$B$84</c:f>
              <c:strCache>
                <c:ptCount val="1"/>
                <c:pt idx="0">
                  <c:v>Tutela della salute 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Piano_indicatori!$D$84:$K$84</c:f>
              <c:numCache>
                <c:formatCode>0.00</c:formatCode>
                <c:ptCount val="8"/>
                <c:pt idx="0">
                  <c:v>53.864433631322854</c:v>
                </c:pt>
                <c:pt idx="1">
                  <c:v>51.117136659436014</c:v>
                </c:pt>
                <c:pt idx="2">
                  <c:v>47.691978151440509</c:v>
                </c:pt>
                <c:pt idx="3">
                  <c:v>44.301853679938574</c:v>
                </c:pt>
                <c:pt idx="4">
                  <c:v>44.048653344917469</c:v>
                </c:pt>
                <c:pt idx="5">
                  <c:v>47.842679953355244</c:v>
                </c:pt>
                <c:pt idx="6">
                  <c:v>50.131343910896284</c:v>
                </c:pt>
                <c:pt idx="7">
                  <c:v>43.637518526360367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2D-4C85-86B3-1197FE6A4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585578768"/>
        <c:axId val="-1585572784"/>
      </c:barChart>
      <c:catAx>
        <c:axId val="-158557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it-IT"/>
          </a:p>
        </c:txPr>
        <c:crossAx val="-1585572784"/>
        <c:crosses val="autoZero"/>
        <c:auto val="1"/>
        <c:lblAlgn val="ctr"/>
        <c:lblOffset val="100"/>
        <c:noMultiLvlLbl val="0"/>
      </c:catAx>
      <c:valAx>
        <c:axId val="-1585572784"/>
        <c:scaling>
          <c:orientation val="minMax"/>
          <c:max val="9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400"/>
            </a:pPr>
            <a:endParaRPr lang="it-IT"/>
          </a:p>
        </c:txPr>
        <c:crossAx val="-1585578768"/>
        <c:crosses val="autoZero"/>
        <c:crossBetween val="between"/>
        <c:majorUnit val="20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2.4972222222222232E-2"/>
          <c:y val="0.83298533234485495"/>
          <c:w val="0.92748906386701657"/>
          <c:h val="0.1670146676551458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511" l="0.70000000000000062" r="0.70000000000000062" t="0.750000000000005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133073571989068E-2"/>
          <c:y val="3.0301278829508307E-2"/>
          <c:w val="0.9122665336936"/>
          <c:h val="0.71915787122354569"/>
        </c:manualLayout>
      </c:layout>
      <c:lineChart>
        <c:grouping val="standard"/>
        <c:varyColors val="0"/>
        <c:ser>
          <c:idx val="0"/>
          <c:order val="0"/>
          <c:tx>
            <c:strRef>
              <c:f>Piano_indicatori!$B$86</c:f>
              <c:strCache>
                <c:ptCount val="1"/>
                <c:pt idx="0">
                  <c:v>Istruzione e diritto allo studio</c:v>
                </c:pt>
              </c:strCache>
            </c:strRef>
          </c:tx>
          <c:marker>
            <c:symbol val="triangle"/>
            <c:size val="5"/>
            <c:spPr>
              <a:solidFill>
                <a:srgbClr val="4BACC6">
                  <a:lumMod val="40000"/>
                  <a:lumOff val="60000"/>
                </a:srgbClr>
              </a:solidFill>
            </c:spPr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Piano_indicatori!$D$86:$K$86</c:f>
              <c:numCache>
                <c:formatCode>0.00</c:formatCode>
                <c:ptCount val="8"/>
                <c:pt idx="0">
                  <c:v>97.344698912002087</c:v>
                </c:pt>
                <c:pt idx="1">
                  <c:v>87.756859298833461</c:v>
                </c:pt>
                <c:pt idx="2">
                  <c:v>77.175854222798762</c:v>
                </c:pt>
                <c:pt idx="3">
                  <c:v>81.508410627050168</c:v>
                </c:pt>
                <c:pt idx="4">
                  <c:v>81.204807121255243</c:v>
                </c:pt>
                <c:pt idx="5">
                  <c:v>90.077305384844536</c:v>
                </c:pt>
                <c:pt idx="6">
                  <c:v>73.480225912522741</c:v>
                </c:pt>
                <c:pt idx="7">
                  <c:v>82.443747947484752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73A-469B-84B2-5562AE3617E1}"/>
            </c:ext>
          </c:extLst>
        </c:ser>
        <c:ser>
          <c:idx val="1"/>
          <c:order val="1"/>
          <c:tx>
            <c:strRef>
              <c:f>Piano_indicatori!$B$87</c:f>
              <c:strCache>
                <c:ptCount val="1"/>
                <c:pt idx="0">
                  <c:v>Sviluppo sostenibile, tutela territ. e ambiente</c:v>
                </c:pt>
              </c:strCache>
            </c:strRef>
          </c:tx>
          <c:marker>
            <c:symbol val="square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Piano_indicatori!$D$87:$K$87</c:f>
              <c:numCache>
                <c:formatCode>0.00</c:formatCode>
                <c:ptCount val="8"/>
                <c:pt idx="0">
                  <c:v>87.075250883131801</c:v>
                </c:pt>
                <c:pt idx="1">
                  <c:v>76.44875884651411</c:v>
                </c:pt>
                <c:pt idx="2">
                  <c:v>69.777356870006784</c:v>
                </c:pt>
                <c:pt idx="3">
                  <c:v>68.548547350052687</c:v>
                </c:pt>
                <c:pt idx="4">
                  <c:v>52.964056165435544</c:v>
                </c:pt>
                <c:pt idx="5">
                  <c:v>53.651268895224334</c:v>
                </c:pt>
                <c:pt idx="6">
                  <c:v>61.706245704557659</c:v>
                </c:pt>
                <c:pt idx="7">
                  <c:v>67.928834406038092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73A-469B-84B2-5562AE3617E1}"/>
            </c:ext>
          </c:extLst>
        </c:ser>
        <c:ser>
          <c:idx val="2"/>
          <c:order val="2"/>
          <c:tx>
            <c:strRef>
              <c:f>Piano_indicatori!$B$88</c:f>
              <c:strCache>
                <c:ptCount val="1"/>
                <c:pt idx="0">
                  <c:v>Trasporti e diritto alla mobilità</c:v>
                </c:pt>
              </c:strCache>
            </c:strRef>
          </c:tx>
          <c:marker>
            <c:symbol val="diamond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Piano_indicatori!$D$88:$K$88</c:f>
              <c:numCache>
                <c:formatCode>0.00</c:formatCode>
                <c:ptCount val="8"/>
                <c:pt idx="0">
                  <c:v>92.308539738697874</c:v>
                </c:pt>
                <c:pt idx="1">
                  <c:v>91.040477799032146</c:v>
                </c:pt>
                <c:pt idx="2">
                  <c:v>93.476458528507493</c:v>
                </c:pt>
                <c:pt idx="3">
                  <c:v>87.935482229436033</c:v>
                </c:pt>
                <c:pt idx="4">
                  <c:v>90.0078054612068</c:v>
                </c:pt>
                <c:pt idx="5">
                  <c:v>83.86833684896493</c:v>
                </c:pt>
                <c:pt idx="6">
                  <c:v>84.819627607001848</c:v>
                </c:pt>
                <c:pt idx="7">
                  <c:v>87.408516662567223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73A-469B-84B2-5562AE3617E1}"/>
            </c:ext>
          </c:extLst>
        </c:ser>
        <c:ser>
          <c:idx val="3"/>
          <c:order val="3"/>
          <c:tx>
            <c:strRef>
              <c:f>Piano_indicatori!$B$89</c:f>
              <c:strCache>
                <c:ptCount val="1"/>
                <c:pt idx="0">
                  <c:v>Diritti sociali, politiche sociali e famiglia</c:v>
                </c:pt>
              </c:strCache>
            </c:strRef>
          </c:tx>
          <c:marker>
            <c:symbol val="circle"/>
            <c:size val="5"/>
          </c:marker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Piano_indicatori!$D$89:$K$89</c:f>
              <c:numCache>
                <c:formatCode>0.00</c:formatCode>
                <c:ptCount val="8"/>
                <c:pt idx="0">
                  <c:v>89.456592701655993</c:v>
                </c:pt>
                <c:pt idx="1">
                  <c:v>70.876253013799555</c:v>
                </c:pt>
                <c:pt idx="2">
                  <c:v>67.842690370350994</c:v>
                </c:pt>
                <c:pt idx="3">
                  <c:v>66.368681113618393</c:v>
                </c:pt>
                <c:pt idx="4">
                  <c:v>57.09001762920699</c:v>
                </c:pt>
                <c:pt idx="5">
                  <c:v>62.602091585923269</c:v>
                </c:pt>
                <c:pt idx="6">
                  <c:v>72.036655849408604</c:v>
                </c:pt>
                <c:pt idx="7">
                  <c:v>71.122259647953697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73A-469B-84B2-5562AE3617E1}"/>
            </c:ext>
          </c:extLst>
        </c:ser>
        <c:ser>
          <c:idx val="4"/>
          <c:order val="4"/>
          <c:tx>
            <c:strRef>
              <c:f>Piano_indicatori!$B$90</c:f>
              <c:strCache>
                <c:ptCount val="1"/>
                <c:pt idx="0">
                  <c:v>Tutela della salute </c:v>
                </c:pt>
              </c:strCache>
            </c:strRef>
          </c:tx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Piano_indicatori!$D$90:$K$90</c:f>
              <c:numCache>
                <c:formatCode>0.00</c:formatCode>
                <c:ptCount val="8"/>
                <c:pt idx="0">
                  <c:v>86.375143590463907</c:v>
                </c:pt>
                <c:pt idx="1">
                  <c:v>81.528573617179873</c:v>
                </c:pt>
                <c:pt idx="2">
                  <c:v>84.35748368990734</c:v>
                </c:pt>
                <c:pt idx="3">
                  <c:v>82.459544265644752</c:v>
                </c:pt>
                <c:pt idx="4">
                  <c:v>85.250184274965875</c:v>
                </c:pt>
                <c:pt idx="5">
                  <c:v>85.683477737976418</c:v>
                </c:pt>
                <c:pt idx="6">
                  <c:v>77.281087642466488</c:v>
                </c:pt>
                <c:pt idx="7">
                  <c:v>79.409878800743812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D19-48E1-800E-15450E84A3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585598352"/>
        <c:axId val="-1585597808"/>
      </c:lineChart>
      <c:catAx>
        <c:axId val="-158559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5597808"/>
        <c:crosses val="autoZero"/>
        <c:auto val="1"/>
        <c:lblAlgn val="ctr"/>
        <c:lblOffset val="100"/>
        <c:noMultiLvlLbl val="0"/>
      </c:catAx>
      <c:valAx>
        <c:axId val="-1585597808"/>
        <c:scaling>
          <c:orientation val="minMax"/>
          <c:max val="10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-1585598352"/>
        <c:crosses val="autoZero"/>
        <c:crossBetween val="between"/>
        <c:majorUnit val="10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7.9534903497887523E-3"/>
          <c:y val="0.8523468476014987"/>
          <c:w val="0.96716740304369175"/>
          <c:h val="0.14765315239850338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200"/>
          </a:pPr>
          <a:endParaRPr lang="it-IT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600392734413727E-2"/>
          <c:y val="4.4321329639889197E-2"/>
          <c:w val="0.95679921453118799"/>
          <c:h val="0.758165783293709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Piano_indicatori!$B$20</c:f>
              <c:strCache>
                <c:ptCount val="1"/>
                <c:pt idx="0">
                  <c:v>Spesa di personale procapite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F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Piano_indicatori!$D$20:$K$20</c:f>
              <c:numCache>
                <c:formatCode>0.00</c:formatCode>
                <c:ptCount val="8"/>
                <c:pt idx="0">
                  <c:v>7.54</c:v>
                </c:pt>
                <c:pt idx="1">
                  <c:v>7.04</c:v>
                </c:pt>
                <c:pt idx="2">
                  <c:v>7.59</c:v>
                </c:pt>
                <c:pt idx="3">
                  <c:v>17.86</c:v>
                </c:pt>
                <c:pt idx="4">
                  <c:v>115.49291556861766</c:v>
                </c:pt>
                <c:pt idx="5">
                  <c:v>105.53738389008126</c:v>
                </c:pt>
                <c:pt idx="6">
                  <c:v>102.63912927224079</c:v>
                </c:pt>
                <c:pt idx="7">
                  <c:v>101.83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31-4E19-98D9-D92F9A6181BB}"/>
            </c:ext>
          </c:extLst>
        </c:ser>
        <c:ser>
          <c:idx val="1"/>
          <c:order val="1"/>
          <c:tx>
            <c:strRef>
              <c:f>Piano_indicatori!$B$91</c:f>
              <c:strCache>
                <c:ptCount val="1"/>
                <c:pt idx="0">
                  <c:v>Media Regioni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Piano_indicatori!$D$92:$K$92</c:f>
              <c:numCache>
                <c:formatCode>0.00</c:formatCode>
                <c:ptCount val="8"/>
                <c:pt idx="0">
                  <c:v>87.416717844487621</c:v>
                </c:pt>
                <c:pt idx="1">
                  <c:v>86.603571686417567</c:v>
                </c:pt>
                <c:pt idx="2">
                  <c:v>89.651891141899938</c:v>
                </c:pt>
                <c:pt idx="3">
                  <c:v>92.4384780906976</c:v>
                </c:pt>
                <c:pt idx="4">
                  <c:v>89.229130529417745</c:v>
                </c:pt>
                <c:pt idx="5">
                  <c:v>89.641110609822391</c:v>
                </c:pt>
                <c:pt idx="6">
                  <c:v>93.265299188975249</c:v>
                </c:pt>
                <c:pt idx="7">
                  <c:v>98.079318135109489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031-4E19-98D9-D92F9A618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5577136"/>
        <c:axId val="-1585585840"/>
      </c:barChart>
      <c:catAx>
        <c:axId val="-158557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5585840"/>
        <c:crosses val="autoZero"/>
        <c:auto val="1"/>
        <c:lblAlgn val="ctr"/>
        <c:lblOffset val="100"/>
        <c:noMultiLvlLbl val="0"/>
      </c:catAx>
      <c:valAx>
        <c:axId val="-1585585840"/>
        <c:scaling>
          <c:orientation val="minMax"/>
          <c:min val="0"/>
        </c:scaling>
        <c:delete val="1"/>
        <c:axPos val="l"/>
        <c:numFmt formatCode="0" sourceLinked="0"/>
        <c:majorTickMark val="none"/>
        <c:minorTickMark val="none"/>
        <c:tickLblPos val="none"/>
        <c:crossAx val="-1585577136"/>
        <c:crosses val="autoZero"/>
        <c:crossBetween val="between"/>
        <c:majorUnit val="100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33" l="0.70000000000000062" r="0.70000000000000062" t="0.7500000000000053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47043861785319E-2"/>
          <c:y val="1.4773776546629733E-2"/>
          <c:w val="0.95679921453118866"/>
          <c:h val="0.79879366879694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Piano_indicatori!$B$31</c:f>
              <c:strCache>
                <c:ptCount val="1"/>
                <c:pt idx="0">
                  <c:v>Investimenti complessivi procapite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F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Piano_indicatori!$D$31:$K$31</c:f>
              <c:numCache>
                <c:formatCode>0.00</c:formatCode>
                <c:ptCount val="8"/>
                <c:pt idx="0">
                  <c:v>537.1330933851799</c:v>
                </c:pt>
                <c:pt idx="1">
                  <c:v>615.88</c:v>
                </c:pt>
                <c:pt idx="2">
                  <c:v>758.46</c:v>
                </c:pt>
                <c:pt idx="3">
                  <c:v>524.54999999999995</c:v>
                </c:pt>
                <c:pt idx="4">
                  <c:v>806.32</c:v>
                </c:pt>
                <c:pt idx="5">
                  <c:v>619.12</c:v>
                </c:pt>
                <c:pt idx="6">
                  <c:v>713.42</c:v>
                </c:pt>
                <c:pt idx="7">
                  <c:v>715.45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33-4A6E-8076-E1B5B866D10D}"/>
            </c:ext>
          </c:extLst>
        </c:ser>
        <c:ser>
          <c:idx val="1"/>
          <c:order val="1"/>
          <c:tx>
            <c:strRef>
              <c:f>Piano_indicatori!$B$91</c:f>
              <c:strCache>
                <c:ptCount val="1"/>
                <c:pt idx="0">
                  <c:v>Media Regioni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Piano_indicatori!$D$93:$K$93</c:f>
              <c:numCache>
                <c:formatCode>0.00</c:formatCode>
                <c:ptCount val="8"/>
                <c:pt idx="0">
                  <c:v>240.60704064615851</c:v>
                </c:pt>
                <c:pt idx="1">
                  <c:v>229.99227812319813</c:v>
                </c:pt>
                <c:pt idx="2">
                  <c:v>245.46181531546947</c:v>
                </c:pt>
                <c:pt idx="3">
                  <c:v>256.89929597572234</c:v>
                </c:pt>
                <c:pt idx="4">
                  <c:v>271.74341879498382</c:v>
                </c:pt>
                <c:pt idx="5">
                  <c:v>242.54698034747759</c:v>
                </c:pt>
                <c:pt idx="6">
                  <c:v>342.08316171623733</c:v>
                </c:pt>
                <c:pt idx="7">
                  <c:v>390.98185883089599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33-4A6E-8076-E1B5B866D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5586384"/>
        <c:axId val="-1585572240"/>
      </c:barChart>
      <c:catAx>
        <c:axId val="-158558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5572240"/>
        <c:crosses val="autoZero"/>
        <c:auto val="1"/>
        <c:lblAlgn val="ctr"/>
        <c:lblOffset val="100"/>
        <c:noMultiLvlLbl val="0"/>
      </c:catAx>
      <c:valAx>
        <c:axId val="-1585572240"/>
        <c:scaling>
          <c:orientation val="minMax"/>
          <c:min val="0"/>
        </c:scaling>
        <c:delete val="1"/>
        <c:axPos val="l"/>
        <c:numFmt formatCode="0" sourceLinked="0"/>
        <c:majorTickMark val="none"/>
        <c:minorTickMark val="none"/>
        <c:tickLblPos val="none"/>
        <c:crossAx val="-1585586384"/>
        <c:crosses val="autoZero"/>
        <c:crossBetween val="between"/>
        <c:majorUnit val="100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32604501756868032"/>
          <c:y val="0.91535004107865958"/>
          <c:w val="0.3636191867769108"/>
          <c:h val="8.4649958921340043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600392734413748E-2"/>
          <c:y val="3.6934441366574581E-3"/>
          <c:w val="0.95679921453118866"/>
          <c:h val="0.79879366879694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Piano_indicatori!$B$47</c:f>
              <c:strCache>
                <c:ptCount val="1"/>
                <c:pt idx="0">
                  <c:v>Indicatore annuale di tempestività dei pagamenti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F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Piano_indicatori!$D$47:$K$47</c:f>
              <c:numCache>
                <c:formatCode>0.00</c:formatCode>
                <c:ptCount val="8"/>
                <c:pt idx="0">
                  <c:v>108.66</c:v>
                </c:pt>
                <c:pt idx="1">
                  <c:v>134.87</c:v>
                </c:pt>
                <c:pt idx="2">
                  <c:v>122.77</c:v>
                </c:pt>
                <c:pt idx="3">
                  <c:v>88.37</c:v>
                </c:pt>
                <c:pt idx="4">
                  <c:v>75</c:v>
                </c:pt>
                <c:pt idx="5">
                  <c:v>39.57</c:v>
                </c:pt>
                <c:pt idx="6">
                  <c:v>11.1</c:v>
                </c:pt>
                <c:pt idx="7">
                  <c:v>13.66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244-41B9-BDCF-288E48435941}"/>
            </c:ext>
          </c:extLst>
        </c:ser>
        <c:ser>
          <c:idx val="1"/>
          <c:order val="1"/>
          <c:tx>
            <c:strRef>
              <c:f>Piano_indicatori!$B$91</c:f>
              <c:strCache>
                <c:ptCount val="1"/>
                <c:pt idx="0">
                  <c:v>Media Regioni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Piano_indicatori!$D$94:$K$94</c:f>
              <c:numCache>
                <c:formatCode>0.00</c:formatCode>
                <c:ptCount val="8"/>
                <c:pt idx="0">
                  <c:v>25.973499999999994</c:v>
                </c:pt>
                <c:pt idx="1">
                  <c:v>7.3942857142857141</c:v>
                </c:pt>
                <c:pt idx="2">
                  <c:v>8.6366666666666649</c:v>
                </c:pt>
                <c:pt idx="3">
                  <c:v>4.303809523809524</c:v>
                </c:pt>
                <c:pt idx="4">
                  <c:v>1.8009523809523793</c:v>
                </c:pt>
                <c:pt idx="5">
                  <c:v>-6.2214285714285733</c:v>
                </c:pt>
                <c:pt idx="6">
                  <c:v>-3.8928571428571428</c:v>
                </c:pt>
                <c:pt idx="7">
                  <c:v>-2.8428571428571443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244-41B9-BDCF-288E48435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5583664"/>
        <c:axId val="-1585592912"/>
      </c:barChart>
      <c:catAx>
        <c:axId val="-158558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5592912"/>
        <c:crosses val="autoZero"/>
        <c:auto val="1"/>
        <c:lblAlgn val="ctr"/>
        <c:lblOffset val="100"/>
        <c:noMultiLvlLbl val="0"/>
      </c:catAx>
      <c:valAx>
        <c:axId val="-1585592912"/>
        <c:scaling>
          <c:orientation val="minMax"/>
          <c:min val="-5"/>
        </c:scaling>
        <c:delete val="1"/>
        <c:axPos val="l"/>
        <c:numFmt formatCode="0" sourceLinked="0"/>
        <c:majorTickMark val="none"/>
        <c:minorTickMark val="none"/>
        <c:tickLblPos val="none"/>
        <c:crossAx val="-1585583664"/>
        <c:crosses val="autoZero"/>
        <c:crossBetween val="between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1600392734413748E-2"/>
          <c:y val="3.6934441366574581E-3"/>
          <c:w val="0.95679921453118866"/>
          <c:h val="0.798793668796940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Piano_indicatori!$B$52</c:f>
              <c:strCache>
                <c:ptCount val="1"/>
                <c:pt idx="0">
                  <c:v>Indebitamento procapite</c:v>
                </c:pt>
              </c:strCache>
            </c:strRef>
          </c:tx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F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Piano_indicatori!$D$52:$K$52</c:f>
              <c:numCache>
                <c:formatCode>0.00</c:formatCode>
                <c:ptCount val="8"/>
                <c:pt idx="0">
                  <c:v>922.94791146314969</c:v>
                </c:pt>
                <c:pt idx="1">
                  <c:v>1099.0433884940987</c:v>
                </c:pt>
                <c:pt idx="2">
                  <c:v>1221.8</c:v>
                </c:pt>
                <c:pt idx="3">
                  <c:v>1504.21</c:v>
                </c:pt>
                <c:pt idx="4">
                  <c:v>1835.71</c:v>
                </c:pt>
                <c:pt idx="5">
                  <c:v>1817.01</c:v>
                </c:pt>
                <c:pt idx="6">
                  <c:v>1822.47</c:v>
                </c:pt>
                <c:pt idx="7">
                  <c:v>515.94000000000005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0-4DD5-8C34-963CC30C4CFD}"/>
            </c:ext>
          </c:extLst>
        </c:ser>
        <c:ser>
          <c:idx val="1"/>
          <c:order val="1"/>
          <c:tx>
            <c:strRef>
              <c:f>Piano_indicatori!$B$91</c:f>
              <c:strCache>
                <c:ptCount val="1"/>
                <c:pt idx="0">
                  <c:v>Media Regioni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00B050"/>
                    </a:solidFill>
                  </a:defRPr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Piano_indicatori!$D$1:$K$1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Piano_indicatori!$D$95:$K$95</c:f>
              <c:numCache>
                <c:formatCode>0.00</c:formatCode>
                <c:ptCount val="8"/>
                <c:pt idx="0">
                  <c:v>1487.8265292558735</c:v>
                </c:pt>
                <c:pt idx="1">
                  <c:v>1454.4140655223978</c:v>
                </c:pt>
                <c:pt idx="2">
                  <c:v>1477.1917407830958</c:v>
                </c:pt>
                <c:pt idx="3">
                  <c:v>1407.183489070514</c:v>
                </c:pt>
                <c:pt idx="4" formatCode="#,##0.00">
                  <c:v>1321.1294634811929</c:v>
                </c:pt>
                <c:pt idx="5" formatCode="#,##0.00">
                  <c:v>1105.098207694675</c:v>
                </c:pt>
                <c:pt idx="6" formatCode="#,##0.00">
                  <c:v>1056.3366075055262</c:v>
                </c:pt>
                <c:pt idx="7" formatCode="#,##0.00">
                  <c:v>1020.6314837158122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0-4DD5-8C34-963CC30C4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5576592"/>
        <c:axId val="-1585591280"/>
      </c:barChart>
      <c:catAx>
        <c:axId val="-1585576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-1585591280"/>
        <c:crosses val="autoZero"/>
        <c:auto val="1"/>
        <c:lblAlgn val="ctr"/>
        <c:lblOffset val="100"/>
        <c:noMultiLvlLbl val="0"/>
      </c:catAx>
      <c:valAx>
        <c:axId val="-1585591280"/>
        <c:scaling>
          <c:orientation val="minMax"/>
          <c:max val="1700"/>
          <c:min val="0"/>
        </c:scaling>
        <c:delete val="1"/>
        <c:axPos val="l"/>
        <c:numFmt formatCode="0" sourceLinked="0"/>
        <c:majorTickMark val="none"/>
        <c:minorTickMark val="none"/>
        <c:tickLblPos val="none"/>
        <c:crossAx val="-1585576592"/>
        <c:crosses val="autoZero"/>
        <c:crossBetween val="between"/>
        <c:majorUnit val="1000"/>
      </c:valAx>
      <c:spPr>
        <a:noFill/>
        <a:ln>
          <a:noFill/>
        </a:ln>
      </c:spPr>
    </c:plotArea>
    <c:legend>
      <c:legendPos val="b"/>
      <c:legendEntry>
        <c:idx val="0"/>
        <c:delete val="1"/>
      </c:legendEntry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it-IT"/>
    </a:p>
  </c:txPr>
  <c:printSettings>
    <c:headerFooter/>
    <c:pageMargins b="0.75000000000000555" l="0.70000000000000062" r="0.70000000000000062" t="0.7500000000000055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37752097937642"/>
          <c:y val="7.7745360071207401E-3"/>
          <c:w val="0.81093470579286231"/>
          <c:h val="0.9494655159537152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Popolazione!$A$1</c:f>
              <c:strCache>
                <c:ptCount val="1"/>
                <c:pt idx="0">
                  <c:v>Anno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Popolazione!$A$2:$A$12</c:f>
              <c:numCache>
                <c:formatCode>General</c:formatCode>
                <c:ptCount val="11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</c:numCache>
            </c:numRef>
          </c:cat>
          <c:val>
            <c:numRef>
              <c:f>Popolazione!$B$2:$B$12</c:f>
              <c:numCache>
                <c:formatCode>#,##0</c:formatCode>
                <c:ptCount val="11"/>
                <c:pt idx="0">
                  <c:v>529897</c:v>
                </c:pt>
                <c:pt idx="1">
                  <c:v>533233</c:v>
                </c:pt>
                <c:pt idx="2">
                  <c:v>537577</c:v>
                </c:pt>
                <c:pt idx="3">
                  <c:v>541168</c:v>
                </c:pt>
                <c:pt idx="4">
                  <c:v>545130</c:v>
                </c:pt>
                <c:pt idx="5">
                  <c:v>553254</c:v>
                </c:pt>
                <c:pt idx="6">
                  <c:v>558587</c:v>
                </c:pt>
                <c:pt idx="7">
                  <c:v>562968</c:v>
                </c:pt>
                <c:pt idx="8">
                  <c:v>566405</c:v>
                </c:pt>
                <c:pt idx="9">
                  <c:v>569887</c:v>
                </c:pt>
                <c:pt idx="10">
                  <c:v>573236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C94-47EF-9023-381B80469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585567344"/>
        <c:axId val="-1585576048"/>
      </c:barChart>
      <c:catAx>
        <c:axId val="-1585567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200" b="0"/>
            </a:pPr>
            <a:endParaRPr lang="it-IT"/>
          </a:p>
        </c:txPr>
        <c:crossAx val="-1585576048"/>
        <c:crosses val="autoZero"/>
        <c:auto val="1"/>
        <c:lblAlgn val="ctr"/>
        <c:lblOffset val="100"/>
        <c:noMultiLvlLbl val="0"/>
      </c:catAx>
      <c:valAx>
        <c:axId val="-1585576048"/>
        <c:scaling>
          <c:orientation val="minMax"/>
          <c:max val="600000"/>
          <c:min val="0"/>
        </c:scaling>
        <c:delete val="1"/>
        <c:axPos val="b"/>
        <c:numFmt formatCode="#,##0" sourceLinked="1"/>
        <c:majorTickMark val="out"/>
        <c:minorTickMark val="none"/>
        <c:tickLblPos val="none"/>
        <c:crossAx val="-1585567344"/>
        <c:crosses val="autoZero"/>
        <c:crossBetween val="between"/>
        <c:majorUnit val="100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5" l="0.70000000000000062" r="0.70000000000000062" t="0.75000000000000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1171574</xdr:colOff>
      <xdr:row>26</xdr:row>
      <xdr:rowOff>142875</xdr:rowOff>
    </xdr:from>
    <xdr:to>
      <xdr:col>10</xdr:col>
      <xdr:colOff>304800</xdr:colOff>
      <xdr:row>53</xdr:row>
      <xdr:rowOff>104775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1609724</xdr:colOff>
      <xdr:row>56</xdr:row>
      <xdr:rowOff>142874</xdr:rowOff>
    </xdr:from>
    <xdr:to>
      <xdr:col>10</xdr:col>
      <xdr:colOff>830580</xdr:colOff>
      <xdr:row>83</xdr:row>
      <xdr:rowOff>91440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723901</xdr:colOff>
      <xdr:row>33</xdr:row>
      <xdr:rowOff>9524</xdr:rowOff>
    </xdr:from>
    <xdr:to>
      <xdr:col>14</xdr:col>
      <xdr:colOff>247651</xdr:colOff>
      <xdr:row>51</xdr:row>
      <xdr:rowOff>47625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2276475</xdr:colOff>
      <xdr:row>32</xdr:row>
      <xdr:rowOff>123825</xdr:rowOff>
    </xdr:from>
    <xdr:to>
      <xdr:col>10</xdr:col>
      <xdr:colOff>666750</xdr:colOff>
      <xdr:row>53</xdr:row>
      <xdr:rowOff>28575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981074</xdr:colOff>
      <xdr:row>55</xdr:row>
      <xdr:rowOff>85725</xdr:rowOff>
    </xdr:from>
    <xdr:to>
      <xdr:col>11</xdr:col>
      <xdr:colOff>514349</xdr:colOff>
      <xdr:row>77</xdr:row>
      <xdr:rowOff>85725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181</xdr:row>
      <xdr:rowOff>28576</xdr:rowOff>
    </xdr:from>
    <xdr:to>
      <xdr:col>2</xdr:col>
      <xdr:colOff>752475</xdr:colOff>
      <xdr:row>199</xdr:row>
      <xdr:rowOff>180976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552449</xdr:colOff>
      <xdr:row>201</xdr:row>
      <xdr:rowOff>123823</xdr:rowOff>
    </xdr:from>
    <xdr:to>
      <xdr:col>3</xdr:col>
      <xdr:colOff>85724</xdr:colOff>
      <xdr:row>219</xdr:row>
      <xdr:rowOff>104775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123825</xdr:colOff>
      <xdr:row>239</xdr:row>
      <xdr:rowOff>152400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97</xdr:row>
      <xdr:rowOff>161924</xdr:rowOff>
    </xdr:from>
    <xdr:to>
      <xdr:col>3</xdr:col>
      <xdr:colOff>123825</xdr:colOff>
      <xdr:row>115</xdr:row>
      <xdr:rowOff>171449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118</xdr:row>
      <xdr:rowOff>142875</xdr:rowOff>
    </xdr:from>
    <xdr:to>
      <xdr:col>3</xdr:col>
      <xdr:colOff>123825</xdr:colOff>
      <xdr:row>136</xdr:row>
      <xdr:rowOff>152400</xdr:rowOff>
    </xdr:to>
    <xdr:graphicFrame macro="">
      <xdr:nvGraphicFramePr>
        <xdr:cNvPr id="10" name="Gra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123825</xdr:colOff>
      <xdr:row>157</xdr:row>
      <xdr:rowOff>9525</xdr:rowOff>
    </xdr:to>
    <xdr:graphicFrame macro="">
      <xdr:nvGraphicFramePr>
        <xdr:cNvPr id="12" name="Gra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123825</xdr:colOff>
      <xdr:row>178</xdr:row>
      <xdr:rowOff>9525</xdr:rowOff>
    </xdr:to>
    <xdr:graphicFrame macro="">
      <xdr:nvGraphicFramePr>
        <xdr:cNvPr id="13" name="Grafico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66673</xdr:colOff>
      <xdr:row>14</xdr:row>
      <xdr:rowOff>190499</xdr:rowOff>
    </xdr:from>
    <xdr:to>
      <xdr:col>9</xdr:col>
      <xdr:colOff>428625</xdr:colOff>
      <xdr:row>32</xdr:row>
      <xdr:rowOff>28575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workbookViewId="0">
      <pane xSplit="1" ySplit="2" topLeftCell="P3" activePane="bottomRight" state="frozen"/>
      <selection pane="topRight" activeCell="B1" sqref="B1"/>
      <selection pane="bottomLeft" activeCell="A3" sqref="A3"/>
      <selection pane="bottomRight" activeCell="W3" sqref="W3:X55"/>
    </sheetView>
  </sheetViews>
  <sheetFormatPr defaultRowHeight="14.4" x14ac:dyDescent="0.3"/>
  <cols>
    <col min="1" max="1" width="60.6640625" bestFit="1" customWidth="1"/>
    <col min="2" max="3" width="15.33203125" bestFit="1" customWidth="1"/>
    <col min="4" max="4" width="7.109375" customWidth="1"/>
    <col min="5" max="6" width="15.33203125" bestFit="1" customWidth="1"/>
    <col min="7" max="7" width="7.109375" customWidth="1"/>
    <col min="8" max="9" width="15.33203125" bestFit="1" customWidth="1"/>
    <col min="10" max="10" width="7.109375" customWidth="1"/>
    <col min="11" max="12" width="15.33203125" bestFit="1" customWidth="1"/>
    <col min="13" max="13" width="7.109375" customWidth="1"/>
    <col min="14" max="15" width="15.33203125" bestFit="1" customWidth="1"/>
    <col min="16" max="16" width="7.109375" customWidth="1"/>
    <col min="17" max="18" width="15.33203125" bestFit="1" customWidth="1"/>
    <col min="19" max="19" width="7.109375" customWidth="1"/>
    <col min="20" max="21" width="15.33203125" bestFit="1" customWidth="1"/>
    <col min="22" max="22" width="7.109375" customWidth="1"/>
    <col min="23" max="24" width="15.33203125" bestFit="1" customWidth="1"/>
    <col min="25" max="25" width="7.109375" customWidth="1"/>
  </cols>
  <sheetData>
    <row r="1" spans="1:27" x14ac:dyDescent="0.3">
      <c r="B1" s="118">
        <v>2016</v>
      </c>
      <c r="C1" s="118"/>
      <c r="D1" s="119"/>
      <c r="E1" s="120">
        <v>2017</v>
      </c>
      <c r="F1" s="118"/>
      <c r="G1" s="119"/>
      <c r="H1" s="120">
        <v>2018</v>
      </c>
      <c r="I1" s="118"/>
      <c r="J1" s="119"/>
      <c r="K1" s="120">
        <v>2019</v>
      </c>
      <c r="L1" s="118"/>
      <c r="M1" s="119"/>
      <c r="N1" s="120">
        <v>2020</v>
      </c>
      <c r="O1" s="118"/>
      <c r="P1" s="119"/>
      <c r="Q1" s="120">
        <v>2021</v>
      </c>
      <c r="R1" s="118"/>
      <c r="S1" s="119"/>
      <c r="T1" s="120">
        <v>2022</v>
      </c>
      <c r="U1" s="118"/>
      <c r="V1" s="119"/>
      <c r="W1" s="120">
        <v>2023</v>
      </c>
      <c r="X1" s="118"/>
      <c r="Y1" s="119"/>
      <c r="Z1" s="117" t="s">
        <v>233</v>
      </c>
      <c r="AA1" s="117"/>
    </row>
    <row r="2" spans="1:27" x14ac:dyDescent="0.3">
      <c r="B2" s="17" t="s">
        <v>73</v>
      </c>
      <c r="C2" s="17" t="s">
        <v>74</v>
      </c>
      <c r="D2" s="18" t="s">
        <v>234</v>
      </c>
      <c r="E2" s="23" t="s">
        <v>73</v>
      </c>
      <c r="F2" s="17" t="s">
        <v>74</v>
      </c>
      <c r="G2" s="18" t="s">
        <v>234</v>
      </c>
      <c r="H2" s="23" t="s">
        <v>73</v>
      </c>
      <c r="I2" s="17" t="s">
        <v>74</v>
      </c>
      <c r="J2" s="18" t="s">
        <v>234</v>
      </c>
      <c r="K2" s="23" t="s">
        <v>73</v>
      </c>
      <c r="L2" s="17" t="s">
        <v>74</v>
      </c>
      <c r="M2" s="18" t="s">
        <v>234</v>
      </c>
      <c r="N2" s="23" t="s">
        <v>73</v>
      </c>
      <c r="O2" s="17" t="s">
        <v>74</v>
      </c>
      <c r="P2" s="18" t="s">
        <v>234</v>
      </c>
      <c r="Q2" s="23" t="s">
        <v>73</v>
      </c>
      <c r="R2" s="17" t="s">
        <v>74</v>
      </c>
      <c r="S2" s="18" t="s">
        <v>234</v>
      </c>
      <c r="T2" s="23" t="s">
        <v>73</v>
      </c>
      <c r="U2" s="17" t="s">
        <v>74</v>
      </c>
      <c r="V2" s="18" t="s">
        <v>234</v>
      </c>
      <c r="W2" s="23" t="s">
        <v>73</v>
      </c>
      <c r="X2" s="17" t="s">
        <v>74</v>
      </c>
      <c r="Y2" s="18" t="s">
        <v>234</v>
      </c>
      <c r="Z2" s="12" t="s">
        <v>73</v>
      </c>
      <c r="AA2" s="12" t="s">
        <v>74</v>
      </c>
    </row>
    <row r="3" spans="1:27" x14ac:dyDescent="0.3">
      <c r="A3" t="s">
        <v>19</v>
      </c>
      <c r="B3" s="28">
        <v>1373107883.3900001</v>
      </c>
      <c r="C3" s="28">
        <v>1302571631.8599999</v>
      </c>
      <c r="D3" s="20">
        <f>IF(B3&gt;0,C3/B3*100,"-")</f>
        <v>94.863021880272314</v>
      </c>
      <c r="E3" s="28">
        <v>1372526092.2</v>
      </c>
      <c r="F3" s="28">
        <v>1224197452.77</v>
      </c>
      <c r="G3" s="20">
        <f>IF(E3&gt;0,F3/E3*100,"-")</f>
        <v>89.193018604677562</v>
      </c>
      <c r="H3" s="28">
        <v>1296776786.26</v>
      </c>
      <c r="I3" s="28">
        <v>1132046288.9100001</v>
      </c>
      <c r="J3" s="20">
        <f>IF(H3&gt;0,I3/H3*100,"-")</f>
        <v>87.296927343595129</v>
      </c>
      <c r="K3" s="28">
        <v>1389652648.5899999</v>
      </c>
      <c r="L3" s="28">
        <v>1114373533.23</v>
      </c>
      <c r="M3" s="20">
        <f>IF(K3&gt;0,L3/K3*100,"-")</f>
        <v>80.190796913220751</v>
      </c>
      <c r="N3" s="28">
        <v>1452220359.8199999</v>
      </c>
      <c r="O3" s="28">
        <v>1163815145.51</v>
      </c>
      <c r="P3" s="20">
        <f>IF(N3&gt;0,O3/N3*100,"-")</f>
        <v>80.140395886906092</v>
      </c>
      <c r="Q3" s="1">
        <v>1415214417.55</v>
      </c>
      <c r="R3" s="1">
        <v>1252538988.51</v>
      </c>
      <c r="S3" s="20">
        <f>IF(Q3&gt;0,R3/Q3*100,"-")</f>
        <v>88.505245069392274</v>
      </c>
      <c r="T3" s="1">
        <v>1514856730.9200001</v>
      </c>
      <c r="U3" s="1">
        <v>1446001862.6199999</v>
      </c>
      <c r="V3" s="20">
        <f>IF(T3&gt;0,U3/T3*100,"-")</f>
        <v>95.454694368477774</v>
      </c>
      <c r="W3" s="1">
        <v>1571103948.0899999</v>
      </c>
      <c r="X3" s="1">
        <v>1441787447.6199999</v>
      </c>
      <c r="Y3" s="20">
        <f>IF(W3&gt;0,X3/W3*100,"-")</f>
        <v>91.769067818382695</v>
      </c>
      <c r="Z3" s="13">
        <f>IF(T3&gt;0,W3/T3*100-100,"-")</f>
        <v>3.7130387330978749</v>
      </c>
      <c r="AA3" s="13">
        <f>IF(U3&gt;0,X3/U3*100-100,"-")</f>
        <v>-0.29145294407601341</v>
      </c>
    </row>
    <row r="4" spans="1:27" x14ac:dyDescent="0.3">
      <c r="A4" t="s">
        <v>20</v>
      </c>
      <c r="B4" s="28">
        <v>145916168.81</v>
      </c>
      <c r="C4" s="28">
        <v>119355543.09</v>
      </c>
      <c r="D4" s="20">
        <f t="shared" ref="D4:D21" si="0">IF(B4&gt;0,C4/B4*100,"-")</f>
        <v>81.797338885325971</v>
      </c>
      <c r="E4" s="28">
        <v>150028760.53999999</v>
      </c>
      <c r="F4" s="28">
        <v>110998299.62</v>
      </c>
      <c r="G4" s="20">
        <f t="shared" ref="G4:G21" si="1">IF(E4&gt;0,F4/E4*100,"-")</f>
        <v>73.984680817519745</v>
      </c>
      <c r="H4" s="28">
        <v>224303272.08000001</v>
      </c>
      <c r="I4" s="28">
        <v>129550073.36</v>
      </c>
      <c r="J4" s="20">
        <f t="shared" ref="J4:J13" si="2">IF(H4&gt;0,I4/H4*100,"-")</f>
        <v>57.756657831453595</v>
      </c>
      <c r="K4" s="28">
        <v>195156208.63</v>
      </c>
      <c r="L4" s="28">
        <v>144418784.71000001</v>
      </c>
      <c r="M4" s="20">
        <f t="shared" ref="M4:M13" si="3">IF(K4&gt;0,L4/K4*100,"-")</f>
        <v>74.001634753935022</v>
      </c>
      <c r="N4" s="28">
        <v>265514120.80000001</v>
      </c>
      <c r="O4" s="28">
        <v>206590888.65000001</v>
      </c>
      <c r="P4" s="20">
        <f t="shared" ref="P4:P13" si="4">IF(N4&gt;0,O4/N4*100,"-")</f>
        <v>77.807872525776418</v>
      </c>
      <c r="Q4" s="1">
        <v>261052648.66999999</v>
      </c>
      <c r="R4" s="1">
        <v>186799946.28999999</v>
      </c>
      <c r="S4" s="20">
        <f t="shared" ref="S4:S13" si="5">IF(Q4&gt;0,R4/Q4*100,"-")</f>
        <v>71.556426353726138</v>
      </c>
      <c r="T4" s="1">
        <v>399639321.69</v>
      </c>
      <c r="U4" s="1">
        <v>317906941.19999999</v>
      </c>
      <c r="V4" s="20">
        <f t="shared" ref="V4:V13" si="6">IF(T4&gt;0,U4/T4*100,"-")</f>
        <v>79.548463813728574</v>
      </c>
      <c r="W4" s="1">
        <v>445314930.77999997</v>
      </c>
      <c r="X4" s="1">
        <v>335743247.77999997</v>
      </c>
      <c r="Y4" s="20">
        <f t="shared" ref="Y4:Y21" si="7">IF(W4&gt;0,X4/W4*100,"-")</f>
        <v>75.394563391782626</v>
      </c>
      <c r="Z4" s="13">
        <f t="shared" ref="Z4:AA60" si="8">IF(T4&gt;0,W4/T4*100-100,"-")</f>
        <v>11.42920794101201</v>
      </c>
      <c r="AA4" s="13">
        <f t="shared" si="8"/>
        <v>5.6105432969388573</v>
      </c>
    </row>
    <row r="5" spans="1:27" x14ac:dyDescent="0.3">
      <c r="A5" t="s">
        <v>21</v>
      </c>
      <c r="B5" s="28">
        <v>41646915.380000003</v>
      </c>
      <c r="C5" s="28">
        <v>28224457.620000001</v>
      </c>
      <c r="D5" s="20">
        <f t="shared" si="0"/>
        <v>67.770823751221116</v>
      </c>
      <c r="E5" s="28">
        <v>40291301.490000002</v>
      </c>
      <c r="F5" s="28">
        <v>25667622.670000002</v>
      </c>
      <c r="G5" s="20">
        <f t="shared" si="1"/>
        <v>63.705121752819302</v>
      </c>
      <c r="H5" s="28">
        <v>54107355.450000003</v>
      </c>
      <c r="I5" s="28">
        <v>49619286.460000001</v>
      </c>
      <c r="J5" s="20">
        <f t="shared" si="2"/>
        <v>91.705251619352609</v>
      </c>
      <c r="K5" s="28">
        <v>52298910.670000002</v>
      </c>
      <c r="L5" s="28">
        <v>22915861.390000001</v>
      </c>
      <c r="M5" s="20">
        <f t="shared" si="3"/>
        <v>43.817091209789055</v>
      </c>
      <c r="N5" s="28">
        <v>37134734.600000001</v>
      </c>
      <c r="O5" s="28">
        <v>24267285.690000001</v>
      </c>
      <c r="P5" s="20">
        <f t="shared" si="4"/>
        <v>65.349290768864137</v>
      </c>
      <c r="Q5" s="1">
        <v>29571491.800000001</v>
      </c>
      <c r="R5" s="1">
        <v>10493599.77</v>
      </c>
      <c r="S5" s="20">
        <f t="shared" si="5"/>
        <v>35.485527213070796</v>
      </c>
      <c r="T5" s="1">
        <v>27870926.41</v>
      </c>
      <c r="U5" s="1">
        <v>9202457.1600000001</v>
      </c>
      <c r="V5" s="20">
        <f t="shared" si="6"/>
        <v>33.018124423371113</v>
      </c>
      <c r="W5" s="1">
        <v>40014700.25</v>
      </c>
      <c r="X5" s="1">
        <v>15345927.109999999</v>
      </c>
      <c r="Y5" s="20">
        <f t="shared" si="7"/>
        <v>38.350723644368671</v>
      </c>
      <c r="Z5" s="13">
        <f t="shared" si="8"/>
        <v>43.571475383907057</v>
      </c>
      <c r="AA5" s="13">
        <f t="shared" si="8"/>
        <v>66.759017110164933</v>
      </c>
    </row>
    <row r="6" spans="1:27" x14ac:dyDescent="0.3">
      <c r="A6" t="s">
        <v>22</v>
      </c>
      <c r="B6" s="28">
        <v>0</v>
      </c>
      <c r="C6" s="28">
        <v>0</v>
      </c>
      <c r="D6" s="20" t="str">
        <f t="shared" si="0"/>
        <v>-</v>
      </c>
      <c r="E6" s="28">
        <v>0</v>
      </c>
      <c r="F6" s="28">
        <v>0</v>
      </c>
      <c r="G6" s="20" t="str">
        <f t="shared" si="1"/>
        <v>-</v>
      </c>
      <c r="H6" s="28">
        <v>0</v>
      </c>
      <c r="I6" s="28">
        <v>0</v>
      </c>
      <c r="J6" s="20" t="str">
        <f t="shared" si="2"/>
        <v>-</v>
      </c>
      <c r="K6" s="28">
        <v>0</v>
      </c>
      <c r="L6" s="28">
        <v>0</v>
      </c>
      <c r="M6" s="20" t="str">
        <f t="shared" si="3"/>
        <v>-</v>
      </c>
      <c r="N6" s="28">
        <v>0</v>
      </c>
      <c r="O6" s="28">
        <v>0</v>
      </c>
      <c r="P6" s="20" t="str">
        <f t="shared" si="4"/>
        <v>-</v>
      </c>
      <c r="Q6" s="28">
        <v>0</v>
      </c>
      <c r="R6" s="28">
        <v>0</v>
      </c>
      <c r="S6" s="20" t="str">
        <f t="shared" si="5"/>
        <v>-</v>
      </c>
      <c r="T6" s="28">
        <v>0</v>
      </c>
      <c r="U6" s="28">
        <v>0</v>
      </c>
      <c r="V6" s="20" t="str">
        <f t="shared" si="6"/>
        <v>-</v>
      </c>
      <c r="W6" s="28">
        <v>0</v>
      </c>
      <c r="X6" s="28">
        <v>0</v>
      </c>
      <c r="Y6" s="20" t="str">
        <f t="shared" si="7"/>
        <v>-</v>
      </c>
      <c r="Z6" s="13" t="str">
        <f t="shared" si="8"/>
        <v>-</v>
      </c>
      <c r="AA6" s="13" t="str">
        <f t="shared" si="8"/>
        <v>-</v>
      </c>
    </row>
    <row r="7" spans="1:27" x14ac:dyDescent="0.3">
      <c r="A7" t="s">
        <v>23</v>
      </c>
      <c r="B7" s="28">
        <v>181482138.09</v>
      </c>
      <c r="C7" s="28">
        <v>81800351.120000005</v>
      </c>
      <c r="D7" s="20">
        <f t="shared" si="0"/>
        <v>45.073499784002905</v>
      </c>
      <c r="E7" s="28">
        <v>242526838.47</v>
      </c>
      <c r="F7" s="28">
        <v>43704433.93</v>
      </c>
      <c r="G7" s="20">
        <f t="shared" si="1"/>
        <v>18.020452584016237</v>
      </c>
      <c r="H7" s="28">
        <v>412120071.24000001</v>
      </c>
      <c r="I7" s="28">
        <v>9986125.8599999994</v>
      </c>
      <c r="J7" s="20">
        <f t="shared" si="2"/>
        <v>2.4231107769037856</v>
      </c>
      <c r="K7" s="28">
        <v>331352568.26999998</v>
      </c>
      <c r="L7" s="28">
        <v>60157021.700000003</v>
      </c>
      <c r="M7" s="20">
        <f t="shared" si="3"/>
        <v>18.154988812696189</v>
      </c>
      <c r="N7" s="28">
        <v>247140828.88999999</v>
      </c>
      <c r="O7" s="28">
        <v>63115564.710000001</v>
      </c>
      <c r="P7" s="20">
        <f t="shared" si="4"/>
        <v>25.538299354855742</v>
      </c>
      <c r="Q7" s="1">
        <v>218629583</v>
      </c>
      <c r="R7" s="1">
        <v>37091821.700000003</v>
      </c>
      <c r="S7" s="20">
        <f t="shared" si="5"/>
        <v>16.965600533574637</v>
      </c>
      <c r="T7" s="1">
        <v>278125846.76999998</v>
      </c>
      <c r="U7" s="1">
        <v>20902992.699999999</v>
      </c>
      <c r="V7" s="20">
        <f t="shared" si="6"/>
        <v>7.5156598866145714</v>
      </c>
      <c r="W7" s="1">
        <v>276435087.44</v>
      </c>
      <c r="X7" s="1">
        <v>38102861</v>
      </c>
      <c r="Y7" s="20">
        <f t="shared" si="7"/>
        <v>13.783655813327314</v>
      </c>
      <c r="Z7" s="13">
        <f t="shared" si="8"/>
        <v>-0.60791161613906297</v>
      </c>
      <c r="AA7" s="13">
        <f t="shared" si="8"/>
        <v>82.28423817992342</v>
      </c>
    </row>
    <row r="8" spans="1:27" x14ac:dyDescent="0.3">
      <c r="A8" t="s">
        <v>24</v>
      </c>
      <c r="B8" s="28">
        <v>50232930.200000003</v>
      </c>
      <c r="C8" s="28">
        <v>38088045.979999997</v>
      </c>
      <c r="D8" s="20">
        <f t="shared" si="0"/>
        <v>75.822863265898022</v>
      </c>
      <c r="E8" s="28">
        <v>73673343.950000003</v>
      </c>
      <c r="F8" s="28">
        <v>42902621.600000001</v>
      </c>
      <c r="G8" s="20">
        <f t="shared" si="1"/>
        <v>58.233574451455318</v>
      </c>
      <c r="H8" s="28">
        <v>78157042.780000001</v>
      </c>
      <c r="I8" s="28">
        <v>57456170.210000001</v>
      </c>
      <c r="J8" s="20">
        <f t="shared" si="2"/>
        <v>73.513746383330087</v>
      </c>
      <c r="K8" s="28">
        <v>61156313.299999997</v>
      </c>
      <c r="L8" s="28">
        <v>42921282.240000002</v>
      </c>
      <c r="M8" s="20">
        <f t="shared" si="3"/>
        <v>70.182913135151338</v>
      </c>
      <c r="N8" s="28">
        <v>43431530.469999999</v>
      </c>
      <c r="O8" s="28">
        <v>28788618.16</v>
      </c>
      <c r="P8" s="20">
        <f t="shared" si="4"/>
        <v>66.285064902065841</v>
      </c>
      <c r="Q8" s="1">
        <v>70956778.640000001</v>
      </c>
      <c r="R8" s="1">
        <v>64396860.659999996</v>
      </c>
      <c r="S8" s="20">
        <f t="shared" si="5"/>
        <v>90.75505102439638</v>
      </c>
      <c r="T8" s="1">
        <v>49396482.899999999</v>
      </c>
      <c r="U8" s="1">
        <v>27902602.199999999</v>
      </c>
      <c r="V8" s="20">
        <f t="shared" si="6"/>
        <v>56.487022075006891</v>
      </c>
      <c r="W8" s="1">
        <v>46431811.229999997</v>
      </c>
      <c r="X8" s="1">
        <v>35779775</v>
      </c>
      <c r="Y8" s="20">
        <f t="shared" si="7"/>
        <v>77.058753583324304</v>
      </c>
      <c r="Z8" s="13">
        <f t="shared" si="8"/>
        <v>-6.001786961233222</v>
      </c>
      <c r="AA8" s="13">
        <f t="shared" si="8"/>
        <v>28.230961196873608</v>
      </c>
    </row>
    <row r="9" spans="1:27" x14ac:dyDescent="0.3">
      <c r="A9" t="s">
        <v>25</v>
      </c>
      <c r="B9" s="28">
        <v>508519.56</v>
      </c>
      <c r="C9" s="28">
        <v>507414.07</v>
      </c>
      <c r="D9" s="20">
        <f t="shared" si="0"/>
        <v>99.782606199061448</v>
      </c>
      <c r="E9" s="28">
        <v>580234.74</v>
      </c>
      <c r="F9" s="28">
        <v>579129.25</v>
      </c>
      <c r="G9" s="20">
        <f t="shared" si="1"/>
        <v>99.809475385772316</v>
      </c>
      <c r="H9" s="28">
        <v>710491.89</v>
      </c>
      <c r="I9" s="28">
        <v>710491.89</v>
      </c>
      <c r="J9" s="20">
        <f t="shared" si="2"/>
        <v>100</v>
      </c>
      <c r="K9" s="28">
        <v>236376</v>
      </c>
      <c r="L9" s="28">
        <v>234627.5</v>
      </c>
      <c r="M9" s="20">
        <f t="shared" si="3"/>
        <v>99.260288692591473</v>
      </c>
      <c r="N9" s="28">
        <v>137830.87</v>
      </c>
      <c r="O9" s="28">
        <v>136725.38</v>
      </c>
      <c r="P9" s="20">
        <f t="shared" si="4"/>
        <v>99.197937298081342</v>
      </c>
      <c r="Q9" s="1">
        <v>91392.65</v>
      </c>
      <c r="R9" s="1">
        <v>91392.65</v>
      </c>
      <c r="S9" s="20">
        <f t="shared" si="5"/>
        <v>100</v>
      </c>
      <c r="T9" s="1">
        <v>286649.36</v>
      </c>
      <c r="U9" s="1">
        <v>286649.36</v>
      </c>
      <c r="V9" s="20">
        <f t="shared" si="6"/>
        <v>100</v>
      </c>
      <c r="W9" s="1">
        <v>59227.9</v>
      </c>
      <c r="X9" s="1">
        <v>59227.9</v>
      </c>
      <c r="Y9" s="20">
        <f t="shared" si="7"/>
        <v>100</v>
      </c>
      <c r="Z9" s="13">
        <f t="shared" si="8"/>
        <v>-79.337857234357685</v>
      </c>
      <c r="AA9" s="13">
        <f t="shared" si="8"/>
        <v>-79.337857234357685</v>
      </c>
    </row>
    <row r="10" spans="1:27" x14ac:dyDescent="0.3">
      <c r="A10" t="s">
        <v>26</v>
      </c>
      <c r="B10" s="28">
        <v>654822.47</v>
      </c>
      <c r="C10" s="28">
        <v>654822.47</v>
      </c>
      <c r="D10" s="20">
        <f t="shared" si="0"/>
        <v>100</v>
      </c>
      <c r="E10" s="28">
        <v>270697.95</v>
      </c>
      <c r="F10" s="28">
        <v>270697.95</v>
      </c>
      <c r="G10" s="20">
        <f t="shared" si="1"/>
        <v>100</v>
      </c>
      <c r="H10" s="28">
        <v>1149.45</v>
      </c>
      <c r="I10" s="28">
        <v>1149.45</v>
      </c>
      <c r="J10" s="20">
        <f t="shared" si="2"/>
        <v>100</v>
      </c>
      <c r="K10" s="28">
        <v>0</v>
      </c>
      <c r="L10" s="28">
        <v>0</v>
      </c>
      <c r="M10" s="20" t="str">
        <f t="shared" si="3"/>
        <v>-</v>
      </c>
      <c r="N10" s="28">
        <v>0</v>
      </c>
      <c r="O10" s="28">
        <v>0</v>
      </c>
      <c r="P10" s="20" t="str">
        <f t="shared" si="4"/>
        <v>-</v>
      </c>
      <c r="Q10" s="28">
        <v>0</v>
      </c>
      <c r="R10" s="28">
        <v>0</v>
      </c>
      <c r="S10" s="20" t="str">
        <f t="shared" si="5"/>
        <v>-</v>
      </c>
      <c r="T10" s="28">
        <v>0</v>
      </c>
      <c r="U10" s="28">
        <v>0</v>
      </c>
      <c r="V10" s="20" t="str">
        <f t="shared" si="6"/>
        <v>-</v>
      </c>
      <c r="W10" s="28">
        <v>0</v>
      </c>
      <c r="X10" s="28">
        <v>0</v>
      </c>
      <c r="Y10" s="20" t="str">
        <f t="shared" si="7"/>
        <v>-</v>
      </c>
      <c r="Z10" s="13" t="str">
        <f t="shared" si="8"/>
        <v>-</v>
      </c>
      <c r="AA10" s="13" t="str">
        <f t="shared" si="8"/>
        <v>-</v>
      </c>
    </row>
    <row r="11" spans="1:27" x14ac:dyDescent="0.3">
      <c r="A11" t="s">
        <v>27</v>
      </c>
      <c r="B11" s="28">
        <v>0</v>
      </c>
      <c r="C11" s="28">
        <v>0</v>
      </c>
      <c r="D11" s="20" t="str">
        <f t="shared" si="0"/>
        <v>-</v>
      </c>
      <c r="E11" s="28">
        <v>0</v>
      </c>
      <c r="F11" s="28">
        <v>0</v>
      </c>
      <c r="G11" s="20" t="str">
        <f t="shared" si="1"/>
        <v>-</v>
      </c>
      <c r="H11" s="28">
        <v>0</v>
      </c>
      <c r="I11" s="28">
        <v>0</v>
      </c>
      <c r="J11" s="20" t="str">
        <f t="shared" si="2"/>
        <v>-</v>
      </c>
      <c r="K11" s="28">
        <v>0</v>
      </c>
      <c r="L11" s="28">
        <v>0</v>
      </c>
      <c r="M11" s="20" t="str">
        <f t="shared" si="3"/>
        <v>-</v>
      </c>
      <c r="N11" s="28">
        <v>0</v>
      </c>
      <c r="O11" s="28">
        <v>0</v>
      </c>
      <c r="P11" s="20" t="str">
        <f t="shared" si="4"/>
        <v>-</v>
      </c>
      <c r="Q11" s="28">
        <v>0</v>
      </c>
      <c r="R11" s="28">
        <v>0</v>
      </c>
      <c r="S11" s="20" t="str">
        <f t="shared" si="5"/>
        <v>-</v>
      </c>
      <c r="T11" s="28">
        <v>0</v>
      </c>
      <c r="U11" s="28">
        <v>0</v>
      </c>
      <c r="V11" s="20" t="str">
        <f t="shared" si="6"/>
        <v>-</v>
      </c>
      <c r="W11" s="28">
        <v>0</v>
      </c>
      <c r="X11" s="28">
        <v>0</v>
      </c>
      <c r="Y11" s="20" t="str">
        <f t="shared" si="7"/>
        <v>-</v>
      </c>
      <c r="Z11" s="13" t="str">
        <f t="shared" si="8"/>
        <v>-</v>
      </c>
      <c r="AA11" s="13" t="str">
        <f t="shared" si="8"/>
        <v>-</v>
      </c>
    </row>
    <row r="12" spans="1:27" x14ac:dyDescent="0.3">
      <c r="A12" t="s">
        <v>28</v>
      </c>
      <c r="B12" s="28">
        <v>0</v>
      </c>
      <c r="C12" s="28">
        <v>0</v>
      </c>
      <c r="D12" s="20" t="str">
        <f t="shared" si="0"/>
        <v>-</v>
      </c>
      <c r="E12" s="28">
        <v>0</v>
      </c>
      <c r="F12" s="28">
        <v>0</v>
      </c>
      <c r="G12" s="20" t="str">
        <f t="shared" si="1"/>
        <v>-</v>
      </c>
      <c r="H12" s="28">
        <v>0</v>
      </c>
      <c r="I12" s="28">
        <v>0</v>
      </c>
      <c r="J12" s="20" t="str">
        <f t="shared" si="2"/>
        <v>-</v>
      </c>
      <c r="K12" s="28">
        <v>0</v>
      </c>
      <c r="L12" s="28">
        <v>0</v>
      </c>
      <c r="M12" s="20" t="str">
        <f t="shared" si="3"/>
        <v>-</v>
      </c>
      <c r="N12" s="28">
        <v>0</v>
      </c>
      <c r="O12" s="28">
        <v>0</v>
      </c>
      <c r="P12" s="20" t="str">
        <f t="shared" si="4"/>
        <v>-</v>
      </c>
      <c r="Q12" s="28">
        <v>0</v>
      </c>
      <c r="R12" s="28">
        <v>0</v>
      </c>
      <c r="S12" s="20" t="str">
        <f t="shared" si="5"/>
        <v>-</v>
      </c>
      <c r="T12" s="28">
        <v>0</v>
      </c>
      <c r="U12" s="28">
        <v>0</v>
      </c>
      <c r="V12" s="20" t="str">
        <f t="shared" si="6"/>
        <v>-</v>
      </c>
      <c r="W12" s="28">
        <v>0</v>
      </c>
      <c r="X12" s="28">
        <v>0</v>
      </c>
      <c r="Y12" s="20" t="str">
        <f t="shared" si="7"/>
        <v>-</v>
      </c>
      <c r="Z12" s="13" t="str">
        <f t="shared" si="8"/>
        <v>-</v>
      </c>
      <c r="AA12" s="13" t="str">
        <f t="shared" si="8"/>
        <v>-</v>
      </c>
    </row>
    <row r="13" spans="1:27" x14ac:dyDescent="0.3">
      <c r="A13" t="s">
        <v>29</v>
      </c>
      <c r="B13" s="28">
        <v>37699095.149999999</v>
      </c>
      <c r="C13" s="28">
        <v>0</v>
      </c>
      <c r="D13" s="20">
        <f t="shared" si="0"/>
        <v>0</v>
      </c>
      <c r="E13" s="28">
        <v>18854037.399999999</v>
      </c>
      <c r="F13" s="28">
        <v>0</v>
      </c>
      <c r="G13" s="20">
        <f t="shared" si="1"/>
        <v>0</v>
      </c>
      <c r="H13" s="28">
        <v>30249929.379999999</v>
      </c>
      <c r="I13" s="28">
        <v>19377064.969999999</v>
      </c>
      <c r="J13" s="20">
        <f t="shared" si="2"/>
        <v>64.056562666924151</v>
      </c>
      <c r="K13" s="28">
        <v>193312857.91999999</v>
      </c>
      <c r="L13" s="28">
        <v>99127135.590000004</v>
      </c>
      <c r="M13" s="20">
        <f t="shared" si="3"/>
        <v>51.27808706393575</v>
      </c>
      <c r="N13" s="28">
        <v>178891513.86000001</v>
      </c>
      <c r="O13" s="28">
        <v>14184085.85</v>
      </c>
      <c r="P13" s="20">
        <f t="shared" si="4"/>
        <v>7.9288757437093542</v>
      </c>
      <c r="Q13" s="1">
        <v>76874076.189999998</v>
      </c>
      <c r="R13" s="28">
        <v>0</v>
      </c>
      <c r="S13" s="20">
        <f t="shared" si="5"/>
        <v>0</v>
      </c>
      <c r="T13" s="1">
        <v>34525947.490000002</v>
      </c>
      <c r="U13" s="28">
        <v>0</v>
      </c>
      <c r="V13" s="20">
        <f t="shared" si="6"/>
        <v>0</v>
      </c>
      <c r="W13" s="1">
        <v>33566708.390000001</v>
      </c>
      <c r="X13" s="1">
        <v>50</v>
      </c>
      <c r="Y13" s="20">
        <f t="shared" si="7"/>
        <v>1.4895711375410199E-4</v>
      </c>
      <c r="Z13" s="13">
        <f t="shared" si="8"/>
        <v>-2.7783136155143353</v>
      </c>
      <c r="AA13" s="13" t="str">
        <f t="shared" si="8"/>
        <v>-</v>
      </c>
    </row>
    <row r="14" spans="1:27" x14ac:dyDescent="0.3">
      <c r="A14" t="s">
        <v>30</v>
      </c>
      <c r="B14" s="28">
        <f t="shared" ref="B14:C14" si="9">SUM(B3:B5)</f>
        <v>1560670967.5800002</v>
      </c>
      <c r="C14" s="28">
        <f t="shared" si="9"/>
        <v>1450151632.5699997</v>
      </c>
      <c r="D14" s="20">
        <f>IF(B14&gt;0,C14/B14*100,"-")</f>
        <v>92.918473060252197</v>
      </c>
      <c r="E14" s="28">
        <f t="shared" ref="E14:F14" si="10">SUM(E3:E5)</f>
        <v>1562846154.23</v>
      </c>
      <c r="F14" s="28">
        <f t="shared" si="10"/>
        <v>1360863375.0599999</v>
      </c>
      <c r="G14" s="20">
        <f>IF(E14&gt;0,F14/E14*100,"-")</f>
        <v>87.075965307057686</v>
      </c>
      <c r="H14" s="28">
        <f t="shared" ref="H14:I14" si="11">SUM(H3:H5)</f>
        <v>1575187413.79</v>
      </c>
      <c r="I14" s="28">
        <f t="shared" si="11"/>
        <v>1311215648.73</v>
      </c>
      <c r="J14" s="20">
        <f>IF(H14&gt;0,I14/H14*100,"-")</f>
        <v>83.241882029461664</v>
      </c>
      <c r="K14" s="28">
        <f t="shared" ref="K14:L14" si="12">SUM(K3:K5)</f>
        <v>1637107767.8899999</v>
      </c>
      <c r="L14" s="28">
        <f t="shared" si="12"/>
        <v>1281708179.3300002</v>
      </c>
      <c r="M14" s="20">
        <f>IF(K14&gt;0,L14/K14*100,"-")</f>
        <v>78.291008354443306</v>
      </c>
      <c r="N14" s="28">
        <f t="shared" ref="N14:O14" si="13">SUM(N3:N5)</f>
        <v>1754869215.2199998</v>
      </c>
      <c r="O14" s="28">
        <f t="shared" si="13"/>
        <v>1394673319.8500001</v>
      </c>
      <c r="P14" s="20">
        <f>IF(N14&gt;0,O14/N14*100,"-")</f>
        <v>79.474487771167404</v>
      </c>
      <c r="Q14" s="28">
        <f t="shared" ref="Q14:R14" si="14">SUM(Q3:Q5)</f>
        <v>1705838558.02</v>
      </c>
      <c r="R14" s="28">
        <f t="shared" si="14"/>
        <v>1449832534.5699999</v>
      </c>
      <c r="S14" s="20">
        <f>IF(Q14&gt;0,R14/Q14*100,"-")</f>
        <v>84.992365060199418</v>
      </c>
      <c r="T14" s="28">
        <f t="shared" ref="T14:U14" si="15">SUM(T3:T5)</f>
        <v>1942366979.0200002</v>
      </c>
      <c r="U14" s="28">
        <f t="shared" si="15"/>
        <v>1773111260.98</v>
      </c>
      <c r="V14" s="20">
        <f>IF(T14&gt;0,U14/T14*100,"-")</f>
        <v>91.286110201204295</v>
      </c>
      <c r="W14" s="28">
        <f t="shared" ref="W14:X14" si="16">SUM(W3:W5)</f>
        <v>2056433579.1199999</v>
      </c>
      <c r="X14" s="28">
        <f t="shared" si="16"/>
        <v>1792876622.5099998</v>
      </c>
      <c r="Y14" s="20">
        <f>IF(W14&gt;0,X14/W14*100,"-")</f>
        <v>87.183784621782777</v>
      </c>
      <c r="Z14" s="13">
        <f t="shared" si="8"/>
        <v>5.8725565936850188</v>
      </c>
      <c r="AA14" s="13">
        <f t="shared" si="8"/>
        <v>1.1147276521765122</v>
      </c>
    </row>
    <row r="15" spans="1:27" x14ac:dyDescent="0.3">
      <c r="A15" t="s">
        <v>31</v>
      </c>
      <c r="B15" s="27">
        <f t="shared" ref="B15:C15" si="17">SUM(B6:B10)</f>
        <v>232878410.32000002</v>
      </c>
      <c r="C15" s="27">
        <f t="shared" si="17"/>
        <v>121050633.63999999</v>
      </c>
      <c r="D15" s="20">
        <f>IF(B15&gt;0,C15/B15*100,"-")</f>
        <v>51.980187203126029</v>
      </c>
      <c r="E15" s="27">
        <f t="shared" ref="E15:F15" si="18">SUM(E6:E10)</f>
        <v>317051115.11000001</v>
      </c>
      <c r="F15" s="27">
        <f t="shared" si="18"/>
        <v>87456882.730000004</v>
      </c>
      <c r="G15" s="20">
        <f>IF(E15&gt;0,F15/E15*100,"-")</f>
        <v>27.584474099596552</v>
      </c>
      <c r="H15" s="27">
        <f t="shared" ref="H15:I15" si="19">SUM(H6:H10)</f>
        <v>490988755.35999995</v>
      </c>
      <c r="I15" s="27">
        <f t="shared" si="19"/>
        <v>68153937.409999996</v>
      </c>
      <c r="J15" s="20">
        <f>IF(H15&gt;0,I15/H15*100,"-")</f>
        <v>13.880956878539624</v>
      </c>
      <c r="K15" s="27">
        <f t="shared" ref="K15:L15" si="20">SUM(K6:K10)</f>
        <v>392745257.56999999</v>
      </c>
      <c r="L15" s="27">
        <f t="shared" si="20"/>
        <v>103312931.44</v>
      </c>
      <c r="M15" s="20">
        <f>IF(K15&gt;0,L15/K15*100,"-")</f>
        <v>26.305328822865871</v>
      </c>
      <c r="N15" s="27">
        <f t="shared" ref="N15:O15" si="21">SUM(N6:N10)</f>
        <v>290710190.23000002</v>
      </c>
      <c r="O15" s="27">
        <f t="shared" si="21"/>
        <v>92040908.25</v>
      </c>
      <c r="P15" s="20">
        <f>IF(N15&gt;0,O15/N15*100,"-")</f>
        <v>31.660709305435891</v>
      </c>
      <c r="Q15" s="27">
        <f t="shared" ref="Q15:R15" si="22">SUM(Q6:Q10)</f>
        <v>289677754.28999996</v>
      </c>
      <c r="R15" s="27">
        <f t="shared" si="22"/>
        <v>101580075.01000001</v>
      </c>
      <c r="S15" s="20">
        <f>IF(Q15&gt;0,R15/Q15*100,"-")</f>
        <v>35.066577776734256</v>
      </c>
      <c r="T15" s="27">
        <f t="shared" ref="T15:U15" si="23">SUM(T6:T10)</f>
        <v>327808979.02999997</v>
      </c>
      <c r="U15" s="27">
        <f t="shared" si="23"/>
        <v>49092244.259999998</v>
      </c>
      <c r="V15" s="20">
        <f>IF(T15&gt;0,U15/T15*100,"-")</f>
        <v>14.975869302075232</v>
      </c>
      <c r="W15" s="27">
        <f t="shared" ref="W15:X15" si="24">SUM(W6:W10)</f>
        <v>322926126.56999999</v>
      </c>
      <c r="X15" s="27">
        <f t="shared" si="24"/>
        <v>73941863.900000006</v>
      </c>
      <c r="Y15" s="20">
        <f>IF(W15&gt;0,X15/W15*100,"-")</f>
        <v>22.897454809675114</v>
      </c>
      <c r="Z15" s="13">
        <f t="shared" si="8"/>
        <v>-1.4895420114630582</v>
      </c>
      <c r="AA15" s="13">
        <f t="shared" si="8"/>
        <v>50.618218854270822</v>
      </c>
    </row>
    <row r="16" spans="1:27" x14ac:dyDescent="0.3">
      <c r="A16" t="s">
        <v>32</v>
      </c>
      <c r="B16" s="28">
        <f t="shared" ref="B16:C16" si="25">SUM(B11:B13)</f>
        <v>37699095.149999999</v>
      </c>
      <c r="C16" s="28">
        <f t="shared" si="25"/>
        <v>0</v>
      </c>
      <c r="D16" s="20">
        <f t="shared" si="0"/>
        <v>0</v>
      </c>
      <c r="E16" s="28">
        <f t="shared" ref="E16:F16" si="26">SUM(E11:E13)</f>
        <v>18854037.399999999</v>
      </c>
      <c r="F16" s="28">
        <f t="shared" si="26"/>
        <v>0</v>
      </c>
      <c r="G16" s="20">
        <f t="shared" si="1"/>
        <v>0</v>
      </c>
      <c r="H16" s="28">
        <f t="shared" ref="H16:I16" si="27">SUM(H11:H13)</f>
        <v>30249929.379999999</v>
      </c>
      <c r="I16" s="28">
        <f t="shared" si="27"/>
        <v>19377064.969999999</v>
      </c>
      <c r="J16" s="20">
        <f t="shared" ref="J16:J21" si="28">IF(H16&gt;0,I16/H16*100,"-")</f>
        <v>64.056562666924151</v>
      </c>
      <c r="K16" s="28">
        <f t="shared" ref="K16:L16" si="29">SUM(K11:K13)</f>
        <v>193312857.91999999</v>
      </c>
      <c r="L16" s="28">
        <f t="shared" si="29"/>
        <v>99127135.590000004</v>
      </c>
      <c r="M16" s="20">
        <f t="shared" ref="M16:M21" si="30">IF(K16&gt;0,L16/K16*100,"-")</f>
        <v>51.27808706393575</v>
      </c>
      <c r="N16" s="28">
        <f t="shared" ref="N16:O16" si="31">SUM(N11:N13)</f>
        <v>178891513.86000001</v>
      </c>
      <c r="O16" s="28">
        <f t="shared" si="31"/>
        <v>14184085.85</v>
      </c>
      <c r="P16" s="20">
        <f t="shared" ref="P16:P21" si="32">IF(N16&gt;0,O16/N16*100,"-")</f>
        <v>7.9288757437093542</v>
      </c>
      <c r="Q16" s="28">
        <f t="shared" ref="Q16:R16" si="33">SUM(Q11:Q13)</f>
        <v>76874076.189999998</v>
      </c>
      <c r="R16" s="28">
        <f t="shared" si="33"/>
        <v>0</v>
      </c>
      <c r="S16" s="20">
        <f t="shared" ref="S16:S21" si="34">IF(Q16&gt;0,R16/Q16*100,"-")</f>
        <v>0</v>
      </c>
      <c r="T16" s="28">
        <f t="shared" ref="T16:U16" si="35">SUM(T11:T13)</f>
        <v>34525947.490000002</v>
      </c>
      <c r="U16" s="28">
        <f t="shared" si="35"/>
        <v>0</v>
      </c>
      <c r="V16" s="20">
        <f t="shared" ref="V16:V21" si="36">IF(T16&gt;0,U16/T16*100,"-")</f>
        <v>0</v>
      </c>
      <c r="W16" s="28">
        <f t="shared" ref="W16:X16" si="37">SUM(W11:W13)</f>
        <v>33566708.390000001</v>
      </c>
      <c r="X16" s="28">
        <f t="shared" si="37"/>
        <v>50</v>
      </c>
      <c r="Y16" s="20">
        <f t="shared" si="7"/>
        <v>1.4895711375410199E-4</v>
      </c>
      <c r="Z16" s="13">
        <f t="shared" si="8"/>
        <v>-2.7783136155143353</v>
      </c>
      <c r="AA16" s="13" t="str">
        <f t="shared" si="8"/>
        <v>-</v>
      </c>
    </row>
    <row r="17" spans="1:27" x14ac:dyDescent="0.3">
      <c r="A17" t="s">
        <v>33</v>
      </c>
      <c r="B17" s="28">
        <v>0</v>
      </c>
      <c r="C17" s="28">
        <v>0</v>
      </c>
      <c r="D17" s="20" t="str">
        <f t="shared" si="0"/>
        <v>-</v>
      </c>
      <c r="E17" s="28">
        <v>34416028.689999998</v>
      </c>
      <c r="F17" s="28">
        <v>10488083.310000001</v>
      </c>
      <c r="G17" s="20">
        <f t="shared" si="1"/>
        <v>30.474414710862451</v>
      </c>
      <c r="H17" s="28">
        <v>16816369.239999998</v>
      </c>
      <c r="I17" s="28">
        <v>0</v>
      </c>
      <c r="J17" s="20">
        <f t="shared" si="28"/>
        <v>0</v>
      </c>
      <c r="K17" s="28">
        <v>0</v>
      </c>
      <c r="L17" s="28">
        <v>0</v>
      </c>
      <c r="M17" s="20" t="str">
        <f t="shared" si="30"/>
        <v>-</v>
      </c>
      <c r="N17" s="28">
        <v>0</v>
      </c>
      <c r="O17" s="28">
        <v>0</v>
      </c>
      <c r="P17" s="20" t="str">
        <f t="shared" si="32"/>
        <v>-</v>
      </c>
      <c r="Q17" s="28">
        <v>0</v>
      </c>
      <c r="R17" s="28">
        <v>0</v>
      </c>
      <c r="S17" s="20" t="str">
        <f t="shared" si="34"/>
        <v>-</v>
      </c>
      <c r="T17" s="28">
        <v>0</v>
      </c>
      <c r="U17" s="28">
        <v>0</v>
      </c>
      <c r="V17" s="20" t="str">
        <f t="shared" si="36"/>
        <v>-</v>
      </c>
      <c r="W17" s="28">
        <v>0</v>
      </c>
      <c r="X17" s="28">
        <v>0</v>
      </c>
      <c r="Y17" s="20" t="str">
        <f t="shared" si="7"/>
        <v>-</v>
      </c>
      <c r="Z17" s="13" t="str">
        <f t="shared" si="8"/>
        <v>-</v>
      </c>
      <c r="AA17" s="13" t="str">
        <f t="shared" si="8"/>
        <v>-</v>
      </c>
    </row>
    <row r="18" spans="1:27" x14ac:dyDescent="0.3">
      <c r="A18" t="s">
        <v>34</v>
      </c>
      <c r="B18" s="28">
        <v>0</v>
      </c>
      <c r="C18" s="28">
        <v>0</v>
      </c>
      <c r="D18" s="20" t="str">
        <f t="shared" si="0"/>
        <v>-</v>
      </c>
      <c r="E18" s="28">
        <v>0</v>
      </c>
      <c r="F18" s="28">
        <v>0</v>
      </c>
      <c r="G18" s="20" t="str">
        <f t="shared" si="1"/>
        <v>-</v>
      </c>
      <c r="H18" s="28">
        <v>0</v>
      </c>
      <c r="I18" s="28">
        <v>0</v>
      </c>
      <c r="J18" s="20" t="str">
        <f t="shared" si="28"/>
        <v>-</v>
      </c>
      <c r="K18" s="28">
        <v>0</v>
      </c>
      <c r="L18" s="28">
        <v>0</v>
      </c>
      <c r="M18" s="20" t="str">
        <f t="shared" si="30"/>
        <v>-</v>
      </c>
      <c r="N18" s="28">
        <v>0</v>
      </c>
      <c r="O18" s="28">
        <v>0</v>
      </c>
      <c r="P18" s="20" t="str">
        <f t="shared" si="32"/>
        <v>-</v>
      </c>
      <c r="Q18" s="28">
        <v>0</v>
      </c>
      <c r="R18" s="28">
        <v>0</v>
      </c>
      <c r="S18" s="20" t="str">
        <f t="shared" si="34"/>
        <v>-</v>
      </c>
      <c r="T18" s="28">
        <v>0</v>
      </c>
      <c r="U18" s="28">
        <v>0</v>
      </c>
      <c r="V18" s="20" t="str">
        <f t="shared" si="36"/>
        <v>-</v>
      </c>
      <c r="W18" s="28">
        <v>0</v>
      </c>
      <c r="X18" s="28">
        <v>0</v>
      </c>
      <c r="Y18" s="20" t="str">
        <f t="shared" si="7"/>
        <v>-</v>
      </c>
      <c r="Z18" s="13" t="str">
        <f t="shared" si="8"/>
        <v>-</v>
      </c>
      <c r="AA18" s="13" t="str">
        <f t="shared" si="8"/>
        <v>-</v>
      </c>
    </row>
    <row r="19" spans="1:27" x14ac:dyDescent="0.3">
      <c r="A19" t="s">
        <v>35</v>
      </c>
      <c r="B19" s="28">
        <v>268580557.92000002</v>
      </c>
      <c r="C19" s="28">
        <v>236355412.34</v>
      </c>
      <c r="D19" s="20">
        <f t="shared" si="0"/>
        <v>88.001683431755069</v>
      </c>
      <c r="E19" s="28">
        <v>183596298.50999999</v>
      </c>
      <c r="F19" s="28">
        <v>176807755.16999999</v>
      </c>
      <c r="G19" s="20">
        <f t="shared" si="1"/>
        <v>96.302461762522825</v>
      </c>
      <c r="H19" s="28">
        <v>162242915.12</v>
      </c>
      <c r="I19" s="28">
        <v>152118881.69999999</v>
      </c>
      <c r="J19" s="20">
        <f t="shared" si="28"/>
        <v>93.75995345466275</v>
      </c>
      <c r="K19" s="28">
        <v>231528482.81999999</v>
      </c>
      <c r="L19" s="28">
        <v>225539793.31</v>
      </c>
      <c r="M19" s="20">
        <f t="shared" si="30"/>
        <v>97.413411327600741</v>
      </c>
      <c r="N19" s="28">
        <v>222543206.33000001</v>
      </c>
      <c r="O19" s="28">
        <v>219133306.40000001</v>
      </c>
      <c r="P19" s="20">
        <f t="shared" si="32"/>
        <v>98.467758245136622</v>
      </c>
      <c r="Q19" s="1">
        <v>147145544.66</v>
      </c>
      <c r="R19" s="1">
        <v>147104416.06</v>
      </c>
      <c r="S19" s="20">
        <f t="shared" si="34"/>
        <v>99.972049034787275</v>
      </c>
      <c r="T19" s="1">
        <v>133457557.16</v>
      </c>
      <c r="U19" s="1">
        <v>133426343.61</v>
      </c>
      <c r="V19" s="20">
        <f t="shared" si="36"/>
        <v>99.976611627948074</v>
      </c>
      <c r="W19" s="1">
        <v>170460299.41</v>
      </c>
      <c r="X19" s="1">
        <v>169334859.5</v>
      </c>
      <c r="Y19" s="20">
        <f t="shared" si="7"/>
        <v>99.339764206741748</v>
      </c>
      <c r="Z19" s="13">
        <f t="shared" si="8"/>
        <v>27.726224754464852</v>
      </c>
      <c r="AA19" s="13">
        <f t="shared" si="8"/>
        <v>26.91261329543677</v>
      </c>
    </row>
    <row r="20" spans="1:27" x14ac:dyDescent="0.3">
      <c r="A20" t="s">
        <v>36</v>
      </c>
      <c r="B20" s="28">
        <f t="shared" ref="B20:C20" si="38">B14+B15+B16+B17+B18+B19</f>
        <v>2099829030.9700003</v>
      </c>
      <c r="C20" s="28">
        <f t="shared" si="38"/>
        <v>1807557678.5499995</v>
      </c>
      <c r="D20" s="20">
        <f t="shared" si="0"/>
        <v>86.08118336734357</v>
      </c>
      <c r="E20" s="28">
        <f t="shared" ref="E20:F20" si="39">E14+E15+E16+E17+E18+E19</f>
        <v>2116763633.9400003</v>
      </c>
      <c r="F20" s="28">
        <f t="shared" si="39"/>
        <v>1635616096.27</v>
      </c>
      <c r="G20" s="20">
        <f t="shared" si="1"/>
        <v>77.26966157414445</v>
      </c>
      <c r="H20" s="28">
        <f t="shared" ref="H20:I20" si="40">H14+H15+H16+H17+H18+H19</f>
        <v>2275485382.8899999</v>
      </c>
      <c r="I20" s="28">
        <f t="shared" si="40"/>
        <v>1550865532.8100002</v>
      </c>
      <c r="J20" s="20">
        <f t="shared" si="28"/>
        <v>68.155372232728212</v>
      </c>
      <c r="K20" s="28">
        <f t="shared" ref="K20:L20" si="41">K14+K15+K16+K17+K18+K19</f>
        <v>2454694366.1999998</v>
      </c>
      <c r="L20" s="28">
        <f t="shared" si="41"/>
        <v>1709688039.6700001</v>
      </c>
      <c r="M20" s="20">
        <f t="shared" si="30"/>
        <v>69.649731681940111</v>
      </c>
      <c r="N20" s="28">
        <f t="shared" ref="N20:O20" si="42">N14+N15+N16+N17+N18+N19</f>
        <v>2447014125.6399999</v>
      </c>
      <c r="O20" s="28">
        <f t="shared" si="42"/>
        <v>1720031620.3500001</v>
      </c>
      <c r="P20" s="20">
        <f t="shared" si="32"/>
        <v>70.291037649818946</v>
      </c>
      <c r="Q20" s="28">
        <f t="shared" ref="Q20:R20" si="43">Q14+Q15+Q16+Q17+Q18+Q19</f>
        <v>2219535933.1599998</v>
      </c>
      <c r="R20" s="28">
        <f t="shared" si="43"/>
        <v>1698517025.6399999</v>
      </c>
      <c r="S20" s="20">
        <f t="shared" si="34"/>
        <v>76.525772809714582</v>
      </c>
      <c r="T20" s="28">
        <f t="shared" ref="T20:U20" si="44">T14+T15+T16+T17+T18+T19</f>
        <v>2438159462.6999998</v>
      </c>
      <c r="U20" s="28">
        <f t="shared" si="44"/>
        <v>1955629848.8499999</v>
      </c>
      <c r="V20" s="20">
        <f t="shared" si="36"/>
        <v>80.209267636840693</v>
      </c>
      <c r="W20" s="28">
        <f t="shared" ref="W20:X20" si="45">W14+W15+W16+W17+W18+W19</f>
        <v>2583386713.4899998</v>
      </c>
      <c r="X20" s="28">
        <f t="shared" si="45"/>
        <v>2036153395.9099998</v>
      </c>
      <c r="Y20" s="20">
        <f t="shared" si="7"/>
        <v>78.817212509360601</v>
      </c>
      <c r="Z20" s="13">
        <f t="shared" si="8"/>
        <v>5.9564295531833835</v>
      </c>
      <c r="AA20" s="13">
        <f t="shared" si="8"/>
        <v>4.1175249553156306</v>
      </c>
    </row>
    <row r="21" spans="1:27" x14ac:dyDescent="0.3">
      <c r="A21" t="s">
        <v>37</v>
      </c>
      <c r="B21" s="28">
        <f t="shared" ref="B21:C21" si="46">B20-B19</f>
        <v>1831248473.0500002</v>
      </c>
      <c r="C21" s="28">
        <f t="shared" si="46"/>
        <v>1571202266.2099996</v>
      </c>
      <c r="D21" s="20">
        <f t="shared" si="0"/>
        <v>85.79951270037725</v>
      </c>
      <c r="E21" s="28">
        <f t="shared" ref="E21:F21" si="47">E20-E19</f>
        <v>1933167335.4300003</v>
      </c>
      <c r="F21" s="28">
        <f t="shared" si="47"/>
        <v>1458808341.0999999</v>
      </c>
      <c r="G21" s="20">
        <f t="shared" si="1"/>
        <v>75.462083098745964</v>
      </c>
      <c r="H21" s="28">
        <f t="shared" ref="H21:I21" si="48">H20-H19</f>
        <v>2113242467.77</v>
      </c>
      <c r="I21" s="28">
        <f t="shared" si="48"/>
        <v>1398746651.1100001</v>
      </c>
      <c r="J21" s="20">
        <f t="shared" si="28"/>
        <v>66.189595961793628</v>
      </c>
      <c r="K21" s="28">
        <f t="shared" ref="K21:L21" si="49">K20-K19</f>
        <v>2223165883.3799996</v>
      </c>
      <c r="L21" s="28">
        <f t="shared" si="49"/>
        <v>1484148246.3600001</v>
      </c>
      <c r="M21" s="20">
        <f t="shared" si="30"/>
        <v>66.758322330116414</v>
      </c>
      <c r="N21" s="28">
        <f t="shared" ref="N21:O21" si="50">N20-N19</f>
        <v>2224470919.3099999</v>
      </c>
      <c r="O21" s="28">
        <f t="shared" si="50"/>
        <v>1500898313.95</v>
      </c>
      <c r="P21" s="20">
        <f t="shared" si="32"/>
        <v>67.472148137389809</v>
      </c>
      <c r="Q21" s="28">
        <f t="shared" ref="Q21:R21" si="51">Q20-Q19</f>
        <v>2072390388.4999998</v>
      </c>
      <c r="R21" s="28">
        <f t="shared" si="51"/>
        <v>1551412609.5799999</v>
      </c>
      <c r="S21" s="20">
        <f t="shared" si="34"/>
        <v>74.861021272295872</v>
      </c>
      <c r="T21" s="28">
        <f t="shared" ref="T21:U21" si="52">T20-T19</f>
        <v>2304701905.54</v>
      </c>
      <c r="U21" s="28">
        <f t="shared" si="52"/>
        <v>1822203505.24</v>
      </c>
      <c r="V21" s="20">
        <f t="shared" si="36"/>
        <v>79.064607047871178</v>
      </c>
      <c r="W21" s="28">
        <f t="shared" ref="W21:X21" si="53">W20-W19</f>
        <v>2412926414.0799999</v>
      </c>
      <c r="X21" s="28">
        <f t="shared" si="53"/>
        <v>1866818536.4099998</v>
      </c>
      <c r="Y21" s="20">
        <f t="shared" si="7"/>
        <v>77.367404389817665</v>
      </c>
      <c r="Z21" s="13">
        <f t="shared" si="8"/>
        <v>4.6958137310448649</v>
      </c>
      <c r="AA21" s="13">
        <f t="shared" si="8"/>
        <v>2.4484110057797039</v>
      </c>
    </row>
    <row r="22" spans="1:27" x14ac:dyDescent="0.3">
      <c r="B22" s="12" t="s">
        <v>75</v>
      </c>
      <c r="C22" s="12" t="s">
        <v>76</v>
      </c>
      <c r="D22" s="18"/>
      <c r="E22" s="12" t="s">
        <v>75</v>
      </c>
      <c r="F22" s="12" t="s">
        <v>76</v>
      </c>
      <c r="G22" s="18"/>
      <c r="H22" s="12" t="s">
        <v>75</v>
      </c>
      <c r="I22" s="12" t="s">
        <v>76</v>
      </c>
      <c r="J22" s="18"/>
      <c r="K22" s="12" t="s">
        <v>75</v>
      </c>
      <c r="L22" s="12" t="s">
        <v>76</v>
      </c>
      <c r="M22" s="18"/>
      <c r="N22" s="12" t="s">
        <v>75</v>
      </c>
      <c r="O22" s="12" t="s">
        <v>76</v>
      </c>
      <c r="P22" s="18"/>
      <c r="Q22" s="12" t="s">
        <v>75</v>
      </c>
      <c r="R22" s="12" t="s">
        <v>76</v>
      </c>
      <c r="S22" s="18"/>
      <c r="T22" s="12" t="s">
        <v>75</v>
      </c>
      <c r="U22" s="12" t="s">
        <v>76</v>
      </c>
      <c r="V22" s="18"/>
      <c r="W22" s="12" t="s">
        <v>75</v>
      </c>
      <c r="X22" s="12" t="s">
        <v>76</v>
      </c>
      <c r="Y22" s="18"/>
    </row>
    <row r="23" spans="1:27" x14ac:dyDescent="0.3">
      <c r="A23" s="5" t="s">
        <v>38</v>
      </c>
      <c r="B23" s="111">
        <v>59880138.939999998</v>
      </c>
      <c r="C23" s="27">
        <v>54264252.130000003</v>
      </c>
      <c r="D23" s="20">
        <f>IF(B23&gt;0,C23/B23*100,"-")</f>
        <v>90.621453274136314</v>
      </c>
      <c r="E23" s="27">
        <v>59676308.130000003</v>
      </c>
      <c r="F23" s="27">
        <v>57090573.840000004</v>
      </c>
      <c r="G23" s="20">
        <f>IF(E23&gt;0,F23/E23*100,"-")</f>
        <v>95.667067265007105</v>
      </c>
      <c r="H23" s="27">
        <v>66884561.710000001</v>
      </c>
      <c r="I23" s="27">
        <v>66771814.920000002</v>
      </c>
      <c r="J23" s="20">
        <f>IF(H23&gt;0,I23/H23*100,"-")</f>
        <v>99.831430770991886</v>
      </c>
      <c r="K23" s="27">
        <v>69944914.439999998</v>
      </c>
      <c r="L23" s="27">
        <v>66291179.340000004</v>
      </c>
      <c r="M23" s="20">
        <f>IF(K23&gt;0,L23/K23*100,"-")</f>
        <v>94.7762676825715</v>
      </c>
      <c r="N23" s="27">
        <v>59827641.149999999</v>
      </c>
      <c r="O23" s="27">
        <v>58606419.549999997</v>
      </c>
      <c r="P23" s="20">
        <f>IF(N23&gt;0,O23/N23*100,"-")</f>
        <v>97.958766923572753</v>
      </c>
      <c r="Q23" s="1">
        <v>54158488.280000001</v>
      </c>
      <c r="R23" s="1">
        <v>51239299</v>
      </c>
      <c r="S23" s="20">
        <f>IF(Q23&gt;0,R23/Q23*100,"-")</f>
        <v>94.609913657656477</v>
      </c>
      <c r="T23" s="1">
        <v>52109911.460000001</v>
      </c>
      <c r="U23" s="1">
        <v>50448971.539999999</v>
      </c>
      <c r="V23" s="20">
        <f>IF(T23&gt;0,U23/T23*100,"-")</f>
        <v>96.812621872760317</v>
      </c>
      <c r="W23" s="1">
        <v>51017417.319999993</v>
      </c>
      <c r="X23" s="1">
        <v>50626822.219999999</v>
      </c>
      <c r="Y23" s="20">
        <f>IF(W23&gt;0,X23/W23*100,"-")</f>
        <v>99.234388723462743</v>
      </c>
      <c r="Z23" s="13">
        <f t="shared" si="8"/>
        <v>-2.0965188951407328</v>
      </c>
      <c r="AA23" s="13">
        <f t="shared" si="8"/>
        <v>0.3525357892756773</v>
      </c>
    </row>
    <row r="24" spans="1:27" x14ac:dyDescent="0.3">
      <c r="A24" s="5" t="s">
        <v>39</v>
      </c>
      <c r="B24" s="27">
        <v>4613627.04</v>
      </c>
      <c r="C24" s="27">
        <v>4201220.2699999996</v>
      </c>
      <c r="D24" s="20">
        <f t="shared" ref="D24:D57" si="54">IF(B24&gt;0,C24/B24*100,"-")</f>
        <v>91.061115984789254</v>
      </c>
      <c r="E24" s="27">
        <v>5070057.63</v>
      </c>
      <c r="F24" s="27">
        <v>4619640.0199999996</v>
      </c>
      <c r="G24" s="20">
        <f t="shared" ref="G24:G57" si="55">IF(E24&gt;0,F24/E24*100,"-")</f>
        <v>91.116124453204677</v>
      </c>
      <c r="H24" s="27">
        <v>4691335.17</v>
      </c>
      <c r="I24" s="27">
        <v>4691335.17</v>
      </c>
      <c r="J24" s="20">
        <f t="shared" ref="J24:J26" si="56">IF(H24&gt;0,I24/H24*100,"-")</f>
        <v>100</v>
      </c>
      <c r="K24" s="27">
        <v>5575455.6200000001</v>
      </c>
      <c r="L24" s="27">
        <v>5575455.6200000001</v>
      </c>
      <c r="M24" s="20">
        <f t="shared" ref="M24:M26" si="57">IF(K24&gt;0,L24/K24*100,"-")</f>
        <v>100</v>
      </c>
      <c r="N24" s="27">
        <v>5068312</v>
      </c>
      <c r="O24" s="27">
        <v>5068312</v>
      </c>
      <c r="P24" s="20">
        <f t="shared" ref="P24:P26" si="58">IF(N24&gt;0,O24/N24*100,"-")</f>
        <v>100</v>
      </c>
      <c r="Q24" s="1">
        <v>4335491.46</v>
      </c>
      <c r="R24" s="1">
        <v>4335491.46</v>
      </c>
      <c r="S24" s="20">
        <f t="shared" ref="S24:S26" si="59">IF(Q24&gt;0,R24/Q24*100,"-")</f>
        <v>100</v>
      </c>
      <c r="T24" s="1">
        <v>4760908.25</v>
      </c>
      <c r="U24" s="1">
        <v>4744335.92</v>
      </c>
      <c r="V24" s="20">
        <f t="shared" ref="V24:V26" si="60">IF(T24&gt;0,U24/T24*100,"-")</f>
        <v>99.651908225704616</v>
      </c>
      <c r="W24" s="1">
        <v>5383142.2599999998</v>
      </c>
      <c r="X24" s="1">
        <v>5361135.18</v>
      </c>
      <c r="Y24" s="20">
        <f t="shared" ref="Y24:Y57" si="61">IF(W24&gt;0,X24/W24*100,"-")</f>
        <v>99.591185242056</v>
      </c>
      <c r="Z24" s="13">
        <f t="shared" si="8"/>
        <v>13.069649262827099</v>
      </c>
      <c r="AA24" s="13">
        <f t="shared" si="8"/>
        <v>13.000750166105419</v>
      </c>
    </row>
    <row r="25" spans="1:27" x14ac:dyDescent="0.3">
      <c r="A25" s="5" t="s">
        <v>40</v>
      </c>
      <c r="B25" s="27">
        <v>71686425.230000004</v>
      </c>
      <c r="C25" s="27">
        <v>65833656.700000003</v>
      </c>
      <c r="D25" s="20">
        <f t="shared" si="54"/>
        <v>91.835597170284515</v>
      </c>
      <c r="E25" s="27">
        <v>85225046.290000007</v>
      </c>
      <c r="F25" s="27">
        <v>72704288.75</v>
      </c>
      <c r="G25" s="20">
        <f t="shared" si="55"/>
        <v>85.308594028338888</v>
      </c>
      <c r="H25" s="27">
        <v>97382477.609999999</v>
      </c>
      <c r="I25" s="27">
        <v>90382951.219999999</v>
      </c>
      <c r="J25" s="20">
        <f t="shared" si="56"/>
        <v>92.812334865793929</v>
      </c>
      <c r="K25" s="27">
        <v>111549381.81</v>
      </c>
      <c r="L25" s="27">
        <v>98412409.180000007</v>
      </c>
      <c r="M25" s="20">
        <f t="shared" si="57"/>
        <v>88.223177558817895</v>
      </c>
      <c r="N25" s="27">
        <v>70905699.329999998</v>
      </c>
      <c r="O25" s="27">
        <v>62369083.590000004</v>
      </c>
      <c r="P25" s="20">
        <f t="shared" si="58"/>
        <v>87.960607087069263</v>
      </c>
      <c r="Q25" s="1">
        <v>88262409.840000004</v>
      </c>
      <c r="R25" s="1">
        <v>73883360.109999999</v>
      </c>
      <c r="S25" s="20">
        <f t="shared" si="59"/>
        <v>83.708750128094167</v>
      </c>
      <c r="T25" s="1">
        <v>118323861.44</v>
      </c>
      <c r="U25" s="1">
        <v>92420235.040000007</v>
      </c>
      <c r="V25" s="20">
        <f t="shared" si="60"/>
        <v>78.107859154735863</v>
      </c>
      <c r="W25" s="1">
        <v>114589794.40000001</v>
      </c>
      <c r="X25" s="1">
        <v>97817530.919999987</v>
      </c>
      <c r="Y25" s="20">
        <f t="shared" si="61"/>
        <v>85.36321356729826</v>
      </c>
      <c r="Z25" s="13">
        <f t="shared" si="8"/>
        <v>-3.1558022148334572</v>
      </c>
      <c r="AA25" s="13">
        <f t="shared" si="8"/>
        <v>5.8399503936167321</v>
      </c>
    </row>
    <row r="26" spans="1:27" x14ac:dyDescent="0.3">
      <c r="A26" s="5" t="s">
        <v>41</v>
      </c>
      <c r="B26" s="27">
        <v>1250568486.3800001</v>
      </c>
      <c r="C26" s="27">
        <v>1176254202.6199999</v>
      </c>
      <c r="D26" s="20">
        <f t="shared" si="54"/>
        <v>94.057559856228551</v>
      </c>
      <c r="E26" s="27">
        <v>1310665502.3800001</v>
      </c>
      <c r="F26" s="27">
        <v>1180068482.2</v>
      </c>
      <c r="G26" s="20">
        <f t="shared" si="55"/>
        <v>90.035823790062935</v>
      </c>
      <c r="H26" s="27">
        <v>1280617962.25</v>
      </c>
      <c r="I26" s="27">
        <v>1217862578.0799999</v>
      </c>
      <c r="J26" s="20">
        <f t="shared" si="56"/>
        <v>95.099601440874608</v>
      </c>
      <c r="K26" s="27">
        <v>1304350110.8099999</v>
      </c>
      <c r="L26" s="27">
        <v>1222549949.8900001</v>
      </c>
      <c r="M26" s="20">
        <f t="shared" si="57"/>
        <v>93.728665314468202</v>
      </c>
      <c r="N26" s="27">
        <v>1415051594.3499999</v>
      </c>
      <c r="O26" s="27">
        <v>1347087628.4100001</v>
      </c>
      <c r="P26" s="20">
        <f t="shared" si="58"/>
        <v>95.19706799304241</v>
      </c>
      <c r="Q26" s="1">
        <v>1391832263.0599999</v>
      </c>
      <c r="R26" s="1">
        <v>1314191340</v>
      </c>
      <c r="S26" s="20">
        <f t="shared" si="59"/>
        <v>94.421675289427242</v>
      </c>
      <c r="T26" s="1">
        <v>1519386042.96</v>
      </c>
      <c r="U26" s="1">
        <v>1399384988.51</v>
      </c>
      <c r="V26" s="20">
        <f t="shared" si="60"/>
        <v>92.102003634558898</v>
      </c>
      <c r="W26" s="1">
        <v>1651748357.3599999</v>
      </c>
      <c r="X26" s="1">
        <v>1557669669.8600001</v>
      </c>
      <c r="Y26" s="20">
        <f t="shared" si="61"/>
        <v>94.304296590894367</v>
      </c>
      <c r="Z26" s="13">
        <f t="shared" si="8"/>
        <v>8.7115657678503737</v>
      </c>
      <c r="AA26" s="13">
        <f t="shared" si="8"/>
        <v>11.311017529102855</v>
      </c>
    </row>
    <row r="27" spans="1:27" x14ac:dyDescent="0.3">
      <c r="A27" s="5" t="s">
        <v>351</v>
      </c>
      <c r="B27" s="27">
        <v>0</v>
      </c>
      <c r="C27" s="27">
        <v>0</v>
      </c>
      <c r="D27" s="20"/>
      <c r="E27" s="27">
        <v>0</v>
      </c>
      <c r="F27" s="27">
        <v>0</v>
      </c>
      <c r="G27" s="20"/>
      <c r="H27" s="27">
        <v>0</v>
      </c>
      <c r="I27" s="27">
        <v>0</v>
      </c>
      <c r="J27" s="20"/>
      <c r="K27" s="27">
        <v>0</v>
      </c>
      <c r="L27" s="27">
        <v>0</v>
      </c>
      <c r="M27" s="20"/>
      <c r="N27" s="27">
        <v>0</v>
      </c>
      <c r="O27" s="27">
        <v>0</v>
      </c>
      <c r="P27" s="20"/>
      <c r="Q27" s="27">
        <v>0</v>
      </c>
      <c r="R27" s="27">
        <v>0</v>
      </c>
      <c r="S27" s="20"/>
      <c r="T27" s="27">
        <v>0</v>
      </c>
      <c r="U27" s="27">
        <v>0</v>
      </c>
      <c r="V27" s="20"/>
      <c r="W27" s="27">
        <v>0</v>
      </c>
      <c r="X27" s="27">
        <v>0</v>
      </c>
      <c r="Y27" s="20"/>
      <c r="Z27" s="13" t="str">
        <f t="shared" si="8"/>
        <v>-</v>
      </c>
      <c r="AA27" s="13" t="str">
        <f t="shared" si="8"/>
        <v>-</v>
      </c>
    </row>
    <row r="28" spans="1:27" x14ac:dyDescent="0.3">
      <c r="A28" s="5" t="s">
        <v>352</v>
      </c>
      <c r="B28" s="27">
        <v>0</v>
      </c>
      <c r="C28" s="27">
        <v>0</v>
      </c>
      <c r="D28" s="20"/>
      <c r="E28" s="27">
        <v>0</v>
      </c>
      <c r="F28" s="27">
        <v>0</v>
      </c>
      <c r="G28" s="20"/>
      <c r="H28" s="27">
        <v>0</v>
      </c>
      <c r="I28" s="27">
        <v>0</v>
      </c>
      <c r="J28" s="20"/>
      <c r="K28" s="27">
        <v>0</v>
      </c>
      <c r="L28" s="27">
        <v>0</v>
      </c>
      <c r="M28" s="20"/>
      <c r="N28" s="27">
        <v>0</v>
      </c>
      <c r="O28" s="27">
        <v>0</v>
      </c>
      <c r="P28" s="20"/>
      <c r="Q28" s="27">
        <v>0</v>
      </c>
      <c r="R28" s="27">
        <v>0</v>
      </c>
      <c r="S28" s="20"/>
      <c r="T28" s="27">
        <v>0</v>
      </c>
      <c r="U28" s="27">
        <v>0</v>
      </c>
      <c r="V28" s="20"/>
      <c r="W28" s="27">
        <v>0</v>
      </c>
      <c r="X28" s="27">
        <v>0</v>
      </c>
      <c r="Y28" s="20"/>
      <c r="Z28" s="13" t="str">
        <f t="shared" si="8"/>
        <v>-</v>
      </c>
      <c r="AA28" s="13" t="str">
        <f t="shared" si="8"/>
        <v>-</v>
      </c>
    </row>
    <row r="29" spans="1:27" x14ac:dyDescent="0.3">
      <c r="A29" s="5" t="s">
        <v>42</v>
      </c>
      <c r="B29" s="27">
        <v>7260057.7800000003</v>
      </c>
      <c r="C29" s="27">
        <v>7260057.7800000003</v>
      </c>
      <c r="D29" s="20">
        <f t="shared" si="54"/>
        <v>100</v>
      </c>
      <c r="E29" s="27">
        <v>6235613.7300000004</v>
      </c>
      <c r="F29" s="27">
        <v>6235613.7300000004</v>
      </c>
      <c r="G29" s="20">
        <f t="shared" si="55"/>
        <v>100</v>
      </c>
      <c r="H29" s="27">
        <v>7320424.29</v>
      </c>
      <c r="I29" s="27">
        <v>7320424.29</v>
      </c>
      <c r="J29" s="20">
        <f t="shared" ref="J29:J57" si="62">IF(H29&gt;0,I29/H29*100,"-")</f>
        <v>100</v>
      </c>
      <c r="K29" s="27">
        <v>5765523.7300000004</v>
      </c>
      <c r="L29" s="27">
        <v>5765523.7300000004</v>
      </c>
      <c r="M29" s="20">
        <f t="shared" ref="M29:M57" si="63">IF(K29&gt;0,L29/K29*100,"-")</f>
        <v>100</v>
      </c>
      <c r="N29" s="27">
        <v>6225752.8700000001</v>
      </c>
      <c r="O29" s="27">
        <v>6225752.8700000001</v>
      </c>
      <c r="P29" s="20">
        <f t="shared" ref="P29:P57" si="64">IF(N29&gt;0,O29/N29*100,"-")</f>
        <v>100</v>
      </c>
      <c r="Q29" s="1">
        <v>5996976.9699999997</v>
      </c>
      <c r="R29" s="1">
        <v>5996976.9699999997</v>
      </c>
      <c r="S29" s="20">
        <f t="shared" ref="S29:S57" si="65">IF(Q29&gt;0,R29/Q29*100,"-")</f>
        <v>100</v>
      </c>
      <c r="T29" s="1">
        <v>6457027.21</v>
      </c>
      <c r="U29" s="1">
        <v>6457027.21</v>
      </c>
      <c r="V29" s="20">
        <f t="shared" ref="V29:V57" si="66">IF(T29&gt;0,U29/T29*100,"-")</f>
        <v>100</v>
      </c>
      <c r="W29" s="1">
        <v>7413198.2499999991</v>
      </c>
      <c r="X29" s="1">
        <v>7413198.2499999991</v>
      </c>
      <c r="Y29" s="20">
        <f t="shared" si="61"/>
        <v>100</v>
      </c>
      <c r="Z29" s="13">
        <f t="shared" si="8"/>
        <v>14.808223798703793</v>
      </c>
      <c r="AA29" s="13">
        <f t="shared" si="8"/>
        <v>14.808223798703793</v>
      </c>
    </row>
    <row r="30" spans="1:27" x14ac:dyDescent="0.3">
      <c r="A30" s="5" t="s">
        <v>43</v>
      </c>
      <c r="B30" s="27">
        <v>0</v>
      </c>
      <c r="C30" s="27">
        <v>0</v>
      </c>
      <c r="D30" s="20" t="str">
        <f t="shared" si="54"/>
        <v>-</v>
      </c>
      <c r="E30" s="27">
        <v>0</v>
      </c>
      <c r="F30" s="27">
        <v>0</v>
      </c>
      <c r="G30" s="20" t="str">
        <f t="shared" si="55"/>
        <v>-</v>
      </c>
      <c r="H30" s="27">
        <v>0</v>
      </c>
      <c r="I30" s="27">
        <v>0</v>
      </c>
      <c r="J30" s="20" t="str">
        <f t="shared" si="62"/>
        <v>-</v>
      </c>
      <c r="K30" s="27">
        <v>0</v>
      </c>
      <c r="L30" s="27">
        <v>0</v>
      </c>
      <c r="M30" s="20" t="str">
        <f t="shared" si="63"/>
        <v>-</v>
      </c>
      <c r="N30" s="27">
        <v>0</v>
      </c>
      <c r="O30" s="27">
        <v>0</v>
      </c>
      <c r="P30" s="20" t="str">
        <f t="shared" si="64"/>
        <v>-</v>
      </c>
      <c r="Q30" s="27">
        <v>0</v>
      </c>
      <c r="R30" s="27">
        <v>0</v>
      </c>
      <c r="S30" s="20" t="str">
        <f t="shared" si="65"/>
        <v>-</v>
      </c>
      <c r="T30" s="27">
        <v>0</v>
      </c>
      <c r="U30" s="27">
        <v>0</v>
      </c>
      <c r="V30" s="20" t="str">
        <f t="shared" si="66"/>
        <v>-</v>
      </c>
      <c r="W30" s="27">
        <v>0</v>
      </c>
      <c r="X30" s="27">
        <v>0</v>
      </c>
      <c r="Y30" s="20" t="str">
        <f t="shared" si="61"/>
        <v>-</v>
      </c>
      <c r="Z30" s="13" t="str">
        <f t="shared" si="8"/>
        <v>-</v>
      </c>
      <c r="AA30" s="13" t="str">
        <f t="shared" si="8"/>
        <v>-</v>
      </c>
    </row>
    <row r="31" spans="1:27" x14ac:dyDescent="0.3">
      <c r="A31" s="5" t="s">
        <v>44</v>
      </c>
      <c r="B31" s="27">
        <v>693609.14</v>
      </c>
      <c r="C31" s="27">
        <v>672809.14</v>
      </c>
      <c r="D31" s="20">
        <f t="shared" si="54"/>
        <v>97.001192919689615</v>
      </c>
      <c r="E31" s="27">
        <v>980208.32</v>
      </c>
      <c r="F31" s="27">
        <v>936729.18</v>
      </c>
      <c r="G31" s="20">
        <f t="shared" si="55"/>
        <v>95.564295965167901</v>
      </c>
      <c r="H31" s="27">
        <v>942554.58</v>
      </c>
      <c r="I31" s="27">
        <v>743592.33</v>
      </c>
      <c r="J31" s="20">
        <f t="shared" si="62"/>
        <v>78.891169358065184</v>
      </c>
      <c r="K31" s="27">
        <v>655190.39</v>
      </c>
      <c r="L31" s="27">
        <v>643150.54</v>
      </c>
      <c r="M31" s="20">
        <f t="shared" si="63"/>
        <v>98.162389103417709</v>
      </c>
      <c r="N31" s="27">
        <v>493423.08</v>
      </c>
      <c r="O31" s="27">
        <v>453449.35</v>
      </c>
      <c r="P31" s="20">
        <f t="shared" si="64"/>
        <v>91.898690673326428</v>
      </c>
      <c r="Q31" s="1">
        <v>533564.43000000005</v>
      </c>
      <c r="R31" s="1">
        <v>518240.43</v>
      </c>
      <c r="S31" s="20">
        <f t="shared" si="65"/>
        <v>97.127994457951388</v>
      </c>
      <c r="T31" s="1">
        <v>467639.75</v>
      </c>
      <c r="U31" s="1">
        <v>467639.75</v>
      </c>
      <c r="V31" s="20">
        <f t="shared" si="66"/>
        <v>100</v>
      </c>
      <c r="W31" s="1">
        <v>10482062.49</v>
      </c>
      <c r="X31" s="1">
        <v>10482062.49</v>
      </c>
      <c r="Y31" s="20">
        <f t="shared" si="61"/>
        <v>100</v>
      </c>
      <c r="Z31" s="13">
        <f t="shared" si="8"/>
        <v>2141.4823568783449</v>
      </c>
      <c r="AA31" s="13">
        <f t="shared" si="8"/>
        <v>2141.4823568783449</v>
      </c>
    </row>
    <row r="32" spans="1:27" x14ac:dyDescent="0.3">
      <c r="A32" s="5" t="s">
        <v>45</v>
      </c>
      <c r="B32" s="27">
        <v>1160371.6200000001</v>
      </c>
      <c r="C32" s="27">
        <v>1160154.27</v>
      </c>
      <c r="D32" s="20">
        <f t="shared" si="54"/>
        <v>99.981268931758251</v>
      </c>
      <c r="E32" s="27">
        <v>854691.95</v>
      </c>
      <c r="F32" s="27">
        <v>825624.7</v>
      </c>
      <c r="G32" s="20">
        <f t="shared" si="55"/>
        <v>96.599096317684982</v>
      </c>
      <c r="H32" s="27">
        <v>708127.79</v>
      </c>
      <c r="I32" s="27">
        <v>699788.41</v>
      </c>
      <c r="J32" s="20">
        <f t="shared" si="62"/>
        <v>98.822334030980485</v>
      </c>
      <c r="K32" s="27">
        <v>2979154.53</v>
      </c>
      <c r="L32" s="27">
        <v>2901799.81</v>
      </c>
      <c r="M32" s="20">
        <f t="shared" si="63"/>
        <v>97.403467352195392</v>
      </c>
      <c r="N32" s="27">
        <v>29372491.98</v>
      </c>
      <c r="O32" s="27">
        <v>29368039.109999999</v>
      </c>
      <c r="P32" s="20">
        <f t="shared" si="64"/>
        <v>99.984839999265191</v>
      </c>
      <c r="Q32" s="1">
        <v>7363288.0800000001</v>
      </c>
      <c r="R32" s="1">
        <v>7287437.8499999996</v>
      </c>
      <c r="S32" s="20">
        <f t="shared" si="65"/>
        <v>98.96988642606523</v>
      </c>
      <c r="T32" s="1">
        <v>7587301.1699999999</v>
      </c>
      <c r="U32" s="1">
        <v>1448396.52</v>
      </c>
      <c r="V32" s="20">
        <f t="shared" si="66"/>
        <v>19.08974597880632</v>
      </c>
      <c r="W32" s="1">
        <v>25439021.41</v>
      </c>
      <c r="X32" s="1">
        <v>17960575.860000003</v>
      </c>
      <c r="Y32" s="20">
        <f t="shared" si="61"/>
        <v>70.602463713245498</v>
      </c>
      <c r="Z32" s="13">
        <f t="shared" si="8"/>
        <v>235.28419183602807</v>
      </c>
      <c r="AA32" s="13">
        <f t="shared" si="8"/>
        <v>1140.0316910454881</v>
      </c>
    </row>
    <row r="33" spans="1:27" x14ac:dyDescent="0.3">
      <c r="A33" s="5" t="s">
        <v>46</v>
      </c>
      <c r="B33" s="27">
        <v>0</v>
      </c>
      <c r="C33" s="27">
        <v>0</v>
      </c>
      <c r="D33" s="20" t="str">
        <f t="shared" si="54"/>
        <v>-</v>
      </c>
      <c r="E33" s="27">
        <v>0</v>
      </c>
      <c r="F33" s="27">
        <v>0</v>
      </c>
      <c r="G33" s="20" t="str">
        <f t="shared" si="55"/>
        <v>-</v>
      </c>
      <c r="H33" s="27">
        <v>0</v>
      </c>
      <c r="I33" s="27">
        <v>0</v>
      </c>
      <c r="J33" s="20" t="str">
        <f t="shared" si="62"/>
        <v>-</v>
      </c>
      <c r="K33" s="27">
        <v>0</v>
      </c>
      <c r="L33" s="27">
        <v>0</v>
      </c>
      <c r="M33" s="20" t="str">
        <f t="shared" si="63"/>
        <v>-</v>
      </c>
      <c r="N33" s="27">
        <v>0</v>
      </c>
      <c r="O33" s="27">
        <v>0</v>
      </c>
      <c r="P33" s="20" t="str">
        <f t="shared" si="64"/>
        <v>-</v>
      </c>
      <c r="Q33" s="27">
        <v>0</v>
      </c>
      <c r="R33" s="27">
        <v>0</v>
      </c>
      <c r="S33" s="20" t="str">
        <f t="shared" si="65"/>
        <v>-</v>
      </c>
      <c r="T33" s="27">
        <v>0</v>
      </c>
      <c r="U33" s="27">
        <v>0</v>
      </c>
      <c r="V33" s="20" t="str">
        <f t="shared" si="66"/>
        <v>-</v>
      </c>
      <c r="W33" s="27">
        <v>0</v>
      </c>
      <c r="X33" s="27">
        <v>0</v>
      </c>
      <c r="Y33" s="20" t="str">
        <f t="shared" si="61"/>
        <v>-</v>
      </c>
      <c r="Z33" s="13" t="str">
        <f t="shared" si="8"/>
        <v>-</v>
      </c>
      <c r="AA33" s="13" t="str">
        <f t="shared" si="8"/>
        <v>-</v>
      </c>
    </row>
    <row r="34" spans="1:27" x14ac:dyDescent="0.3">
      <c r="A34" s="5" t="s">
        <v>47</v>
      </c>
      <c r="B34" s="27">
        <v>20715678.789999999</v>
      </c>
      <c r="C34" s="27">
        <v>17980397.140000001</v>
      </c>
      <c r="D34" s="20">
        <f t="shared" si="54"/>
        <v>86.796080023598392</v>
      </c>
      <c r="E34" s="27">
        <v>48956618.939999998</v>
      </c>
      <c r="F34" s="27">
        <v>45773029.219999999</v>
      </c>
      <c r="G34" s="20">
        <f t="shared" si="55"/>
        <v>93.497120943131861</v>
      </c>
      <c r="H34" s="27">
        <v>19010627.550000001</v>
      </c>
      <c r="I34" s="27">
        <v>17264786.399999999</v>
      </c>
      <c r="J34" s="20">
        <f t="shared" si="62"/>
        <v>90.816499111308914</v>
      </c>
      <c r="K34" s="27">
        <v>20063614.359999999</v>
      </c>
      <c r="L34" s="27">
        <v>18777757.640000001</v>
      </c>
      <c r="M34" s="20">
        <f t="shared" si="63"/>
        <v>93.591101299457009</v>
      </c>
      <c r="N34" s="27">
        <v>26755512.82</v>
      </c>
      <c r="O34" s="27">
        <v>7158774.2400000002</v>
      </c>
      <c r="P34" s="20">
        <f t="shared" si="64"/>
        <v>26.756258749967778</v>
      </c>
      <c r="Q34" s="1">
        <v>11978136.01</v>
      </c>
      <c r="R34" s="1">
        <v>5728727.5899999999</v>
      </c>
      <c r="S34" s="20">
        <f t="shared" si="65"/>
        <v>47.826536492968074</v>
      </c>
      <c r="T34" s="1">
        <v>8100620.2000000002</v>
      </c>
      <c r="U34" s="1">
        <v>5384550.9100000001</v>
      </c>
      <c r="V34" s="20">
        <f t="shared" si="66"/>
        <v>66.470847627197728</v>
      </c>
      <c r="W34" s="1">
        <v>12639076.560000001</v>
      </c>
      <c r="X34" s="1">
        <v>9404816.3000000007</v>
      </c>
      <c r="Y34" s="20">
        <f t="shared" si="61"/>
        <v>74.410628461293228</v>
      </c>
      <c r="Z34" s="13">
        <f t="shared" si="8"/>
        <v>56.026035636135617</v>
      </c>
      <c r="AA34" s="13">
        <f t="shared" si="8"/>
        <v>74.662965532254589</v>
      </c>
    </row>
    <row r="35" spans="1:27" x14ac:dyDescent="0.3">
      <c r="A35" s="5" t="s">
        <v>48</v>
      </c>
      <c r="B35" s="27">
        <v>285389488.39999998</v>
      </c>
      <c r="C35" s="27">
        <v>215630719.28999999</v>
      </c>
      <c r="D35" s="20">
        <f t="shared" si="54"/>
        <v>75.556643833978015</v>
      </c>
      <c r="E35" s="27">
        <v>304369928.91000003</v>
      </c>
      <c r="F35" s="27">
        <v>208202676.19999999</v>
      </c>
      <c r="G35" s="20">
        <f t="shared" si="55"/>
        <v>68.404482974257292</v>
      </c>
      <c r="H35" s="27">
        <v>413590502.30000001</v>
      </c>
      <c r="I35" s="27">
        <v>255934269.33000001</v>
      </c>
      <c r="J35" s="20">
        <f t="shared" si="62"/>
        <v>61.881079934557292</v>
      </c>
      <c r="K35" s="27">
        <v>270147860.26999998</v>
      </c>
      <c r="L35" s="27">
        <v>176700732.58000001</v>
      </c>
      <c r="M35" s="20">
        <f t="shared" si="63"/>
        <v>65.40889585554963</v>
      </c>
      <c r="N35" s="27">
        <v>412795565.55000001</v>
      </c>
      <c r="O35" s="27">
        <v>228446538.97</v>
      </c>
      <c r="P35" s="20">
        <f t="shared" si="64"/>
        <v>55.341325836585163</v>
      </c>
      <c r="Q35" s="1">
        <v>323068630.45999998</v>
      </c>
      <c r="R35" s="1">
        <v>185686784.13</v>
      </c>
      <c r="S35" s="20">
        <f t="shared" si="65"/>
        <v>57.475956073361445</v>
      </c>
      <c r="T35" s="1">
        <v>377978943.45999998</v>
      </c>
      <c r="U35" s="1">
        <v>193419891.53999999</v>
      </c>
      <c r="V35" s="20">
        <f t="shared" si="66"/>
        <v>51.172134026685235</v>
      </c>
      <c r="W35" s="1">
        <v>370841377.36000001</v>
      </c>
      <c r="X35" s="1">
        <v>264223648.74000001</v>
      </c>
      <c r="Y35" s="20">
        <f t="shared" si="61"/>
        <v>71.249775475701782</v>
      </c>
      <c r="Z35" s="13">
        <f t="shared" si="8"/>
        <v>-1.8883501907971549</v>
      </c>
      <c r="AA35" s="13">
        <f t="shared" si="8"/>
        <v>36.606243875055384</v>
      </c>
    </row>
    <row r="36" spans="1:27" x14ac:dyDescent="0.3">
      <c r="A36" s="5" t="s">
        <v>49</v>
      </c>
      <c r="B36" s="27">
        <v>60927782.530000001</v>
      </c>
      <c r="C36" s="27">
        <v>50024918.609999999</v>
      </c>
      <c r="D36" s="20">
        <f t="shared" si="54"/>
        <v>82.105267142076627</v>
      </c>
      <c r="E36" s="27">
        <v>66181516.020000003</v>
      </c>
      <c r="F36" s="27">
        <v>51456383.689999998</v>
      </c>
      <c r="G36" s="20">
        <f t="shared" si="55"/>
        <v>77.750385280460961</v>
      </c>
      <c r="H36" s="27">
        <v>54800895.119999997</v>
      </c>
      <c r="I36" s="27">
        <v>40814516.009999998</v>
      </c>
      <c r="J36" s="20">
        <f t="shared" si="62"/>
        <v>74.477827270205367</v>
      </c>
      <c r="K36" s="27">
        <v>43404966.530000001</v>
      </c>
      <c r="L36" s="27">
        <v>33020366.530000001</v>
      </c>
      <c r="M36" s="20">
        <f t="shared" si="63"/>
        <v>76.075088105821891</v>
      </c>
      <c r="N36" s="27">
        <v>39533563.560000002</v>
      </c>
      <c r="O36" s="27">
        <v>27153782.59</v>
      </c>
      <c r="P36" s="20">
        <f t="shared" si="64"/>
        <v>68.68539070298776</v>
      </c>
      <c r="Q36" s="1">
        <v>27073899.649999999</v>
      </c>
      <c r="R36" s="1">
        <v>22905031.539999999</v>
      </c>
      <c r="S36" s="20">
        <f t="shared" si="65"/>
        <v>84.601892731031086</v>
      </c>
      <c r="T36" s="1">
        <v>13931892.439999999</v>
      </c>
      <c r="U36" s="1">
        <v>11697435.68</v>
      </c>
      <c r="V36" s="20">
        <f t="shared" si="66"/>
        <v>83.961570406726452</v>
      </c>
      <c r="W36" s="1">
        <v>47022494.049999997</v>
      </c>
      <c r="X36" s="1">
        <v>25547314.079999998</v>
      </c>
      <c r="Y36" s="20">
        <f t="shared" si="61"/>
        <v>54.329985246709811</v>
      </c>
      <c r="Z36" s="13">
        <f t="shared" si="8"/>
        <v>237.51691848404766</v>
      </c>
      <c r="AA36" s="13">
        <f t="shared" si="8"/>
        <v>118.40097931617777</v>
      </c>
    </row>
    <row r="37" spans="1:27" x14ac:dyDescent="0.3">
      <c r="A37" s="5" t="s">
        <v>50</v>
      </c>
      <c r="B37" s="27">
        <v>108167.4</v>
      </c>
      <c r="C37" s="27">
        <v>108167.4</v>
      </c>
      <c r="D37" s="20">
        <f t="shared" si="54"/>
        <v>100</v>
      </c>
      <c r="E37" s="27">
        <v>3000000</v>
      </c>
      <c r="F37" s="27">
        <v>0</v>
      </c>
      <c r="G37" s="20">
        <f t="shared" si="55"/>
        <v>0</v>
      </c>
      <c r="H37" s="27">
        <v>0</v>
      </c>
      <c r="I37" s="27">
        <v>0</v>
      </c>
      <c r="J37" s="20" t="str">
        <f t="shared" si="62"/>
        <v>-</v>
      </c>
      <c r="K37" s="27">
        <v>2999.99</v>
      </c>
      <c r="L37" s="27">
        <v>2999.99</v>
      </c>
      <c r="M37" s="20">
        <f t="shared" si="63"/>
        <v>100</v>
      </c>
      <c r="N37" s="27">
        <v>25293.53</v>
      </c>
      <c r="O37" s="27">
        <v>25293.53</v>
      </c>
      <c r="P37" s="20">
        <f t="shared" si="64"/>
        <v>100</v>
      </c>
      <c r="Q37" s="27">
        <v>0</v>
      </c>
      <c r="R37" s="27">
        <v>0</v>
      </c>
      <c r="S37" s="20" t="str">
        <f t="shared" si="65"/>
        <v>-</v>
      </c>
      <c r="T37" s="1">
        <v>23347.87</v>
      </c>
      <c r="U37" s="1">
        <v>0</v>
      </c>
      <c r="V37" s="20">
        <f t="shared" si="66"/>
        <v>0</v>
      </c>
      <c r="W37" s="27">
        <v>0</v>
      </c>
      <c r="X37" s="27">
        <v>0</v>
      </c>
      <c r="Y37" s="20" t="str">
        <f t="shared" si="61"/>
        <v>-</v>
      </c>
      <c r="Z37" s="13">
        <f t="shared" si="8"/>
        <v>-100</v>
      </c>
      <c r="AA37" s="13" t="str">
        <f t="shared" si="8"/>
        <v>-</v>
      </c>
    </row>
    <row r="38" spans="1:27" x14ac:dyDescent="0.3">
      <c r="A38" s="5" t="s">
        <v>51</v>
      </c>
      <c r="B38" s="27">
        <v>5300000</v>
      </c>
      <c r="C38" s="27">
        <v>5300000</v>
      </c>
      <c r="D38" s="20">
        <f t="shared" si="54"/>
        <v>100</v>
      </c>
      <c r="E38" s="27">
        <v>688458.83</v>
      </c>
      <c r="F38" s="27">
        <v>688458.83</v>
      </c>
      <c r="G38" s="20">
        <f t="shared" si="55"/>
        <v>100</v>
      </c>
      <c r="H38" s="27">
        <v>0</v>
      </c>
      <c r="I38" s="27">
        <v>0</v>
      </c>
      <c r="J38" s="20" t="str">
        <f t="shared" si="62"/>
        <v>-</v>
      </c>
      <c r="K38" s="27">
        <v>34214.11</v>
      </c>
      <c r="L38" s="27">
        <v>34214.11</v>
      </c>
      <c r="M38" s="20">
        <f t="shared" si="63"/>
        <v>100</v>
      </c>
      <c r="N38" s="27">
        <v>0</v>
      </c>
      <c r="O38" s="27">
        <v>0</v>
      </c>
      <c r="P38" s="20" t="str">
        <f t="shared" si="64"/>
        <v>-</v>
      </c>
      <c r="Q38" s="1">
        <v>5000000</v>
      </c>
      <c r="R38" s="1">
        <v>5000000</v>
      </c>
      <c r="S38" s="20">
        <f t="shared" si="65"/>
        <v>100</v>
      </c>
      <c r="T38" s="27">
        <v>0</v>
      </c>
      <c r="U38" s="27">
        <v>0</v>
      </c>
      <c r="V38" s="20" t="str">
        <f t="shared" si="66"/>
        <v>-</v>
      </c>
      <c r="W38" s="27">
        <v>0</v>
      </c>
      <c r="X38" s="27">
        <v>0</v>
      </c>
      <c r="Y38" s="20" t="str">
        <f t="shared" si="61"/>
        <v>-</v>
      </c>
      <c r="Z38" s="13" t="str">
        <f t="shared" si="8"/>
        <v>-</v>
      </c>
      <c r="AA38" s="13" t="str">
        <f t="shared" si="8"/>
        <v>-</v>
      </c>
    </row>
    <row r="39" spans="1:27" x14ac:dyDescent="0.3">
      <c r="A39" s="5" t="s">
        <v>262</v>
      </c>
      <c r="B39" s="27">
        <v>0</v>
      </c>
      <c r="C39" s="27">
        <v>0</v>
      </c>
      <c r="D39" s="20" t="str">
        <f t="shared" si="54"/>
        <v>-</v>
      </c>
      <c r="E39" s="27">
        <v>0</v>
      </c>
      <c r="F39" s="27">
        <v>0</v>
      </c>
      <c r="G39" s="20" t="str">
        <f t="shared" si="55"/>
        <v>-</v>
      </c>
      <c r="H39" s="27">
        <v>0</v>
      </c>
      <c r="I39" s="27">
        <v>0</v>
      </c>
      <c r="J39" s="20" t="str">
        <f t="shared" si="62"/>
        <v>-</v>
      </c>
      <c r="K39" s="27">
        <v>0</v>
      </c>
      <c r="L39" s="27">
        <v>0</v>
      </c>
      <c r="M39" s="20" t="str">
        <f t="shared" si="63"/>
        <v>-</v>
      </c>
      <c r="N39" s="27">
        <v>0</v>
      </c>
      <c r="O39" s="27">
        <v>0</v>
      </c>
      <c r="P39" s="20" t="str">
        <f t="shared" si="64"/>
        <v>-</v>
      </c>
      <c r="Q39" s="27">
        <v>0</v>
      </c>
      <c r="R39" s="27">
        <v>0</v>
      </c>
      <c r="S39" s="20" t="str">
        <f t="shared" si="65"/>
        <v>-</v>
      </c>
      <c r="T39" s="27">
        <v>0</v>
      </c>
      <c r="U39" s="27">
        <v>0</v>
      </c>
      <c r="V39" s="20" t="str">
        <f t="shared" si="66"/>
        <v>-</v>
      </c>
      <c r="W39" s="27">
        <v>0</v>
      </c>
      <c r="X39" s="27">
        <v>0</v>
      </c>
      <c r="Y39" s="20" t="str">
        <f t="shared" si="61"/>
        <v>-</v>
      </c>
      <c r="Z39" s="13" t="str">
        <f t="shared" si="8"/>
        <v>-</v>
      </c>
      <c r="AA39" s="13" t="str">
        <f t="shared" si="8"/>
        <v>-</v>
      </c>
    </row>
    <row r="40" spans="1:27" x14ac:dyDescent="0.3">
      <c r="A40" s="5" t="s">
        <v>52</v>
      </c>
      <c r="B40" s="27">
        <v>0</v>
      </c>
      <c r="C40" s="27">
        <v>0</v>
      </c>
      <c r="D40" s="20" t="str">
        <f t="shared" si="54"/>
        <v>-</v>
      </c>
      <c r="E40" s="27">
        <v>0</v>
      </c>
      <c r="F40" s="27">
        <v>0</v>
      </c>
      <c r="G40" s="20" t="str">
        <f t="shared" si="55"/>
        <v>-</v>
      </c>
      <c r="H40" s="27">
        <v>0</v>
      </c>
      <c r="I40" s="27">
        <v>0</v>
      </c>
      <c r="J40" s="20" t="str">
        <f t="shared" si="62"/>
        <v>-</v>
      </c>
      <c r="K40" s="27">
        <v>0</v>
      </c>
      <c r="L40" s="27">
        <v>0</v>
      </c>
      <c r="M40" s="20" t="str">
        <f t="shared" si="63"/>
        <v>-</v>
      </c>
      <c r="N40" s="27">
        <v>0</v>
      </c>
      <c r="O40" s="27">
        <v>0</v>
      </c>
      <c r="P40" s="20" t="str">
        <f t="shared" si="64"/>
        <v>-</v>
      </c>
      <c r="Q40" s="27">
        <v>0</v>
      </c>
      <c r="R40" s="27">
        <v>0</v>
      </c>
      <c r="S40" s="20" t="str">
        <f t="shared" si="65"/>
        <v>-</v>
      </c>
      <c r="T40" s="27">
        <v>0</v>
      </c>
      <c r="U40" s="27">
        <v>0</v>
      </c>
      <c r="V40" s="20" t="str">
        <f t="shared" si="66"/>
        <v>-</v>
      </c>
      <c r="W40" s="27">
        <v>0</v>
      </c>
      <c r="X40" s="27">
        <v>0</v>
      </c>
      <c r="Y40" s="20" t="str">
        <f t="shared" si="61"/>
        <v>-</v>
      </c>
      <c r="Z40" s="13" t="str">
        <f t="shared" si="8"/>
        <v>-</v>
      </c>
      <c r="AA40" s="13" t="str">
        <f t="shared" si="8"/>
        <v>-</v>
      </c>
    </row>
    <row r="41" spans="1:27" x14ac:dyDescent="0.3">
      <c r="A41" s="5" t="s">
        <v>53</v>
      </c>
      <c r="B41" s="27">
        <v>37699095.100000001</v>
      </c>
      <c r="C41" s="27">
        <v>37699095.100000001</v>
      </c>
      <c r="D41" s="20">
        <f t="shared" si="54"/>
        <v>100</v>
      </c>
      <c r="E41" s="27">
        <v>18854037.399999999</v>
      </c>
      <c r="F41" s="27">
        <v>18854037.399999999</v>
      </c>
      <c r="G41" s="20">
        <f t="shared" si="55"/>
        <v>100</v>
      </c>
      <c r="H41" s="27">
        <v>30249929.379999999</v>
      </c>
      <c r="I41" s="27">
        <v>30249929.379999999</v>
      </c>
      <c r="J41" s="20">
        <f t="shared" si="62"/>
        <v>100</v>
      </c>
      <c r="K41" s="27">
        <v>193312857.91999999</v>
      </c>
      <c r="L41" s="27">
        <v>193312857.91999999</v>
      </c>
      <c r="M41" s="20">
        <f t="shared" si="63"/>
        <v>100</v>
      </c>
      <c r="N41" s="27">
        <v>178891513.86000001</v>
      </c>
      <c r="O41" s="27">
        <v>178891513.86000001</v>
      </c>
      <c r="P41" s="20">
        <f t="shared" si="64"/>
        <v>100</v>
      </c>
      <c r="Q41" s="1">
        <v>76874076.189999998</v>
      </c>
      <c r="R41" s="1">
        <v>76874076.189999998</v>
      </c>
      <c r="S41" s="20">
        <f t="shared" si="65"/>
        <v>100</v>
      </c>
      <c r="T41" s="1">
        <v>34525947.490000002</v>
      </c>
      <c r="U41" s="1">
        <v>34525947.399999999</v>
      </c>
      <c r="V41" s="20">
        <f t="shared" si="66"/>
        <v>99.999999739326469</v>
      </c>
      <c r="W41" s="1">
        <v>33566708.390000001</v>
      </c>
      <c r="X41" s="1">
        <v>33566708.390000001</v>
      </c>
      <c r="Y41" s="20">
        <f t="shared" si="61"/>
        <v>100</v>
      </c>
      <c r="Z41" s="13">
        <f t="shared" si="8"/>
        <v>-2.7783136155143353</v>
      </c>
      <c r="AA41" s="13">
        <f t="shared" si="8"/>
        <v>-2.7783133620831393</v>
      </c>
    </row>
    <row r="42" spans="1:27" x14ac:dyDescent="0.3">
      <c r="A42" s="5" t="s">
        <v>54</v>
      </c>
      <c r="B42" s="27">
        <v>1922550.96</v>
      </c>
      <c r="C42" s="27">
        <v>1922550.96</v>
      </c>
      <c r="D42" s="20">
        <f t="shared" si="54"/>
        <v>100</v>
      </c>
      <c r="E42" s="27">
        <v>1980975.12</v>
      </c>
      <c r="F42" s="27">
        <v>1980975.12</v>
      </c>
      <c r="G42" s="20">
        <f t="shared" si="55"/>
        <v>100</v>
      </c>
      <c r="H42" s="27">
        <v>2040637.08</v>
      </c>
      <c r="I42" s="27">
        <v>2040637.08</v>
      </c>
      <c r="J42" s="20">
        <f t="shared" si="62"/>
        <v>100</v>
      </c>
      <c r="K42" s="27">
        <v>1043465.4</v>
      </c>
      <c r="L42" s="27">
        <v>1043465.4</v>
      </c>
      <c r="M42" s="20">
        <f t="shared" si="63"/>
        <v>100</v>
      </c>
      <c r="N42" s="27">
        <v>0</v>
      </c>
      <c r="O42" s="27">
        <v>0</v>
      </c>
      <c r="P42" s="20" t="str">
        <f t="shared" si="64"/>
        <v>-</v>
      </c>
      <c r="Q42" s="27">
        <v>0</v>
      </c>
      <c r="R42" s="27">
        <v>0</v>
      </c>
      <c r="S42" s="20" t="str">
        <f t="shared" si="65"/>
        <v>-</v>
      </c>
      <c r="T42" s="27">
        <v>0</v>
      </c>
      <c r="U42" s="27">
        <v>0</v>
      </c>
      <c r="V42" s="20" t="str">
        <f t="shared" si="66"/>
        <v>-</v>
      </c>
      <c r="W42" s="27">
        <v>0</v>
      </c>
      <c r="X42" s="27">
        <v>0</v>
      </c>
      <c r="Y42" s="20" t="str">
        <f t="shared" si="61"/>
        <v>-</v>
      </c>
      <c r="Z42" s="13" t="str">
        <f t="shared" si="8"/>
        <v>-</v>
      </c>
      <c r="AA42" s="13" t="str">
        <f t="shared" si="8"/>
        <v>-</v>
      </c>
    </row>
    <row r="43" spans="1:27" x14ac:dyDescent="0.3">
      <c r="A43" s="5" t="s">
        <v>55</v>
      </c>
      <c r="B43" s="27">
        <v>0</v>
      </c>
      <c r="C43" s="27">
        <v>0</v>
      </c>
      <c r="D43" s="20" t="str">
        <f t="shared" si="54"/>
        <v>-</v>
      </c>
      <c r="E43" s="27">
        <v>0</v>
      </c>
      <c r="F43" s="27">
        <v>0</v>
      </c>
      <c r="G43" s="20" t="str">
        <f t="shared" si="55"/>
        <v>-</v>
      </c>
      <c r="H43" s="27">
        <v>0</v>
      </c>
      <c r="I43" s="27">
        <v>0</v>
      </c>
      <c r="J43" s="20" t="str">
        <f t="shared" si="62"/>
        <v>-</v>
      </c>
      <c r="K43" s="27">
        <v>0</v>
      </c>
      <c r="L43" s="27">
        <v>0</v>
      </c>
      <c r="M43" s="20" t="str">
        <f t="shared" si="63"/>
        <v>-</v>
      </c>
      <c r="N43" s="27">
        <v>0</v>
      </c>
      <c r="O43" s="27">
        <v>0</v>
      </c>
      <c r="P43" s="20" t="str">
        <f t="shared" si="64"/>
        <v>-</v>
      </c>
      <c r="Q43" s="27">
        <v>0</v>
      </c>
      <c r="R43" s="27">
        <v>0</v>
      </c>
      <c r="S43" s="20" t="str">
        <f t="shared" si="65"/>
        <v>-</v>
      </c>
      <c r="T43" s="27">
        <v>0</v>
      </c>
      <c r="U43" s="27">
        <v>0</v>
      </c>
      <c r="V43" s="20" t="str">
        <f t="shared" si="66"/>
        <v>-</v>
      </c>
      <c r="W43" s="27">
        <v>0</v>
      </c>
      <c r="X43" s="27">
        <v>0</v>
      </c>
      <c r="Y43" s="20" t="str">
        <f t="shared" si="61"/>
        <v>-</v>
      </c>
      <c r="Z43" s="13" t="str">
        <f t="shared" si="8"/>
        <v>-</v>
      </c>
      <c r="AA43" s="13" t="str">
        <f t="shared" si="8"/>
        <v>-</v>
      </c>
    </row>
    <row r="44" spans="1:27" x14ac:dyDescent="0.3">
      <c r="A44" s="5" t="s">
        <v>56</v>
      </c>
      <c r="B44" s="27">
        <v>41010290.100000001</v>
      </c>
      <c r="C44" s="27">
        <v>41010290.100000001</v>
      </c>
      <c r="D44" s="20">
        <f t="shared" si="54"/>
        <v>100</v>
      </c>
      <c r="E44" s="27">
        <v>43988387.770000003</v>
      </c>
      <c r="F44" s="27">
        <v>43988386.770000003</v>
      </c>
      <c r="G44" s="20">
        <f t="shared" si="55"/>
        <v>99.99999772667276</v>
      </c>
      <c r="H44" s="27">
        <v>47488940.82</v>
      </c>
      <c r="I44" s="27">
        <v>47488940.82</v>
      </c>
      <c r="J44" s="20">
        <f t="shared" si="62"/>
        <v>100</v>
      </c>
      <c r="K44" s="27">
        <v>44365792.369999997</v>
      </c>
      <c r="L44" s="27">
        <v>44365792.369999997</v>
      </c>
      <c r="M44" s="20">
        <f t="shared" si="63"/>
        <v>100</v>
      </c>
      <c r="N44" s="27">
        <v>14955692.9</v>
      </c>
      <c r="O44" s="27">
        <v>14955692.9</v>
      </c>
      <c r="P44" s="20">
        <f t="shared" si="64"/>
        <v>100</v>
      </c>
      <c r="Q44" s="27">
        <v>17392847.43</v>
      </c>
      <c r="R44" s="27">
        <v>17392847.43</v>
      </c>
      <c r="S44" s="20">
        <f t="shared" si="65"/>
        <v>100</v>
      </c>
      <c r="T44" s="1">
        <v>20973013.710000001</v>
      </c>
      <c r="U44" s="1">
        <v>20973013.710000001</v>
      </c>
      <c r="V44" s="20">
        <f t="shared" si="66"/>
        <v>100</v>
      </c>
      <c r="W44" s="1">
        <v>19180844.359999999</v>
      </c>
      <c r="X44" s="1">
        <v>19180844.359999999</v>
      </c>
      <c r="Y44" s="20">
        <f t="shared" si="61"/>
        <v>100</v>
      </c>
      <c r="Z44" s="13">
        <f t="shared" si="8"/>
        <v>-8.5451207670049314</v>
      </c>
      <c r="AA44" s="13">
        <f t="shared" si="8"/>
        <v>-8.5451207670049314</v>
      </c>
    </row>
    <row r="45" spans="1:27" x14ac:dyDescent="0.3">
      <c r="A45" s="5" t="s">
        <v>57</v>
      </c>
      <c r="B45" s="27">
        <v>771478.96</v>
      </c>
      <c r="C45" s="27">
        <v>771478.96</v>
      </c>
      <c r="D45" s="20">
        <f t="shared" si="54"/>
        <v>100</v>
      </c>
      <c r="E45" s="27">
        <v>897721.32</v>
      </c>
      <c r="F45" s="27">
        <v>897721.32</v>
      </c>
      <c r="G45" s="20">
        <f t="shared" si="55"/>
        <v>100</v>
      </c>
      <c r="H45" s="27">
        <v>1042867.4</v>
      </c>
      <c r="I45" s="27">
        <v>1042867.4</v>
      </c>
      <c r="J45" s="20">
        <f t="shared" si="62"/>
        <v>100</v>
      </c>
      <c r="K45" s="27">
        <v>1199067.98</v>
      </c>
      <c r="L45" s="27">
        <v>1199067.98</v>
      </c>
      <c r="M45" s="20">
        <f t="shared" si="63"/>
        <v>100</v>
      </c>
      <c r="N45" s="27">
        <v>0</v>
      </c>
      <c r="O45" s="27">
        <v>0</v>
      </c>
      <c r="P45" s="20" t="str">
        <f t="shared" si="64"/>
        <v>-</v>
      </c>
      <c r="Q45" s="27">
        <v>0</v>
      </c>
      <c r="R45" s="27">
        <v>0</v>
      </c>
      <c r="S45" s="20" t="str">
        <f t="shared" si="65"/>
        <v>-</v>
      </c>
      <c r="T45" s="27">
        <v>0</v>
      </c>
      <c r="U45" s="27">
        <v>0</v>
      </c>
      <c r="V45" s="20" t="str">
        <f t="shared" si="66"/>
        <v>-</v>
      </c>
      <c r="W45" s="27">
        <v>0</v>
      </c>
      <c r="X45" s="27">
        <v>0</v>
      </c>
      <c r="Y45" s="20" t="str">
        <f t="shared" si="61"/>
        <v>-</v>
      </c>
      <c r="Z45" s="13" t="str">
        <f t="shared" si="8"/>
        <v>-</v>
      </c>
      <c r="AA45" s="13" t="str">
        <f t="shared" si="8"/>
        <v>-</v>
      </c>
    </row>
    <row r="46" spans="1:27" x14ac:dyDescent="0.3">
      <c r="A46" s="5" t="s">
        <v>58</v>
      </c>
      <c r="B46" s="27">
        <v>0</v>
      </c>
      <c r="C46" s="27">
        <v>0</v>
      </c>
      <c r="D46" s="20" t="str">
        <f t="shared" si="54"/>
        <v>-</v>
      </c>
      <c r="E46" s="27">
        <v>0</v>
      </c>
      <c r="F46" s="27">
        <v>0</v>
      </c>
      <c r="G46" s="20" t="str">
        <f t="shared" si="55"/>
        <v>-</v>
      </c>
      <c r="H46" s="27">
        <v>0</v>
      </c>
      <c r="I46" s="27">
        <v>0</v>
      </c>
      <c r="J46" s="20" t="str">
        <f t="shared" si="62"/>
        <v>-</v>
      </c>
      <c r="K46" s="27">
        <v>0</v>
      </c>
      <c r="L46" s="27">
        <v>0</v>
      </c>
      <c r="M46" s="20" t="str">
        <f t="shared" si="63"/>
        <v>-</v>
      </c>
      <c r="N46" s="27">
        <v>0</v>
      </c>
      <c r="O46" s="27">
        <v>0</v>
      </c>
      <c r="P46" s="20" t="str">
        <f t="shared" si="64"/>
        <v>-</v>
      </c>
      <c r="Q46" s="27">
        <v>0</v>
      </c>
      <c r="R46" s="27">
        <v>0</v>
      </c>
      <c r="S46" s="20" t="str">
        <f t="shared" si="65"/>
        <v>-</v>
      </c>
      <c r="T46" s="27">
        <v>0</v>
      </c>
      <c r="U46" s="27">
        <v>0</v>
      </c>
      <c r="V46" s="20" t="str">
        <f t="shared" si="66"/>
        <v>-</v>
      </c>
      <c r="W46" s="27">
        <v>0</v>
      </c>
      <c r="X46" s="27">
        <v>0</v>
      </c>
      <c r="Y46" s="20" t="str">
        <f t="shared" si="61"/>
        <v>-</v>
      </c>
      <c r="Z46" s="13" t="str">
        <f t="shared" si="8"/>
        <v>-</v>
      </c>
      <c r="AA46" s="13" t="str">
        <f t="shared" si="8"/>
        <v>-</v>
      </c>
    </row>
    <row r="47" spans="1:27" x14ac:dyDescent="0.3">
      <c r="A47" s="5" t="s">
        <v>59</v>
      </c>
      <c r="B47" s="27">
        <v>0</v>
      </c>
      <c r="C47" s="27">
        <v>0</v>
      </c>
      <c r="D47" s="20" t="str">
        <f t="shared" si="54"/>
        <v>-</v>
      </c>
      <c r="E47" s="27">
        <v>0</v>
      </c>
      <c r="F47" s="27">
        <v>0</v>
      </c>
      <c r="G47" s="20" t="str">
        <f t="shared" si="55"/>
        <v>-</v>
      </c>
      <c r="H47" s="27">
        <v>0</v>
      </c>
      <c r="I47" s="27">
        <v>0</v>
      </c>
      <c r="J47" s="20" t="str">
        <f t="shared" si="62"/>
        <v>-</v>
      </c>
      <c r="K47" s="27">
        <v>0</v>
      </c>
      <c r="L47" s="27">
        <v>0</v>
      </c>
      <c r="M47" s="20" t="str">
        <f t="shared" si="63"/>
        <v>-</v>
      </c>
      <c r="N47" s="27">
        <v>0</v>
      </c>
      <c r="O47" s="27">
        <v>0</v>
      </c>
      <c r="P47" s="20" t="str">
        <f t="shared" si="64"/>
        <v>-</v>
      </c>
      <c r="Q47" s="27">
        <v>0</v>
      </c>
      <c r="R47" s="27">
        <v>0</v>
      </c>
      <c r="S47" s="20" t="str">
        <f t="shared" si="65"/>
        <v>-</v>
      </c>
      <c r="T47" s="27">
        <v>0</v>
      </c>
      <c r="U47" s="27">
        <v>0</v>
      </c>
      <c r="V47" s="20" t="str">
        <f t="shared" si="66"/>
        <v>-</v>
      </c>
      <c r="W47" s="27">
        <v>0</v>
      </c>
      <c r="X47" s="27">
        <v>0</v>
      </c>
      <c r="Y47" s="20" t="str">
        <f t="shared" si="61"/>
        <v>-</v>
      </c>
      <c r="Z47" s="13" t="str">
        <f t="shared" si="8"/>
        <v>-</v>
      </c>
      <c r="AA47" s="13" t="str">
        <f t="shared" si="8"/>
        <v>-</v>
      </c>
    </row>
    <row r="48" spans="1:27" x14ac:dyDescent="0.3">
      <c r="A48" s="5" t="s">
        <v>60</v>
      </c>
      <c r="B48" s="27">
        <v>256404463.68000001</v>
      </c>
      <c r="C48" s="27">
        <v>0</v>
      </c>
      <c r="D48" s="20">
        <f t="shared" si="54"/>
        <v>0</v>
      </c>
      <c r="E48" s="27">
        <v>183571191.53</v>
      </c>
      <c r="F48" s="27">
        <v>0</v>
      </c>
      <c r="G48" s="20">
        <f t="shared" si="55"/>
        <v>0</v>
      </c>
      <c r="H48" s="27">
        <v>162214957.63999999</v>
      </c>
      <c r="I48" s="27">
        <v>0</v>
      </c>
      <c r="J48" s="20">
        <f t="shared" si="62"/>
        <v>0</v>
      </c>
      <c r="K48" s="27">
        <v>231520090.75999999</v>
      </c>
      <c r="L48" s="27">
        <v>0</v>
      </c>
      <c r="M48" s="20">
        <f t="shared" si="63"/>
        <v>0</v>
      </c>
      <c r="N48" s="27">
        <v>222460033.37</v>
      </c>
      <c r="O48" s="27">
        <v>0</v>
      </c>
      <c r="P48" s="20">
        <f t="shared" si="64"/>
        <v>0</v>
      </c>
      <c r="Q48" s="27">
        <v>147143192.38</v>
      </c>
      <c r="R48" s="27">
        <v>0</v>
      </c>
      <c r="S48" s="20">
        <f t="shared" si="65"/>
        <v>0</v>
      </c>
      <c r="T48" s="1">
        <v>133343369.64</v>
      </c>
      <c r="U48" s="27">
        <v>0</v>
      </c>
      <c r="V48" s="20">
        <f t="shared" si="66"/>
        <v>0</v>
      </c>
      <c r="W48" s="1">
        <v>170446391.32999998</v>
      </c>
      <c r="X48" s="27">
        <v>57021217.200000003</v>
      </c>
      <c r="Y48" s="20">
        <f t="shared" si="61"/>
        <v>33.454047783036749</v>
      </c>
      <c r="Z48" s="13">
        <f t="shared" si="8"/>
        <v>27.825171802820492</v>
      </c>
      <c r="AA48" s="13" t="str">
        <f t="shared" si="8"/>
        <v>-</v>
      </c>
    </row>
    <row r="49" spans="1:27" x14ac:dyDescent="0.3">
      <c r="A49" s="5" t="s">
        <v>61</v>
      </c>
      <c r="B49" s="27">
        <v>12176094.24</v>
      </c>
      <c r="C49" s="27">
        <v>0</v>
      </c>
      <c r="D49" s="20">
        <f t="shared" si="54"/>
        <v>0</v>
      </c>
      <c r="E49" s="27">
        <v>25106.98</v>
      </c>
      <c r="F49" s="27">
        <v>0</v>
      </c>
      <c r="G49" s="20">
        <f t="shared" si="55"/>
        <v>0</v>
      </c>
      <c r="H49" s="27">
        <v>27957.48</v>
      </c>
      <c r="I49" s="27">
        <v>0</v>
      </c>
      <c r="J49" s="20">
        <f t="shared" si="62"/>
        <v>0</v>
      </c>
      <c r="K49" s="27">
        <v>8392.06</v>
      </c>
      <c r="L49" s="27">
        <v>0</v>
      </c>
      <c r="M49" s="20">
        <f t="shared" si="63"/>
        <v>0</v>
      </c>
      <c r="N49" s="27">
        <v>83172.960000000006</v>
      </c>
      <c r="O49" s="27">
        <v>0</v>
      </c>
      <c r="P49" s="20">
        <f t="shared" si="64"/>
        <v>0</v>
      </c>
      <c r="Q49" s="27">
        <v>2352.36</v>
      </c>
      <c r="R49" s="27">
        <v>0</v>
      </c>
      <c r="S49" s="20">
        <f t="shared" si="65"/>
        <v>0</v>
      </c>
      <c r="T49" s="1">
        <v>114187.52</v>
      </c>
      <c r="U49" s="27">
        <v>0</v>
      </c>
      <c r="V49" s="20">
        <f t="shared" si="66"/>
        <v>0</v>
      </c>
      <c r="W49" s="1">
        <v>13908.08</v>
      </c>
      <c r="X49" s="27">
        <v>0</v>
      </c>
      <c r="Y49" s="20">
        <f t="shared" si="61"/>
        <v>0</v>
      </c>
      <c r="Z49" s="13">
        <f t="shared" si="8"/>
        <v>-87.81996491385398</v>
      </c>
      <c r="AA49" s="13" t="str">
        <f t="shared" si="8"/>
        <v>-</v>
      </c>
    </row>
    <row r="50" spans="1:27" x14ac:dyDescent="0.3">
      <c r="A50" s="5" t="s">
        <v>62</v>
      </c>
      <c r="B50" s="27">
        <f t="shared" ref="B50:C50" si="67">SUM(B23:B32)</f>
        <v>1395862716.1300001</v>
      </c>
      <c r="C50" s="27">
        <f t="shared" si="67"/>
        <v>1309646352.9099998</v>
      </c>
      <c r="D50" s="20">
        <f t="shared" si="54"/>
        <v>93.823435340472926</v>
      </c>
      <c r="E50" s="27">
        <f t="shared" ref="E50:F50" si="68">SUM(E23:E32)</f>
        <v>1468707428.4300001</v>
      </c>
      <c r="F50" s="27">
        <f t="shared" si="68"/>
        <v>1322480952.4200001</v>
      </c>
      <c r="G50" s="20">
        <f t="shared" si="55"/>
        <v>90.043866247322569</v>
      </c>
      <c r="H50" s="27">
        <f t="shared" ref="H50:I50" si="69">SUM(H23:H32)</f>
        <v>1458547443.3999999</v>
      </c>
      <c r="I50" s="27">
        <f t="shared" si="69"/>
        <v>1388472484.4199998</v>
      </c>
      <c r="J50" s="20">
        <f t="shared" si="62"/>
        <v>95.195565334738149</v>
      </c>
      <c r="K50" s="27">
        <f t="shared" ref="K50:L50" si="70">SUM(K23:K32)</f>
        <v>1500819731.3299999</v>
      </c>
      <c r="L50" s="27">
        <f t="shared" si="70"/>
        <v>1402139468.1100001</v>
      </c>
      <c r="M50" s="20">
        <f t="shared" si="63"/>
        <v>93.42490899073195</v>
      </c>
      <c r="N50" s="27">
        <f t="shared" ref="N50:O50" si="71">SUM(N23:N32)</f>
        <v>1586944914.7599998</v>
      </c>
      <c r="O50" s="27">
        <f t="shared" si="71"/>
        <v>1509178684.8799999</v>
      </c>
      <c r="P50" s="20">
        <f t="shared" si="64"/>
        <v>95.099626385471552</v>
      </c>
      <c r="Q50" s="27">
        <f t="shared" ref="Q50:R50" si="72">SUM(Q23:Q32)</f>
        <v>1552482482.1199999</v>
      </c>
      <c r="R50" s="27">
        <f t="shared" si="72"/>
        <v>1457452145.8199999</v>
      </c>
      <c r="S50" s="20">
        <f t="shared" si="65"/>
        <v>93.87881426074253</v>
      </c>
      <c r="T50" s="27">
        <f t="shared" ref="T50:U50" si="73">SUM(T23:T32)</f>
        <v>1709092692.2400002</v>
      </c>
      <c r="U50" s="27">
        <f t="shared" si="73"/>
        <v>1555371594.49</v>
      </c>
      <c r="V50" s="20">
        <f t="shared" si="66"/>
        <v>91.005689834848695</v>
      </c>
      <c r="W50" s="27">
        <f t="shared" ref="W50:X50" si="74">SUM(W23:W32)</f>
        <v>1866072993.49</v>
      </c>
      <c r="X50" s="27">
        <f t="shared" si="74"/>
        <v>1747330994.78</v>
      </c>
      <c r="Y50" s="20">
        <f t="shared" si="61"/>
        <v>93.636797749914152</v>
      </c>
      <c r="Z50" s="13">
        <f t="shared" si="8"/>
        <v>9.1850080433177368</v>
      </c>
      <c r="AA50" s="13">
        <f t="shared" si="8"/>
        <v>12.341706700188439</v>
      </c>
    </row>
    <row r="51" spans="1:27" x14ac:dyDescent="0.3">
      <c r="A51" s="5" t="s">
        <v>63</v>
      </c>
      <c r="B51" s="27">
        <f t="shared" ref="B51:C51" si="75">SUM(B33:B37)</f>
        <v>367141117.12</v>
      </c>
      <c r="C51" s="27">
        <f t="shared" si="75"/>
        <v>283744202.44</v>
      </c>
      <c r="D51" s="20">
        <f t="shared" si="54"/>
        <v>77.284779396489739</v>
      </c>
      <c r="E51" s="27">
        <f t="shared" ref="E51:F51" si="76">SUM(E33:E37)</f>
        <v>422508063.87</v>
      </c>
      <c r="F51" s="27">
        <f t="shared" si="76"/>
        <v>305432089.11000001</v>
      </c>
      <c r="G51" s="20">
        <f t="shared" si="55"/>
        <v>72.290238986770518</v>
      </c>
      <c r="H51" s="27">
        <f t="shared" ref="H51:I51" si="77">SUM(H33:H37)</f>
        <v>487402024.97000003</v>
      </c>
      <c r="I51" s="27">
        <f t="shared" si="77"/>
        <v>314013571.74000001</v>
      </c>
      <c r="J51" s="20">
        <f t="shared" si="62"/>
        <v>64.425988332594187</v>
      </c>
      <c r="K51" s="27">
        <f t="shared" ref="K51:L51" si="78">SUM(K33:K37)</f>
        <v>333619441.14999998</v>
      </c>
      <c r="L51" s="27">
        <f t="shared" si="78"/>
        <v>228501856.74000004</v>
      </c>
      <c r="M51" s="20">
        <f t="shared" si="63"/>
        <v>68.491768930594915</v>
      </c>
      <c r="N51" s="27">
        <f t="shared" ref="N51:O51" si="79">SUM(N33:N37)</f>
        <v>479109935.45999998</v>
      </c>
      <c r="O51" s="27">
        <f t="shared" si="79"/>
        <v>262784389.33000001</v>
      </c>
      <c r="P51" s="20">
        <f t="shared" si="64"/>
        <v>54.848453325789862</v>
      </c>
      <c r="Q51" s="27">
        <f t="shared" ref="Q51:R51" si="80">SUM(Q33:Q37)</f>
        <v>362120666.11999995</v>
      </c>
      <c r="R51" s="27">
        <f t="shared" si="80"/>
        <v>214320543.25999999</v>
      </c>
      <c r="S51" s="20">
        <f t="shared" si="65"/>
        <v>59.184841770112669</v>
      </c>
      <c r="T51" s="27">
        <f t="shared" ref="T51:U51" si="81">SUM(T33:T37)</f>
        <v>400034803.96999997</v>
      </c>
      <c r="U51" s="27">
        <f t="shared" si="81"/>
        <v>210501878.13</v>
      </c>
      <c r="V51" s="20">
        <f t="shared" si="66"/>
        <v>52.620890992721293</v>
      </c>
      <c r="W51" s="27">
        <f t="shared" ref="W51:X51" si="82">SUM(W33:W37)</f>
        <v>430502947.97000003</v>
      </c>
      <c r="X51" s="27">
        <f t="shared" si="82"/>
        <v>299175779.12</v>
      </c>
      <c r="Y51" s="20">
        <f t="shared" si="61"/>
        <v>69.494478616403882</v>
      </c>
      <c r="Z51" s="13">
        <f t="shared" si="8"/>
        <v>7.6163732999304159</v>
      </c>
      <c r="AA51" s="13">
        <f t="shared" si="8"/>
        <v>42.124992792338645</v>
      </c>
    </row>
    <row r="52" spans="1:27" x14ac:dyDescent="0.3">
      <c r="A52" s="5" t="s">
        <v>64</v>
      </c>
      <c r="B52" s="27">
        <f t="shared" ref="B52:C52" si="83">SUM(B38:B41)</f>
        <v>42999095.100000001</v>
      </c>
      <c r="C52" s="27">
        <f t="shared" si="83"/>
        <v>42999095.100000001</v>
      </c>
      <c r="D52" s="20">
        <f t="shared" si="54"/>
        <v>100</v>
      </c>
      <c r="E52" s="27">
        <f t="shared" ref="E52:F52" si="84">SUM(E38:E41)</f>
        <v>19542496.229999997</v>
      </c>
      <c r="F52" s="27">
        <f t="shared" si="84"/>
        <v>19542496.229999997</v>
      </c>
      <c r="G52" s="20">
        <f t="shared" si="55"/>
        <v>100</v>
      </c>
      <c r="H52" s="27">
        <f t="shared" ref="H52:I52" si="85">SUM(H38:H41)</f>
        <v>30249929.379999999</v>
      </c>
      <c r="I52" s="27">
        <f t="shared" si="85"/>
        <v>30249929.379999999</v>
      </c>
      <c r="J52" s="20">
        <f t="shared" si="62"/>
        <v>100</v>
      </c>
      <c r="K52" s="27">
        <f t="shared" ref="K52:L52" si="86">SUM(K38:K41)</f>
        <v>193347072.03</v>
      </c>
      <c r="L52" s="27">
        <f t="shared" si="86"/>
        <v>193347072.03</v>
      </c>
      <c r="M52" s="20">
        <f t="shared" si="63"/>
        <v>100</v>
      </c>
      <c r="N52" s="27">
        <f t="shared" ref="N52:O52" si="87">SUM(N38:N41)</f>
        <v>178891513.86000001</v>
      </c>
      <c r="O52" s="27">
        <f t="shared" si="87"/>
        <v>178891513.86000001</v>
      </c>
      <c r="P52" s="20">
        <f t="shared" si="64"/>
        <v>100</v>
      </c>
      <c r="Q52" s="27">
        <f t="shared" ref="Q52:R52" si="88">SUM(Q38:Q41)</f>
        <v>81874076.189999998</v>
      </c>
      <c r="R52" s="27">
        <f t="shared" si="88"/>
        <v>81874076.189999998</v>
      </c>
      <c r="S52" s="20">
        <f t="shared" si="65"/>
        <v>100</v>
      </c>
      <c r="T52" s="27">
        <f t="shared" ref="T52:U52" si="89">SUM(T38:T41)</f>
        <v>34525947.490000002</v>
      </c>
      <c r="U52" s="27">
        <f t="shared" si="89"/>
        <v>34525947.399999999</v>
      </c>
      <c r="V52" s="20">
        <f t="shared" si="66"/>
        <v>99.999999739326469</v>
      </c>
      <c r="W52" s="27">
        <f t="shared" ref="W52:X52" si="90">SUM(W38:W41)</f>
        <v>33566708.390000001</v>
      </c>
      <c r="X52" s="27">
        <f t="shared" si="90"/>
        <v>33566708.390000001</v>
      </c>
      <c r="Y52" s="20">
        <f t="shared" si="61"/>
        <v>100</v>
      </c>
      <c r="Z52" s="13">
        <f t="shared" si="8"/>
        <v>-2.7783136155143353</v>
      </c>
      <c r="AA52" s="13">
        <f t="shared" si="8"/>
        <v>-2.7783133620831393</v>
      </c>
    </row>
    <row r="53" spans="1:27" x14ac:dyDescent="0.3">
      <c r="A53" s="5" t="s">
        <v>65</v>
      </c>
      <c r="B53" s="27">
        <f t="shared" ref="B53:C53" si="91">SUM(B42:B46)</f>
        <v>43704320.020000003</v>
      </c>
      <c r="C53" s="27">
        <f t="shared" si="91"/>
        <v>43704320.020000003</v>
      </c>
      <c r="D53" s="20">
        <f t="shared" si="54"/>
        <v>100</v>
      </c>
      <c r="E53" s="27">
        <f t="shared" ref="E53:F53" si="92">SUM(E42:E46)</f>
        <v>46867084.210000001</v>
      </c>
      <c r="F53" s="27">
        <f t="shared" si="92"/>
        <v>46867083.210000001</v>
      </c>
      <c r="G53" s="20">
        <f t="shared" si="55"/>
        <v>99.999997866306344</v>
      </c>
      <c r="H53" s="27">
        <f t="shared" ref="H53:I53" si="93">SUM(H42:H46)</f>
        <v>50572445.299999997</v>
      </c>
      <c r="I53" s="27">
        <f t="shared" si="93"/>
        <v>50572445.299999997</v>
      </c>
      <c r="J53" s="20">
        <f t="shared" si="62"/>
        <v>100</v>
      </c>
      <c r="K53" s="27">
        <f t="shared" ref="K53:L53" si="94">SUM(K42:K46)</f>
        <v>46608325.749999993</v>
      </c>
      <c r="L53" s="27">
        <f t="shared" si="94"/>
        <v>46608325.749999993</v>
      </c>
      <c r="M53" s="20">
        <f t="shared" si="63"/>
        <v>100</v>
      </c>
      <c r="N53" s="27">
        <f t="shared" ref="N53:O53" si="95">SUM(N42:N46)</f>
        <v>14955692.9</v>
      </c>
      <c r="O53" s="27">
        <f t="shared" si="95"/>
        <v>14955692.9</v>
      </c>
      <c r="P53" s="20">
        <f t="shared" si="64"/>
        <v>100</v>
      </c>
      <c r="Q53" s="27">
        <f t="shared" ref="Q53:R53" si="96">SUM(Q42:Q46)</f>
        <v>17392847.43</v>
      </c>
      <c r="R53" s="27">
        <f t="shared" si="96"/>
        <v>17392847.43</v>
      </c>
      <c r="S53" s="20">
        <f t="shared" si="65"/>
        <v>100</v>
      </c>
      <c r="T53" s="27">
        <f t="shared" ref="T53:U53" si="97">SUM(T42:T46)</f>
        <v>20973013.710000001</v>
      </c>
      <c r="U53" s="27">
        <f t="shared" si="97"/>
        <v>20973013.710000001</v>
      </c>
      <c r="V53" s="20">
        <f t="shared" si="66"/>
        <v>100</v>
      </c>
      <c r="W53" s="27">
        <f t="shared" ref="W53:X53" si="98">SUM(W42:W46)</f>
        <v>19180844.359999999</v>
      </c>
      <c r="X53" s="27">
        <f t="shared" si="98"/>
        <v>19180844.359999999</v>
      </c>
      <c r="Y53" s="20">
        <f t="shared" si="61"/>
        <v>100</v>
      </c>
      <c r="Z53" s="13">
        <f t="shared" si="8"/>
        <v>-8.5451207670049314</v>
      </c>
      <c r="AA53" s="13">
        <f t="shared" si="8"/>
        <v>-8.5451207670049314</v>
      </c>
    </row>
    <row r="54" spans="1:27" x14ac:dyDescent="0.3">
      <c r="A54" s="5" t="s">
        <v>66</v>
      </c>
      <c r="B54" s="27">
        <f t="shared" ref="B54:C54" si="99">B47</f>
        <v>0</v>
      </c>
      <c r="C54" s="27">
        <f t="shared" si="99"/>
        <v>0</v>
      </c>
      <c r="D54" s="20" t="str">
        <f t="shared" si="54"/>
        <v>-</v>
      </c>
      <c r="E54" s="27">
        <f t="shared" ref="E54:F54" si="100">E47</f>
        <v>0</v>
      </c>
      <c r="F54" s="27">
        <f t="shared" si="100"/>
        <v>0</v>
      </c>
      <c r="G54" s="20" t="str">
        <f t="shared" si="55"/>
        <v>-</v>
      </c>
      <c r="H54" s="27">
        <f t="shared" ref="H54:I54" si="101">H47</f>
        <v>0</v>
      </c>
      <c r="I54" s="27">
        <f t="shared" si="101"/>
        <v>0</v>
      </c>
      <c r="J54" s="20" t="str">
        <f t="shared" si="62"/>
        <v>-</v>
      </c>
      <c r="K54" s="27">
        <f t="shared" ref="K54:L54" si="102">K47</f>
        <v>0</v>
      </c>
      <c r="L54" s="27">
        <f t="shared" si="102"/>
        <v>0</v>
      </c>
      <c r="M54" s="20" t="str">
        <f t="shared" si="63"/>
        <v>-</v>
      </c>
      <c r="N54" s="27">
        <f t="shared" ref="N54:O54" si="103">N47</f>
        <v>0</v>
      </c>
      <c r="O54" s="27">
        <f t="shared" si="103"/>
        <v>0</v>
      </c>
      <c r="P54" s="20" t="str">
        <f t="shared" si="64"/>
        <v>-</v>
      </c>
      <c r="Q54" s="27">
        <f t="shared" ref="Q54:R54" si="104">Q47</f>
        <v>0</v>
      </c>
      <c r="R54" s="27">
        <f t="shared" si="104"/>
        <v>0</v>
      </c>
      <c r="S54" s="20" t="str">
        <f t="shared" si="65"/>
        <v>-</v>
      </c>
      <c r="T54" s="27">
        <f t="shared" ref="T54:U54" si="105">T47</f>
        <v>0</v>
      </c>
      <c r="U54" s="27">
        <f t="shared" si="105"/>
        <v>0</v>
      </c>
      <c r="V54" s="20" t="str">
        <f t="shared" si="66"/>
        <v>-</v>
      </c>
      <c r="W54" s="27">
        <f t="shared" ref="W54:X54" si="106">W47</f>
        <v>0</v>
      </c>
      <c r="X54" s="27">
        <f t="shared" si="106"/>
        <v>0</v>
      </c>
      <c r="Y54" s="20" t="str">
        <f t="shared" si="61"/>
        <v>-</v>
      </c>
      <c r="Z54" s="13" t="str">
        <f t="shared" si="8"/>
        <v>-</v>
      </c>
      <c r="AA54" s="13" t="str">
        <f t="shared" si="8"/>
        <v>-</v>
      </c>
    </row>
    <row r="55" spans="1:27" x14ac:dyDescent="0.3">
      <c r="A55" s="5" t="s">
        <v>67</v>
      </c>
      <c r="B55" s="27">
        <f>SUM(B48:B49)</f>
        <v>268580557.92000002</v>
      </c>
      <c r="C55" s="29">
        <v>203502542.87</v>
      </c>
      <c r="D55" s="20">
        <f t="shared" si="54"/>
        <v>75.769647827828152</v>
      </c>
      <c r="E55" s="27">
        <f>SUM(E48:E49)</f>
        <v>183596298.50999999</v>
      </c>
      <c r="F55" s="29">
        <v>98839930.140000001</v>
      </c>
      <c r="G55" s="20">
        <f t="shared" si="55"/>
        <v>53.835469964344874</v>
      </c>
      <c r="H55" s="27">
        <f>SUM(H48:H49)</f>
        <v>162242915.11999997</v>
      </c>
      <c r="I55" s="29">
        <v>37514986.210000001</v>
      </c>
      <c r="J55" s="20">
        <f t="shared" si="62"/>
        <v>23.122726919849001</v>
      </c>
      <c r="K55" s="27">
        <f>SUM(K48:K49)</f>
        <v>231528482.81999999</v>
      </c>
      <c r="L55" s="29">
        <v>42406644.530000001</v>
      </c>
      <c r="M55" s="20">
        <f t="shared" si="63"/>
        <v>18.315951460265349</v>
      </c>
      <c r="N55" s="27">
        <f>SUM(N48:N49)</f>
        <v>222543206.33000001</v>
      </c>
      <c r="O55" s="29">
        <v>32537402.27</v>
      </c>
      <c r="P55" s="20">
        <f t="shared" si="64"/>
        <v>14.620712447969158</v>
      </c>
      <c r="Q55" s="27">
        <f>SUM(Q48:Q49)</f>
        <v>147145544.74000001</v>
      </c>
      <c r="R55" s="29">
        <v>34074865.609999999</v>
      </c>
      <c r="S55" s="20">
        <f t="shared" si="65"/>
        <v>23.157252684890224</v>
      </c>
      <c r="T55" s="27">
        <f>SUM(T48:T49)</f>
        <v>133457557.16</v>
      </c>
      <c r="U55" s="29">
        <v>119300319.94</v>
      </c>
      <c r="V55" s="20">
        <f t="shared" si="66"/>
        <v>89.391955374226484</v>
      </c>
      <c r="W55" s="27">
        <f t="shared" ref="W55:X55" si="107">SUM(W48:W49)</f>
        <v>170460299.41</v>
      </c>
      <c r="X55" s="27">
        <f t="shared" si="107"/>
        <v>57021217.200000003</v>
      </c>
      <c r="Y55" s="20">
        <f t="shared" si="61"/>
        <v>33.451318223282946</v>
      </c>
      <c r="Z55" s="13">
        <f t="shared" si="8"/>
        <v>27.726224754464852</v>
      </c>
      <c r="AA55" s="13">
        <f t="shared" si="8"/>
        <v>-52.203634299826</v>
      </c>
    </row>
    <row r="56" spans="1:27" x14ac:dyDescent="0.3">
      <c r="A56" s="5" t="s">
        <v>68</v>
      </c>
      <c r="B56" s="19">
        <f t="shared" ref="B56:C56" si="108">SUM(B50:B55)</f>
        <v>2118287806.29</v>
      </c>
      <c r="C56" s="19">
        <f t="shared" si="108"/>
        <v>1883596513.3399997</v>
      </c>
      <c r="D56" s="20">
        <f t="shared" si="54"/>
        <v>88.920707929625394</v>
      </c>
      <c r="E56" s="19">
        <f t="shared" ref="E56:F56" si="109">SUM(E50:E55)</f>
        <v>2141221371.2500002</v>
      </c>
      <c r="F56" s="19">
        <f t="shared" si="109"/>
        <v>1793162551.1100004</v>
      </c>
      <c r="G56" s="20">
        <f t="shared" si="55"/>
        <v>83.744846524821938</v>
      </c>
      <c r="H56" s="24">
        <f t="shared" ref="H56:I56" si="110">SUM(H50:H55)</f>
        <v>2189014758.1700001</v>
      </c>
      <c r="I56" s="19">
        <f t="shared" si="110"/>
        <v>1820823417.05</v>
      </c>
      <c r="J56" s="20">
        <f t="shared" si="62"/>
        <v>83.180042996703889</v>
      </c>
      <c r="K56" s="24">
        <f t="shared" ref="K56:L56" si="111">SUM(K50:K55)</f>
        <v>2305923053.0799999</v>
      </c>
      <c r="L56" s="19">
        <f t="shared" si="111"/>
        <v>1913003367.1600001</v>
      </c>
      <c r="M56" s="20">
        <f t="shared" si="63"/>
        <v>82.96041642000236</v>
      </c>
      <c r="N56" s="24">
        <f t="shared" ref="N56:O56" si="112">SUM(N50:N55)</f>
        <v>2482445263.3099999</v>
      </c>
      <c r="O56" s="19">
        <f t="shared" si="112"/>
        <v>1998347683.2399998</v>
      </c>
      <c r="P56" s="20">
        <f t="shared" si="64"/>
        <v>80.499163980577663</v>
      </c>
      <c r="Q56" s="24">
        <f t="shared" ref="Q56:R56" si="113">SUM(Q50:Q55)</f>
        <v>2161015616.5999999</v>
      </c>
      <c r="R56" s="19">
        <f t="shared" si="113"/>
        <v>1805114478.3099999</v>
      </c>
      <c r="S56" s="20">
        <f t="shared" si="65"/>
        <v>83.530839131558366</v>
      </c>
      <c r="T56" s="24">
        <f t="shared" ref="T56:U56" si="114">SUM(T50:T55)</f>
        <v>2298084014.5700002</v>
      </c>
      <c r="U56" s="19">
        <f t="shared" si="114"/>
        <v>1940672753.6700001</v>
      </c>
      <c r="V56" s="20">
        <f t="shared" si="66"/>
        <v>84.447424087457648</v>
      </c>
      <c r="W56" s="24">
        <f t="shared" ref="W56:X56" si="115">SUM(W50:W55)</f>
        <v>2519783793.6199999</v>
      </c>
      <c r="X56" s="19">
        <f t="shared" si="115"/>
        <v>2156275543.8499999</v>
      </c>
      <c r="Y56" s="20">
        <f t="shared" si="61"/>
        <v>85.57383174340633</v>
      </c>
      <c r="Z56" s="13">
        <f t="shared" si="8"/>
        <v>9.6471572685945688</v>
      </c>
      <c r="AA56" s="13">
        <f t="shared" si="8"/>
        <v>11.109693263445578</v>
      </c>
    </row>
    <row r="57" spans="1:27" x14ac:dyDescent="0.3">
      <c r="A57" s="14" t="s">
        <v>69</v>
      </c>
      <c r="B57" s="15">
        <f t="shared" ref="B57:C57" si="116">B56-B55</f>
        <v>1849707248.3699999</v>
      </c>
      <c r="C57" s="15">
        <f t="shared" si="116"/>
        <v>1680093970.4699998</v>
      </c>
      <c r="D57" s="21">
        <f t="shared" si="54"/>
        <v>90.830263651209293</v>
      </c>
      <c r="E57" s="15">
        <f t="shared" ref="E57:F57" si="117">E56-E55</f>
        <v>1957625072.7400002</v>
      </c>
      <c r="F57" s="15">
        <f t="shared" si="117"/>
        <v>1694322620.9700003</v>
      </c>
      <c r="G57" s="21">
        <f t="shared" si="55"/>
        <v>86.549903991499903</v>
      </c>
      <c r="H57" s="25">
        <f t="shared" ref="H57:I57" si="118">H56-H55</f>
        <v>2026771843.0500002</v>
      </c>
      <c r="I57" s="15">
        <f t="shared" si="118"/>
        <v>1783308430.8399999</v>
      </c>
      <c r="J57" s="21">
        <f t="shared" si="62"/>
        <v>87.987626084067614</v>
      </c>
      <c r="K57" s="25">
        <f t="shared" ref="K57:L57" si="119">K56-K55</f>
        <v>2074394570.26</v>
      </c>
      <c r="L57" s="15">
        <f t="shared" si="119"/>
        <v>1870596722.6300001</v>
      </c>
      <c r="M57" s="21">
        <f t="shared" si="63"/>
        <v>90.175550468951698</v>
      </c>
      <c r="N57" s="25">
        <f t="shared" ref="N57:O57" si="120">N56-N55</f>
        <v>2259902056.98</v>
      </c>
      <c r="O57" s="15">
        <f t="shared" si="120"/>
        <v>1965810280.9699998</v>
      </c>
      <c r="P57" s="21">
        <f t="shared" si="64"/>
        <v>86.986525584077441</v>
      </c>
      <c r="Q57" s="25">
        <f t="shared" ref="Q57:R57" si="121">Q56-Q55</f>
        <v>2013870071.8599999</v>
      </c>
      <c r="R57" s="15">
        <f t="shared" si="121"/>
        <v>1771039612.7</v>
      </c>
      <c r="S57" s="21">
        <f t="shared" si="65"/>
        <v>87.94209901854677</v>
      </c>
      <c r="T57" s="25">
        <f t="shared" ref="T57:U57" si="122">T56-T55</f>
        <v>2164626457.4100003</v>
      </c>
      <c r="U57" s="15">
        <f t="shared" si="122"/>
        <v>1821372433.73</v>
      </c>
      <c r="V57" s="21">
        <f t="shared" si="66"/>
        <v>84.142574692046054</v>
      </c>
      <c r="W57" s="25">
        <f t="shared" ref="W57:X57" si="123">W56-W55</f>
        <v>2349323494.21</v>
      </c>
      <c r="X57" s="15">
        <f t="shared" si="123"/>
        <v>2099254326.6499999</v>
      </c>
      <c r="Y57" s="21">
        <f t="shared" si="61"/>
        <v>89.355694599900545</v>
      </c>
      <c r="Z57" s="16">
        <f t="shared" si="8"/>
        <v>8.5325131348986503</v>
      </c>
      <c r="AA57" s="16">
        <f t="shared" si="8"/>
        <v>15.256731010852278</v>
      </c>
    </row>
    <row r="58" spans="1:27" x14ac:dyDescent="0.3">
      <c r="A58" s="5" t="s">
        <v>70</v>
      </c>
      <c r="B58" s="19">
        <f t="shared" ref="B58:F58" si="124">B21-B57</f>
        <v>-18458775.319999695</v>
      </c>
      <c r="C58" s="19">
        <f t="shared" si="124"/>
        <v>-108891704.26000023</v>
      </c>
      <c r="D58" s="22"/>
      <c r="E58" s="24">
        <f t="shared" si="124"/>
        <v>-24457737.309999943</v>
      </c>
      <c r="F58" s="19">
        <f t="shared" si="124"/>
        <v>-235514279.87000036</v>
      </c>
      <c r="G58" s="22"/>
      <c r="H58" s="24">
        <f t="shared" ref="H58:I58" si="125">H21-H57</f>
        <v>86470624.71999979</v>
      </c>
      <c r="I58" s="19">
        <f t="shared" si="125"/>
        <v>-384561779.72999978</v>
      </c>
      <c r="J58" s="22"/>
      <c r="K58" s="24">
        <f t="shared" ref="K58:L58" si="126">K21-K57</f>
        <v>148771313.11999965</v>
      </c>
      <c r="L58" s="19">
        <f t="shared" si="126"/>
        <v>-386448476.26999998</v>
      </c>
      <c r="M58" s="22"/>
      <c r="N58" s="24">
        <f t="shared" ref="N58:O58" si="127">N21-N57</f>
        <v>-35431137.670000076</v>
      </c>
      <c r="O58" s="19">
        <f t="shared" si="127"/>
        <v>-464911967.01999974</v>
      </c>
      <c r="P58" s="22"/>
      <c r="Q58" s="24">
        <f t="shared" ref="Q58:R58" si="128">Q21-Q57</f>
        <v>58520316.639999866</v>
      </c>
      <c r="R58" s="19">
        <f t="shared" si="128"/>
        <v>-219627003.12000012</v>
      </c>
      <c r="S58" s="22"/>
      <c r="T58" s="24">
        <f t="shared" ref="T58:U58" si="129">T21-T57</f>
        <v>140075448.12999964</v>
      </c>
      <c r="U58" s="19">
        <f t="shared" si="129"/>
        <v>831071.50999999046</v>
      </c>
      <c r="V58" s="22"/>
      <c r="W58" s="24">
        <f t="shared" ref="W58:X58" si="130">W21-W57</f>
        <v>63602919.869999886</v>
      </c>
      <c r="X58" s="19">
        <f t="shared" si="130"/>
        <v>-232435790.24000001</v>
      </c>
      <c r="Y58" s="22"/>
      <c r="Z58" s="13">
        <f t="shared" si="8"/>
        <v>-54.593813034978119</v>
      </c>
      <c r="AA58" s="13">
        <f t="shared" si="8"/>
        <v>-28068.205797357041</v>
      </c>
    </row>
    <row r="59" spans="1:27" x14ac:dyDescent="0.3">
      <c r="A59" s="5" t="s">
        <v>71</v>
      </c>
      <c r="B59" s="19">
        <f>B14-B50</f>
        <v>164808251.45000005</v>
      </c>
      <c r="C59" s="19">
        <f>C14-C50</f>
        <v>140505279.65999985</v>
      </c>
      <c r="D59" s="22"/>
      <c r="E59" s="24">
        <f>E14-E50</f>
        <v>94138725.799999952</v>
      </c>
      <c r="F59" s="19">
        <f>F14-F50</f>
        <v>38382422.639999866</v>
      </c>
      <c r="G59" s="22"/>
      <c r="H59" s="24">
        <f>H14-H50</f>
        <v>116639970.3900001</v>
      </c>
      <c r="I59" s="19">
        <f>I14-I50</f>
        <v>-77256835.689999819</v>
      </c>
      <c r="J59" s="22"/>
      <c r="K59" s="24">
        <f>K14-K50</f>
        <v>136288036.55999994</v>
      </c>
      <c r="L59" s="19">
        <f>L14-L50</f>
        <v>-120431288.77999997</v>
      </c>
      <c r="M59" s="22"/>
      <c r="N59" s="24">
        <f>N14-N50</f>
        <v>167924300.46000004</v>
      </c>
      <c r="O59" s="19">
        <f>O14-O50</f>
        <v>-114505365.02999973</v>
      </c>
      <c r="P59" s="22"/>
      <c r="Q59" s="24">
        <f>Q14-Q50</f>
        <v>153356075.9000001</v>
      </c>
      <c r="R59" s="19">
        <f>R14-R50</f>
        <v>-7619611.25</v>
      </c>
      <c r="S59" s="22"/>
      <c r="T59" s="24">
        <f>T14-T50</f>
        <v>233274286.77999997</v>
      </c>
      <c r="U59" s="19">
        <f>U14-U50</f>
        <v>217739666.49000001</v>
      </c>
      <c r="V59" s="22"/>
      <c r="W59" s="24">
        <f>W14-W50</f>
        <v>190360585.62999988</v>
      </c>
      <c r="X59" s="19">
        <f>X14-X50</f>
        <v>45545627.729999781</v>
      </c>
      <c r="Y59" s="22"/>
      <c r="Z59" s="13">
        <f t="shared" si="8"/>
        <v>-18.39624149852051</v>
      </c>
      <c r="AA59" s="13">
        <f t="shared" si="8"/>
        <v>-79.082530774386242</v>
      </c>
    </row>
    <row r="60" spans="1:27" x14ac:dyDescent="0.3">
      <c r="A60" s="5" t="s">
        <v>72</v>
      </c>
      <c r="B60" s="19">
        <f>B15-B51</f>
        <v>-134262706.79999998</v>
      </c>
      <c r="C60" s="19">
        <f>C15-C51</f>
        <v>-162693568.80000001</v>
      </c>
      <c r="D60" s="22"/>
      <c r="E60" s="24">
        <f>E15-E51</f>
        <v>-105456948.75999999</v>
      </c>
      <c r="F60" s="19">
        <f>F15-F51</f>
        <v>-217975206.38</v>
      </c>
      <c r="G60" s="22"/>
      <c r="H60" s="24">
        <f>H15-H51</f>
        <v>3586730.3899999261</v>
      </c>
      <c r="I60" s="19">
        <f>I15-I51</f>
        <v>-245859634.33000001</v>
      </c>
      <c r="J60" s="22"/>
      <c r="K60" s="24">
        <f>K15-K51</f>
        <v>59125816.420000017</v>
      </c>
      <c r="L60" s="19">
        <f>L15-L51</f>
        <v>-125188925.30000004</v>
      </c>
      <c r="M60" s="22"/>
      <c r="N60" s="24">
        <f>N15-N51</f>
        <v>-188399745.22999996</v>
      </c>
      <c r="O60" s="19">
        <f>O15-O51</f>
        <v>-170743481.08000001</v>
      </c>
      <c r="P60" s="22"/>
      <c r="Q60" s="24">
        <f>Q15-Q51</f>
        <v>-72442911.829999983</v>
      </c>
      <c r="R60" s="19">
        <f>R15-R51</f>
        <v>-112740468.24999999</v>
      </c>
      <c r="S60" s="22"/>
      <c r="T60" s="24">
        <f>T15-T51</f>
        <v>-72225824.939999998</v>
      </c>
      <c r="U60" s="19">
        <f>U15-U51</f>
        <v>-161409633.87</v>
      </c>
      <c r="V60" s="22"/>
      <c r="W60" s="24">
        <f>W15-W51</f>
        <v>-107576821.40000004</v>
      </c>
      <c r="X60" s="19">
        <f>X15-X51</f>
        <v>-225233915.22</v>
      </c>
      <c r="Y60" s="22"/>
      <c r="Z60" s="13" t="str">
        <f t="shared" si="8"/>
        <v>-</v>
      </c>
      <c r="AA60" s="13" t="str">
        <f t="shared" si="8"/>
        <v>-</v>
      </c>
    </row>
    <row r="61" spans="1:27" x14ac:dyDescent="0.3">
      <c r="F61" s="6"/>
      <c r="I61" s="6"/>
      <c r="L61" s="6"/>
      <c r="O61" s="6"/>
      <c r="R61" s="6"/>
      <c r="U61" s="6"/>
      <c r="X61" s="6"/>
    </row>
    <row r="62" spans="1:27" x14ac:dyDescent="0.3">
      <c r="F62" s="6"/>
      <c r="I62" s="6"/>
      <c r="L62" s="6"/>
      <c r="O62" s="6"/>
      <c r="R62" s="6"/>
      <c r="U62" s="6"/>
      <c r="X62" s="6"/>
    </row>
  </sheetData>
  <mergeCells count="9">
    <mergeCell ref="Z1:AA1"/>
    <mergeCell ref="B1:D1"/>
    <mergeCell ref="E1:G1"/>
    <mergeCell ref="W1:Y1"/>
    <mergeCell ref="H1:J1"/>
    <mergeCell ref="K1:M1"/>
    <mergeCell ref="N1:P1"/>
    <mergeCell ref="Q1:S1"/>
    <mergeCell ref="T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>
      <selection activeCell="K1" sqref="K1:K21"/>
    </sheetView>
  </sheetViews>
  <sheetFormatPr defaultRowHeight="14.4" x14ac:dyDescent="0.3"/>
  <cols>
    <col min="1" max="1" width="55.6640625" bestFit="1" customWidth="1"/>
    <col min="2" max="2" width="15.33203125" bestFit="1" customWidth="1"/>
    <col min="3" max="9" width="14.33203125" bestFit="1" customWidth="1"/>
    <col min="10" max="10" width="8.44140625" customWidth="1"/>
    <col min="11" max="11" width="6.5546875" bestFit="1" customWidth="1"/>
    <col min="12" max="12" width="13.88671875" customWidth="1"/>
    <col min="13" max="13" width="7" bestFit="1" customWidth="1"/>
  </cols>
  <sheetData>
    <row r="1" spans="1:13" ht="28.8" x14ac:dyDescent="0.3">
      <c r="A1" s="41"/>
      <c r="B1" s="42">
        <v>2016</v>
      </c>
      <c r="C1" s="42">
        <v>2017</v>
      </c>
      <c r="D1" s="42">
        <v>2018</v>
      </c>
      <c r="E1" s="42">
        <v>2019</v>
      </c>
      <c r="F1" s="42">
        <v>2020</v>
      </c>
      <c r="G1" s="42">
        <v>2021</v>
      </c>
      <c r="H1" s="42">
        <v>2022</v>
      </c>
      <c r="I1" s="42">
        <v>2023</v>
      </c>
      <c r="J1" s="54" t="s">
        <v>296</v>
      </c>
      <c r="K1" s="42" t="s">
        <v>233</v>
      </c>
      <c r="L1" s="54" t="s">
        <v>372</v>
      </c>
      <c r="M1" s="42" t="s">
        <v>268</v>
      </c>
    </row>
    <row r="2" spans="1:13" x14ac:dyDescent="0.3">
      <c r="A2" s="55" t="s">
        <v>19</v>
      </c>
      <c r="B2" s="56">
        <f>Entrate_Uscite!B3</f>
        <v>1373107883.3900001</v>
      </c>
      <c r="C2" s="56">
        <f>Entrate_Uscite!E3</f>
        <v>1372526092.2</v>
      </c>
      <c r="D2" s="56">
        <f>Entrate_Uscite!H3</f>
        <v>1296776786.26</v>
      </c>
      <c r="E2" s="56">
        <f>Entrate_Uscite!K3</f>
        <v>1389652648.5899999</v>
      </c>
      <c r="F2" s="56">
        <f>Entrate_Uscite!N3</f>
        <v>1452220359.8199999</v>
      </c>
      <c r="G2" s="56">
        <f>Entrate_Uscite!Q3</f>
        <v>1415214417.55</v>
      </c>
      <c r="H2" s="56">
        <f>Entrate_Uscite!T3</f>
        <v>1514856730.9200001</v>
      </c>
      <c r="I2" s="56">
        <f>Entrate_Uscite!W3</f>
        <v>1571103948.0899999</v>
      </c>
      <c r="J2" s="56">
        <f>I2/I$21*100</f>
        <v>65.111971045707577</v>
      </c>
      <c r="K2" s="57">
        <f>IF(H2&gt;0,I2/H2*100-100,"-")</f>
        <v>3.7130387330978749</v>
      </c>
      <c r="L2" s="56">
        <f>Entrate_Uscite!X3</f>
        <v>1441787447.6199999</v>
      </c>
      <c r="M2" s="58">
        <f>IF(I2&gt;0,L2/I2*100,"-")</f>
        <v>91.769067818382695</v>
      </c>
    </row>
    <row r="3" spans="1:13" x14ac:dyDescent="0.3">
      <c r="A3" s="55" t="s">
        <v>20</v>
      </c>
      <c r="B3" s="56">
        <f>Entrate_Uscite!B4</f>
        <v>145916168.81</v>
      </c>
      <c r="C3" s="56">
        <f>Entrate_Uscite!E4</f>
        <v>150028760.53999999</v>
      </c>
      <c r="D3" s="56">
        <f>Entrate_Uscite!H4</f>
        <v>224303272.08000001</v>
      </c>
      <c r="E3" s="56">
        <f>Entrate_Uscite!K4</f>
        <v>195156208.63</v>
      </c>
      <c r="F3" s="56">
        <f>Entrate_Uscite!N4</f>
        <v>265514120.80000001</v>
      </c>
      <c r="G3" s="56">
        <f>Entrate_Uscite!Q4</f>
        <v>261052648.66999999</v>
      </c>
      <c r="H3" s="56">
        <f>Entrate_Uscite!T4</f>
        <v>399639321.69</v>
      </c>
      <c r="I3" s="56">
        <f>Entrate_Uscite!W4</f>
        <v>445314930.77999997</v>
      </c>
      <c r="J3" s="56">
        <f t="shared" ref="J3:J21" si="0">I3/I$21*100</f>
        <v>18.455387954704353</v>
      </c>
      <c r="K3" s="57">
        <f t="shared" ref="K3:K21" si="1">IF(H3&gt;0,I3/H3*100-100,"-")</f>
        <v>11.42920794101201</v>
      </c>
      <c r="L3" s="56">
        <f>Entrate_Uscite!X4</f>
        <v>335743247.77999997</v>
      </c>
      <c r="M3" s="58">
        <f t="shared" ref="M3:M21" si="2">IF(I3&gt;0,L3/I3*100,"-")</f>
        <v>75.394563391782626</v>
      </c>
    </row>
    <row r="4" spans="1:13" x14ac:dyDescent="0.3">
      <c r="A4" s="55" t="s">
        <v>21</v>
      </c>
      <c r="B4" s="56">
        <f>Entrate_Uscite!B5</f>
        <v>41646915.380000003</v>
      </c>
      <c r="C4" s="56">
        <f>Entrate_Uscite!E5</f>
        <v>40291301.490000002</v>
      </c>
      <c r="D4" s="56">
        <f>Entrate_Uscite!H5</f>
        <v>54107355.450000003</v>
      </c>
      <c r="E4" s="56">
        <f>Entrate_Uscite!K5</f>
        <v>52298910.670000002</v>
      </c>
      <c r="F4" s="56">
        <f>Entrate_Uscite!N5</f>
        <v>37134734.600000001</v>
      </c>
      <c r="G4" s="56">
        <f>Entrate_Uscite!Q5</f>
        <v>29571491.800000001</v>
      </c>
      <c r="H4" s="56">
        <f>Entrate_Uscite!T5</f>
        <v>27870926.41</v>
      </c>
      <c r="I4" s="56">
        <f>Entrate_Uscite!W5</f>
        <v>40014700.25</v>
      </c>
      <c r="J4" s="56">
        <f t="shared" si="0"/>
        <v>1.658347308749438</v>
      </c>
      <c r="K4" s="57">
        <f t="shared" si="1"/>
        <v>43.571475383907057</v>
      </c>
      <c r="L4" s="56">
        <f>Entrate_Uscite!X5</f>
        <v>15345927.109999999</v>
      </c>
      <c r="M4" s="58">
        <f t="shared" si="2"/>
        <v>38.350723644368671</v>
      </c>
    </row>
    <row r="5" spans="1:13" x14ac:dyDescent="0.3">
      <c r="A5" s="4" t="s">
        <v>30</v>
      </c>
      <c r="B5" s="43">
        <f t="shared" ref="B5:I5" si="3">SUM(B2:B4)</f>
        <v>1560670967.5800002</v>
      </c>
      <c r="C5" s="43">
        <f t="shared" si="3"/>
        <v>1562846154.23</v>
      </c>
      <c r="D5" s="43">
        <f t="shared" si="3"/>
        <v>1575187413.79</v>
      </c>
      <c r="E5" s="43">
        <f t="shared" si="3"/>
        <v>1637107767.8899999</v>
      </c>
      <c r="F5" s="43">
        <f t="shared" si="3"/>
        <v>1754869215.2199998</v>
      </c>
      <c r="G5" s="43">
        <f t="shared" ref="G5:H5" si="4">SUM(G2:G4)</f>
        <v>1705838558.02</v>
      </c>
      <c r="H5" s="43">
        <f t="shared" si="4"/>
        <v>1942366979.0200002</v>
      </c>
      <c r="I5" s="43">
        <f t="shared" si="3"/>
        <v>2056433579.1199999</v>
      </c>
      <c r="J5" s="43">
        <f t="shared" si="0"/>
        <v>85.225706309161382</v>
      </c>
      <c r="K5" s="44">
        <f t="shared" si="1"/>
        <v>5.8725565936850188</v>
      </c>
      <c r="L5" s="43">
        <f>SUM(L2:L4)</f>
        <v>1792876622.5099998</v>
      </c>
      <c r="M5" s="45">
        <f>IF(I5&gt;0,L5/I5*100,"-")</f>
        <v>87.183784621782777</v>
      </c>
    </row>
    <row r="6" spans="1:13" x14ac:dyDescent="0.3">
      <c r="A6" s="55" t="s">
        <v>22</v>
      </c>
      <c r="B6" s="56">
        <f>Entrate_Uscite!B6</f>
        <v>0</v>
      </c>
      <c r="C6" s="56">
        <f>Entrate_Uscite!E6</f>
        <v>0</v>
      </c>
      <c r="D6" s="56">
        <f>Entrate_Uscite!H6</f>
        <v>0</v>
      </c>
      <c r="E6" s="56">
        <f>Entrate_Uscite!K6</f>
        <v>0</v>
      </c>
      <c r="F6" s="56">
        <f>Entrate_Uscite!N6</f>
        <v>0</v>
      </c>
      <c r="G6" s="56">
        <f>Entrate_Uscite!Q6</f>
        <v>0</v>
      </c>
      <c r="H6" s="56">
        <f>Entrate_Uscite!T6</f>
        <v>0</v>
      </c>
      <c r="I6" s="56">
        <f>Entrate_Uscite!W6</f>
        <v>0</v>
      </c>
      <c r="J6" s="56">
        <f t="shared" si="0"/>
        <v>0</v>
      </c>
      <c r="K6" s="57" t="str">
        <f t="shared" si="1"/>
        <v>-</v>
      </c>
      <c r="L6" s="56">
        <f>Entrate_Uscite!X6</f>
        <v>0</v>
      </c>
      <c r="M6" s="58" t="str">
        <f t="shared" si="2"/>
        <v>-</v>
      </c>
    </row>
    <row r="7" spans="1:13" x14ac:dyDescent="0.3">
      <c r="A7" s="55" t="s">
        <v>23</v>
      </c>
      <c r="B7" s="56">
        <f>Entrate_Uscite!B7</f>
        <v>181482138.09</v>
      </c>
      <c r="C7" s="56">
        <f>Entrate_Uscite!E7</f>
        <v>242526838.47</v>
      </c>
      <c r="D7" s="56">
        <f>Entrate_Uscite!H7</f>
        <v>412120071.24000001</v>
      </c>
      <c r="E7" s="56">
        <f>Entrate_Uscite!K7</f>
        <v>331352568.26999998</v>
      </c>
      <c r="F7" s="56">
        <f>Entrate_Uscite!N7</f>
        <v>247140828.88999999</v>
      </c>
      <c r="G7" s="56">
        <f>Entrate_Uscite!Q7</f>
        <v>218629583</v>
      </c>
      <c r="H7" s="56">
        <f>Entrate_Uscite!T7</f>
        <v>278125846.76999998</v>
      </c>
      <c r="I7" s="56">
        <f>Entrate_Uscite!W7</f>
        <v>276435087.44</v>
      </c>
      <c r="J7" s="56">
        <f t="shared" si="0"/>
        <v>11.456424274977284</v>
      </c>
      <c r="K7" s="57">
        <f t="shared" si="1"/>
        <v>-0.60791161613906297</v>
      </c>
      <c r="L7" s="56">
        <f>Entrate_Uscite!X7</f>
        <v>38102861</v>
      </c>
      <c r="M7" s="58">
        <f t="shared" si="2"/>
        <v>13.783655813327314</v>
      </c>
    </row>
    <row r="8" spans="1:13" x14ac:dyDescent="0.3">
      <c r="A8" s="55" t="s">
        <v>24</v>
      </c>
      <c r="B8" s="56">
        <f>Entrate_Uscite!B8</f>
        <v>50232930.200000003</v>
      </c>
      <c r="C8" s="56">
        <f>Entrate_Uscite!E8</f>
        <v>73673343.950000003</v>
      </c>
      <c r="D8" s="56">
        <f>Entrate_Uscite!H8</f>
        <v>78157042.780000001</v>
      </c>
      <c r="E8" s="56">
        <f>Entrate_Uscite!K8</f>
        <v>61156313.299999997</v>
      </c>
      <c r="F8" s="56">
        <f>Entrate_Uscite!N8</f>
        <v>43431530.469999999</v>
      </c>
      <c r="G8" s="56">
        <f>Entrate_Uscite!Q8</f>
        <v>70956778.640000001</v>
      </c>
      <c r="H8" s="56">
        <f>Entrate_Uscite!T8</f>
        <v>49396482.899999999</v>
      </c>
      <c r="I8" s="56">
        <f>Entrate_Uscite!W8</f>
        <v>46431811.229999997</v>
      </c>
      <c r="J8" s="56">
        <f t="shared" si="0"/>
        <v>1.9242945395706776</v>
      </c>
      <c r="K8" s="57">
        <f t="shared" si="1"/>
        <v>-6.001786961233222</v>
      </c>
      <c r="L8" s="56">
        <f>Entrate_Uscite!X8</f>
        <v>35779775</v>
      </c>
      <c r="M8" s="58">
        <f t="shared" si="2"/>
        <v>77.058753583324304</v>
      </c>
    </row>
    <row r="9" spans="1:13" x14ac:dyDescent="0.3">
      <c r="A9" s="55" t="s">
        <v>25</v>
      </c>
      <c r="B9" s="56">
        <f>Entrate_Uscite!B9</f>
        <v>508519.56</v>
      </c>
      <c r="C9" s="56">
        <f>Entrate_Uscite!E9</f>
        <v>580234.74</v>
      </c>
      <c r="D9" s="56">
        <f>Entrate_Uscite!H9</f>
        <v>710491.89</v>
      </c>
      <c r="E9" s="56">
        <f>Entrate_Uscite!K9</f>
        <v>236376</v>
      </c>
      <c r="F9" s="56">
        <f>Entrate_Uscite!N9</f>
        <v>137830.87</v>
      </c>
      <c r="G9" s="56">
        <f>Entrate_Uscite!Q9</f>
        <v>91392.65</v>
      </c>
      <c r="H9" s="56">
        <f>Entrate_Uscite!T9</f>
        <v>286649.36</v>
      </c>
      <c r="I9" s="56">
        <f>Entrate_Uscite!W9</f>
        <v>59227.9</v>
      </c>
      <c r="J9" s="56">
        <f t="shared" si="0"/>
        <v>2.4546086301841246E-3</v>
      </c>
      <c r="K9" s="57">
        <f t="shared" si="1"/>
        <v>-79.337857234357685</v>
      </c>
      <c r="L9" s="56">
        <f>Entrate_Uscite!X9</f>
        <v>59227.9</v>
      </c>
      <c r="M9" s="58">
        <f t="shared" si="2"/>
        <v>100</v>
      </c>
    </row>
    <row r="10" spans="1:13" x14ac:dyDescent="0.3">
      <c r="A10" s="55" t="s">
        <v>26</v>
      </c>
      <c r="B10" s="56">
        <f>Entrate_Uscite!B10</f>
        <v>654822.47</v>
      </c>
      <c r="C10" s="56">
        <f>Entrate_Uscite!E10</f>
        <v>270697.95</v>
      </c>
      <c r="D10" s="56">
        <f>Entrate_Uscite!H10</f>
        <v>1149.45</v>
      </c>
      <c r="E10" s="56">
        <f>Entrate_Uscite!K10</f>
        <v>0</v>
      </c>
      <c r="F10" s="56">
        <f>Entrate_Uscite!N10</f>
        <v>0</v>
      </c>
      <c r="G10" s="56">
        <f>Entrate_Uscite!Q10</f>
        <v>0</v>
      </c>
      <c r="H10" s="56">
        <f>Entrate_Uscite!T10</f>
        <v>0</v>
      </c>
      <c r="I10" s="56">
        <f>Entrate_Uscite!W10</f>
        <v>0</v>
      </c>
      <c r="J10" s="56">
        <f t="shared" si="0"/>
        <v>0</v>
      </c>
      <c r="K10" s="57" t="str">
        <f t="shared" si="1"/>
        <v>-</v>
      </c>
      <c r="L10" s="56">
        <f>Entrate_Uscite!X10</f>
        <v>0</v>
      </c>
      <c r="M10" s="58" t="str">
        <f t="shared" si="2"/>
        <v>-</v>
      </c>
    </row>
    <row r="11" spans="1:13" x14ac:dyDescent="0.3">
      <c r="A11" s="4" t="s">
        <v>31</v>
      </c>
      <c r="B11" s="46">
        <f t="shared" ref="B11:I11" si="5">SUM(B6:B10)</f>
        <v>232878410.32000002</v>
      </c>
      <c r="C11" s="46">
        <f t="shared" si="5"/>
        <v>317051115.11000001</v>
      </c>
      <c r="D11" s="46">
        <f t="shared" si="5"/>
        <v>490988755.35999995</v>
      </c>
      <c r="E11" s="46">
        <f t="shared" si="5"/>
        <v>392745257.56999999</v>
      </c>
      <c r="F11" s="46">
        <f t="shared" si="5"/>
        <v>290710190.23000002</v>
      </c>
      <c r="G11" s="46">
        <f t="shared" ref="G11" si="6">SUM(G6:G10)</f>
        <v>289677754.28999996</v>
      </c>
      <c r="H11" s="46">
        <f t="shared" ref="H11" si="7">SUM(H6:H10)</f>
        <v>327808979.02999997</v>
      </c>
      <c r="I11" s="46">
        <f t="shared" si="5"/>
        <v>322926126.56999999</v>
      </c>
      <c r="J11" s="46">
        <f t="shared" si="0"/>
        <v>13.383173423178146</v>
      </c>
      <c r="K11" s="44">
        <f t="shared" si="1"/>
        <v>-1.4895420114630582</v>
      </c>
      <c r="L11" s="46">
        <f>SUM(L6:L10)</f>
        <v>73941863.900000006</v>
      </c>
      <c r="M11" s="45">
        <f>IF(I11&gt;0,L11/I11*100,"-")</f>
        <v>22.897454809675114</v>
      </c>
    </row>
    <row r="12" spans="1:13" x14ac:dyDescent="0.3">
      <c r="A12" s="55" t="s">
        <v>27</v>
      </c>
      <c r="B12" s="56">
        <f>Entrate_Uscite!B11</f>
        <v>0</v>
      </c>
      <c r="C12" s="56">
        <f>Entrate_Uscite!E11</f>
        <v>0</v>
      </c>
      <c r="D12" s="56">
        <f>Entrate_Uscite!H11</f>
        <v>0</v>
      </c>
      <c r="E12" s="56">
        <f>Entrate_Uscite!K11</f>
        <v>0</v>
      </c>
      <c r="F12" s="56">
        <f>Entrate_Uscite!N11</f>
        <v>0</v>
      </c>
      <c r="G12" s="56">
        <f>Entrate_Uscite!Q11</f>
        <v>0</v>
      </c>
      <c r="H12" s="56">
        <f>Entrate_Uscite!T11</f>
        <v>0</v>
      </c>
      <c r="I12" s="56">
        <f>Entrate_Uscite!W11</f>
        <v>0</v>
      </c>
      <c r="J12" s="56">
        <f t="shared" si="0"/>
        <v>0</v>
      </c>
      <c r="K12" s="57" t="str">
        <f t="shared" si="1"/>
        <v>-</v>
      </c>
      <c r="L12" s="56">
        <f>Entrate_Uscite!X11</f>
        <v>0</v>
      </c>
      <c r="M12" s="58" t="str">
        <f t="shared" si="2"/>
        <v>-</v>
      </c>
    </row>
    <row r="13" spans="1:13" x14ac:dyDescent="0.3">
      <c r="A13" s="55" t="s">
        <v>28</v>
      </c>
      <c r="B13" s="56">
        <f>Entrate_Uscite!B12</f>
        <v>0</v>
      </c>
      <c r="C13" s="56">
        <f>Entrate_Uscite!E12</f>
        <v>0</v>
      </c>
      <c r="D13" s="56">
        <f>Entrate_Uscite!H12</f>
        <v>0</v>
      </c>
      <c r="E13" s="56">
        <f>Entrate_Uscite!K12</f>
        <v>0</v>
      </c>
      <c r="F13" s="56">
        <f>Entrate_Uscite!N12</f>
        <v>0</v>
      </c>
      <c r="G13" s="56">
        <f>Entrate_Uscite!Q12</f>
        <v>0</v>
      </c>
      <c r="H13" s="56">
        <f>Entrate_Uscite!T12</f>
        <v>0</v>
      </c>
      <c r="I13" s="56">
        <f>Entrate_Uscite!W12</f>
        <v>0</v>
      </c>
      <c r="J13" s="56">
        <f t="shared" si="0"/>
        <v>0</v>
      </c>
      <c r="K13" s="57" t="str">
        <f t="shared" si="1"/>
        <v>-</v>
      </c>
      <c r="L13" s="56">
        <f>Entrate_Uscite!X12</f>
        <v>0</v>
      </c>
      <c r="M13" s="58" t="str">
        <f t="shared" si="2"/>
        <v>-</v>
      </c>
    </row>
    <row r="14" spans="1:13" x14ac:dyDescent="0.3">
      <c r="A14" s="55" t="s">
        <v>29</v>
      </c>
      <c r="B14" s="56">
        <f>Entrate_Uscite!B13</f>
        <v>37699095.149999999</v>
      </c>
      <c r="C14" s="56">
        <f>Entrate_Uscite!E13</f>
        <v>18854037.399999999</v>
      </c>
      <c r="D14" s="56">
        <f>Entrate_Uscite!H13</f>
        <v>30249929.379999999</v>
      </c>
      <c r="E14" s="56">
        <f>Entrate_Uscite!K13</f>
        <v>193312857.91999999</v>
      </c>
      <c r="F14" s="56">
        <f>Entrate_Uscite!N13</f>
        <v>178891513.86000001</v>
      </c>
      <c r="G14" s="56">
        <f>Entrate_Uscite!Q13</f>
        <v>76874076.189999998</v>
      </c>
      <c r="H14" s="56">
        <f>Entrate_Uscite!T13</f>
        <v>34525947.490000002</v>
      </c>
      <c r="I14" s="56">
        <f>Entrate_Uscite!W13</f>
        <v>33566708.390000001</v>
      </c>
      <c r="J14" s="56">
        <f t="shared" si="0"/>
        <v>1.3911202676604753</v>
      </c>
      <c r="K14" s="57">
        <f t="shared" si="1"/>
        <v>-2.7783136155143353</v>
      </c>
      <c r="L14" s="56">
        <f>Entrate_Uscite!X13</f>
        <v>50</v>
      </c>
      <c r="M14" s="58">
        <f t="shared" si="2"/>
        <v>1.4895711375410199E-4</v>
      </c>
    </row>
    <row r="15" spans="1:13" x14ac:dyDescent="0.3">
      <c r="A15" s="4" t="s">
        <v>32</v>
      </c>
      <c r="B15" s="43">
        <f t="shared" ref="B15:I15" si="8">SUM(B12:B14)</f>
        <v>37699095.149999999</v>
      </c>
      <c r="C15" s="43">
        <f t="shared" si="8"/>
        <v>18854037.399999999</v>
      </c>
      <c r="D15" s="43">
        <f t="shared" si="8"/>
        <v>30249929.379999999</v>
      </c>
      <c r="E15" s="43">
        <f t="shared" si="8"/>
        <v>193312857.91999999</v>
      </c>
      <c r="F15" s="43">
        <f t="shared" si="8"/>
        <v>178891513.86000001</v>
      </c>
      <c r="G15" s="43">
        <f t="shared" ref="G15" si="9">SUM(G12:G14)</f>
        <v>76874076.189999998</v>
      </c>
      <c r="H15" s="43">
        <f t="shared" ref="H15" si="10">SUM(H12:H14)</f>
        <v>34525947.490000002</v>
      </c>
      <c r="I15" s="43">
        <f t="shared" si="8"/>
        <v>33566708.390000001</v>
      </c>
      <c r="J15" s="43">
        <f t="shared" si="0"/>
        <v>1.3911202676604753</v>
      </c>
      <c r="K15" s="44">
        <f t="shared" si="1"/>
        <v>-2.7783136155143353</v>
      </c>
      <c r="L15" s="43">
        <f>SUM(L12:L14)</f>
        <v>50</v>
      </c>
      <c r="M15" s="45">
        <f t="shared" si="2"/>
        <v>1.4895711375410199E-4</v>
      </c>
    </row>
    <row r="16" spans="1:13" x14ac:dyDescent="0.3">
      <c r="A16" s="47" t="s">
        <v>344</v>
      </c>
      <c r="B16" s="48">
        <f>B5+B11+B15</f>
        <v>1831248473.0500002</v>
      </c>
      <c r="C16" s="48">
        <f t="shared" ref="C16:I16" si="11">C5+C11+C15</f>
        <v>1898751306.7400002</v>
      </c>
      <c r="D16" s="48">
        <f t="shared" ref="D16:H16" si="12">D5+D11+D15</f>
        <v>2096426098.53</v>
      </c>
      <c r="E16" s="48">
        <f t="shared" si="12"/>
        <v>2223165883.3799996</v>
      </c>
      <c r="F16" s="48">
        <f t="shared" si="12"/>
        <v>2224470919.3099999</v>
      </c>
      <c r="G16" s="48">
        <f t="shared" si="12"/>
        <v>2072390388.5</v>
      </c>
      <c r="H16" s="48">
        <f t="shared" si="12"/>
        <v>2304701905.54</v>
      </c>
      <c r="I16" s="48">
        <f t="shared" si="11"/>
        <v>2412926414.0799999</v>
      </c>
      <c r="J16" s="48">
        <f t="shared" si="0"/>
        <v>100</v>
      </c>
      <c r="K16" s="49">
        <f t="shared" si="1"/>
        <v>4.6958137310448649</v>
      </c>
      <c r="L16" s="48">
        <f t="shared" ref="L16" si="13">L5+L11+L15</f>
        <v>1866818536.4099998</v>
      </c>
      <c r="M16" s="50">
        <f t="shared" si="2"/>
        <v>77.367404389817665</v>
      </c>
    </row>
    <row r="17" spans="1:13" x14ac:dyDescent="0.3">
      <c r="A17" s="4" t="s">
        <v>33</v>
      </c>
      <c r="B17" s="43">
        <f>Entrate_Uscite!B17</f>
        <v>0</v>
      </c>
      <c r="C17" s="43">
        <f>Entrate_Uscite!E17</f>
        <v>34416028.689999998</v>
      </c>
      <c r="D17" s="43">
        <f>Entrate_Uscite!H17</f>
        <v>16816369.239999998</v>
      </c>
      <c r="E17" s="43">
        <f>Entrate_Uscite!K17</f>
        <v>0</v>
      </c>
      <c r="F17" s="43">
        <f>Entrate_Uscite!N17</f>
        <v>0</v>
      </c>
      <c r="G17" s="43">
        <f>Entrate_Uscite!Q17</f>
        <v>0</v>
      </c>
      <c r="H17" s="43">
        <f>Entrate_Uscite!T17</f>
        <v>0</v>
      </c>
      <c r="I17" s="43">
        <f>Entrate_Uscite!W17</f>
        <v>0</v>
      </c>
      <c r="J17" s="43">
        <f t="shared" si="0"/>
        <v>0</v>
      </c>
      <c r="K17" s="44" t="str">
        <f t="shared" si="1"/>
        <v>-</v>
      </c>
      <c r="L17" s="43">
        <f>Entrate_Uscite!X17</f>
        <v>0</v>
      </c>
      <c r="M17" s="45" t="str">
        <f t="shared" si="2"/>
        <v>-</v>
      </c>
    </row>
    <row r="18" spans="1:13" x14ac:dyDescent="0.3">
      <c r="A18" s="4" t="s">
        <v>34</v>
      </c>
      <c r="B18" s="43">
        <f>Entrate_Uscite!B18</f>
        <v>0</v>
      </c>
      <c r="C18" s="43">
        <f>Entrate_Uscite!E18</f>
        <v>0</v>
      </c>
      <c r="D18" s="43">
        <f>Entrate_Uscite!H18</f>
        <v>0</v>
      </c>
      <c r="E18" s="43">
        <f>Entrate_Uscite!K18</f>
        <v>0</v>
      </c>
      <c r="F18" s="43">
        <f>Entrate_Uscite!N18</f>
        <v>0</v>
      </c>
      <c r="G18" s="43">
        <f>Entrate_Uscite!Q18</f>
        <v>0</v>
      </c>
      <c r="H18" s="43">
        <f>Entrate_Uscite!T18</f>
        <v>0</v>
      </c>
      <c r="I18" s="43">
        <f>Entrate_Uscite!W18</f>
        <v>0</v>
      </c>
      <c r="J18" s="43">
        <f t="shared" si="0"/>
        <v>0</v>
      </c>
      <c r="K18" s="44" t="str">
        <f t="shared" si="1"/>
        <v>-</v>
      </c>
      <c r="L18" s="43">
        <f>Entrate_Uscite!X18</f>
        <v>0</v>
      </c>
      <c r="M18" s="45" t="str">
        <f t="shared" si="2"/>
        <v>-</v>
      </c>
    </row>
    <row r="19" spans="1:13" x14ac:dyDescent="0.3">
      <c r="A19" s="4" t="s">
        <v>35</v>
      </c>
      <c r="B19" s="43">
        <f>Entrate_Uscite!B19</f>
        <v>268580557.92000002</v>
      </c>
      <c r="C19" s="43">
        <f>Entrate_Uscite!E19</f>
        <v>183596298.50999999</v>
      </c>
      <c r="D19" s="43">
        <f>Entrate_Uscite!H19</f>
        <v>162242915.12</v>
      </c>
      <c r="E19" s="43">
        <f>Entrate_Uscite!K19</f>
        <v>231528482.81999999</v>
      </c>
      <c r="F19" s="43">
        <f>Entrate_Uscite!N19</f>
        <v>222543206.33000001</v>
      </c>
      <c r="G19" s="43">
        <f>Entrate_Uscite!Q19</f>
        <v>147145544.66</v>
      </c>
      <c r="H19" s="43">
        <f>Entrate_Uscite!T19</f>
        <v>133457557.16</v>
      </c>
      <c r="I19" s="43">
        <f>Entrate_Uscite!W19</f>
        <v>170460299.41</v>
      </c>
      <c r="J19" s="43"/>
      <c r="K19" s="44">
        <f t="shared" si="1"/>
        <v>27.726224754464852</v>
      </c>
      <c r="L19" s="43">
        <f>Entrate_Uscite!X19</f>
        <v>169334859.5</v>
      </c>
      <c r="M19" s="45">
        <f t="shared" si="2"/>
        <v>99.339764206741748</v>
      </c>
    </row>
    <row r="20" spans="1:13" x14ac:dyDescent="0.3">
      <c r="A20" s="47" t="s">
        <v>36</v>
      </c>
      <c r="B20" s="48">
        <f t="shared" ref="B20:I20" si="14">B5+B11+B15+B17+B18+B19</f>
        <v>2099829030.9700003</v>
      </c>
      <c r="C20" s="48">
        <f t="shared" si="14"/>
        <v>2116763633.9400003</v>
      </c>
      <c r="D20" s="48">
        <f t="shared" si="14"/>
        <v>2275485382.8899999</v>
      </c>
      <c r="E20" s="48">
        <f t="shared" si="14"/>
        <v>2454694366.1999998</v>
      </c>
      <c r="F20" s="48">
        <f t="shared" si="14"/>
        <v>2447014125.6399999</v>
      </c>
      <c r="G20" s="48">
        <f t="shared" ref="G20:H20" si="15">G5+G11+G15+G17+G18+G19</f>
        <v>2219535933.1599998</v>
      </c>
      <c r="H20" s="48">
        <f t="shared" si="15"/>
        <v>2438159462.6999998</v>
      </c>
      <c r="I20" s="48">
        <f t="shared" si="14"/>
        <v>2583386713.4899998</v>
      </c>
      <c r="J20" s="48"/>
      <c r="K20" s="49">
        <f t="shared" si="1"/>
        <v>5.9564295531833835</v>
      </c>
      <c r="L20" s="48">
        <f>L5+L11+L15+L17+L18+L19</f>
        <v>2036153395.9099998</v>
      </c>
      <c r="M20" s="50">
        <f t="shared" si="2"/>
        <v>78.817212509360601</v>
      </c>
    </row>
    <row r="21" spans="1:13" x14ac:dyDescent="0.3">
      <c r="A21" s="38" t="s">
        <v>37</v>
      </c>
      <c r="B21" s="51">
        <f t="shared" ref="B21:I21" si="16">B20-B19</f>
        <v>1831248473.0500002</v>
      </c>
      <c r="C21" s="51">
        <f t="shared" si="16"/>
        <v>1933167335.4300003</v>
      </c>
      <c r="D21" s="51">
        <f t="shared" si="16"/>
        <v>2113242467.77</v>
      </c>
      <c r="E21" s="51">
        <f t="shared" si="16"/>
        <v>2223165883.3799996</v>
      </c>
      <c r="F21" s="51">
        <f t="shared" si="16"/>
        <v>2224470919.3099999</v>
      </c>
      <c r="G21" s="51">
        <f t="shared" ref="G21:H21" si="17">G20-G19</f>
        <v>2072390388.4999998</v>
      </c>
      <c r="H21" s="51">
        <f t="shared" si="17"/>
        <v>2304701905.54</v>
      </c>
      <c r="I21" s="51">
        <f t="shared" si="16"/>
        <v>2412926414.0799999</v>
      </c>
      <c r="J21" s="51">
        <f t="shared" si="0"/>
        <v>100</v>
      </c>
      <c r="K21" s="52">
        <f t="shared" si="1"/>
        <v>4.6958137310448649</v>
      </c>
      <c r="L21" s="51">
        <f>L20-L19</f>
        <v>1866818536.4099998</v>
      </c>
      <c r="M21" s="53">
        <f t="shared" si="2"/>
        <v>77.367404389817665</v>
      </c>
    </row>
    <row r="22" spans="1:13" x14ac:dyDescent="0.3">
      <c r="L22" s="6"/>
    </row>
    <row r="23" spans="1:13" x14ac:dyDescent="0.3">
      <c r="L23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workbookViewId="0">
      <selection activeCell="K1" sqref="K1:K31"/>
    </sheetView>
  </sheetViews>
  <sheetFormatPr defaultRowHeight="14.4" x14ac:dyDescent="0.3"/>
  <cols>
    <col min="1" max="1" width="50.6640625" bestFit="1" customWidth="1"/>
    <col min="2" max="2" width="15.33203125" bestFit="1" customWidth="1"/>
    <col min="3" max="9" width="14.33203125" bestFit="1" customWidth="1"/>
    <col min="10" max="10" width="8.5546875" customWidth="1"/>
    <col min="11" max="11" width="8.109375" customWidth="1"/>
    <col min="12" max="12" width="14.33203125" bestFit="1" customWidth="1"/>
    <col min="13" max="13" width="7" bestFit="1" customWidth="1"/>
  </cols>
  <sheetData>
    <row r="1" spans="1:13" ht="28.8" x14ac:dyDescent="0.3">
      <c r="A1" s="41"/>
      <c r="B1" s="42">
        <v>2016</v>
      </c>
      <c r="C1" s="42">
        <v>2017</v>
      </c>
      <c r="D1" s="42">
        <v>2018</v>
      </c>
      <c r="E1" s="42">
        <v>2019</v>
      </c>
      <c r="F1" s="42">
        <v>2020</v>
      </c>
      <c r="G1" s="42">
        <v>2021</v>
      </c>
      <c r="H1" s="42">
        <v>2022</v>
      </c>
      <c r="I1" s="42">
        <v>2023</v>
      </c>
      <c r="J1" s="54" t="s">
        <v>296</v>
      </c>
      <c r="K1" s="42" t="s">
        <v>233</v>
      </c>
      <c r="L1" s="54" t="s">
        <v>373</v>
      </c>
      <c r="M1" s="42" t="s">
        <v>335</v>
      </c>
    </row>
    <row r="2" spans="1:13" x14ac:dyDescent="0.3">
      <c r="A2" s="59" t="s">
        <v>269</v>
      </c>
      <c r="B2" s="56">
        <f>Entrate_Uscite!B23</f>
        <v>59880138.939999998</v>
      </c>
      <c r="C2" s="56">
        <f>Entrate_Uscite!E23</f>
        <v>59676308.130000003</v>
      </c>
      <c r="D2" s="56">
        <f>Entrate_Uscite!H23</f>
        <v>66884561.710000001</v>
      </c>
      <c r="E2" s="56">
        <f>Entrate_Uscite!K23</f>
        <v>69944914.439999998</v>
      </c>
      <c r="F2" s="56">
        <f>Entrate_Uscite!N23</f>
        <v>59827641.149999999</v>
      </c>
      <c r="G2" s="56">
        <f>Entrate_Uscite!Q23</f>
        <v>54158488.280000001</v>
      </c>
      <c r="H2" s="56">
        <f>Entrate_Uscite!T23</f>
        <v>52109911.460000001</v>
      </c>
      <c r="I2" s="56">
        <f>Entrate_Uscite!W23</f>
        <v>51017417.319999993</v>
      </c>
      <c r="J2" s="56">
        <f>I2/I$31*100</f>
        <v>2.1715790714107452</v>
      </c>
      <c r="K2" s="57">
        <f>IF(H2&gt;0,I2/H2*100-100,"-")</f>
        <v>-2.0965188951407328</v>
      </c>
      <c r="L2" s="56">
        <f>Entrate_Uscite!X23</f>
        <v>50626822.219999999</v>
      </c>
      <c r="M2" s="58">
        <f>IF(I2&gt;0,L2/I2*100,"-")</f>
        <v>99.234388723462743</v>
      </c>
    </row>
    <row r="3" spans="1:13" x14ac:dyDescent="0.3">
      <c r="A3" s="59" t="s">
        <v>270</v>
      </c>
      <c r="B3" s="56">
        <f>Entrate_Uscite!B24</f>
        <v>4613627.04</v>
      </c>
      <c r="C3" s="56">
        <f>Entrate_Uscite!E24</f>
        <v>5070057.63</v>
      </c>
      <c r="D3" s="56">
        <f>Entrate_Uscite!H24</f>
        <v>4691335.17</v>
      </c>
      <c r="E3" s="56">
        <f>Entrate_Uscite!K24</f>
        <v>5575455.6200000001</v>
      </c>
      <c r="F3" s="56">
        <f>Entrate_Uscite!N24</f>
        <v>5068312</v>
      </c>
      <c r="G3" s="56">
        <f>Entrate_Uscite!Q24</f>
        <v>4335491.46</v>
      </c>
      <c r="H3" s="56">
        <f>Entrate_Uscite!T24</f>
        <v>4760908.25</v>
      </c>
      <c r="I3" s="56">
        <f>Entrate_Uscite!W24</f>
        <v>5383142.2599999998</v>
      </c>
      <c r="J3" s="56">
        <f t="shared" ref="J3:J31" si="0">I3/I$31*100</f>
        <v>0.22913584584102467</v>
      </c>
      <c r="K3" s="57">
        <f t="shared" ref="K3:K31" si="1">IF(H3&gt;0,I3/H3*100-100,"-")</f>
        <v>13.069649262827099</v>
      </c>
      <c r="L3" s="56">
        <f>Entrate_Uscite!X24</f>
        <v>5361135.18</v>
      </c>
      <c r="M3" s="58">
        <f>IF(I3&gt;0,L3/I3*100,"-")</f>
        <v>99.591185242056</v>
      </c>
    </row>
    <row r="4" spans="1:13" x14ac:dyDescent="0.3">
      <c r="A4" s="59" t="s">
        <v>271</v>
      </c>
      <c r="B4" s="56">
        <f>Entrate_Uscite!B25</f>
        <v>71686425.230000004</v>
      </c>
      <c r="C4" s="56">
        <f>Entrate_Uscite!E25</f>
        <v>85225046.290000007</v>
      </c>
      <c r="D4" s="56">
        <f>Entrate_Uscite!H25</f>
        <v>97382477.609999999</v>
      </c>
      <c r="E4" s="56">
        <f>Entrate_Uscite!K25</f>
        <v>111549381.81</v>
      </c>
      <c r="F4" s="56">
        <f>Entrate_Uscite!N25</f>
        <v>70905699.329999998</v>
      </c>
      <c r="G4" s="56">
        <f>Entrate_Uscite!Q25</f>
        <v>88262409.840000004</v>
      </c>
      <c r="H4" s="56">
        <f>Entrate_Uscite!T25</f>
        <v>118323861.44</v>
      </c>
      <c r="I4" s="56">
        <f>Entrate_Uscite!W25</f>
        <v>114589794.40000001</v>
      </c>
      <c r="J4" s="56">
        <f t="shared" si="0"/>
        <v>4.8775655920698471</v>
      </c>
      <c r="K4" s="57">
        <f t="shared" si="1"/>
        <v>-3.1558022148334572</v>
      </c>
      <c r="L4" s="56">
        <f>Entrate_Uscite!X25</f>
        <v>97817530.919999987</v>
      </c>
      <c r="M4" s="58">
        <f t="shared" ref="M4:M9" si="2">IF(I4&gt;0,L4/I4*100,"-")</f>
        <v>85.36321356729826</v>
      </c>
    </row>
    <row r="5" spans="1:13" x14ac:dyDescent="0.3">
      <c r="A5" s="59" t="s">
        <v>272</v>
      </c>
      <c r="B5" s="56">
        <f>Entrate_Uscite!B26</f>
        <v>1250568486.3800001</v>
      </c>
      <c r="C5" s="56">
        <f>Entrate_Uscite!E26</f>
        <v>1310665502.3800001</v>
      </c>
      <c r="D5" s="56">
        <f>Entrate_Uscite!H26</f>
        <v>1280617962.25</v>
      </c>
      <c r="E5" s="56">
        <f>Entrate_Uscite!K26</f>
        <v>1304350110.8099999</v>
      </c>
      <c r="F5" s="56">
        <f>Entrate_Uscite!N26</f>
        <v>1415051594.3499999</v>
      </c>
      <c r="G5" s="56">
        <f>Entrate_Uscite!Q26</f>
        <v>1391832263.0599999</v>
      </c>
      <c r="H5" s="56">
        <f>Entrate_Uscite!T26</f>
        <v>1519386042.96</v>
      </c>
      <c r="I5" s="56">
        <f>Entrate_Uscite!W26</f>
        <v>1651748357.3599999</v>
      </c>
      <c r="J5" s="56">
        <f t="shared" si="0"/>
        <v>70.307403873106395</v>
      </c>
      <c r="K5" s="57">
        <f t="shared" si="1"/>
        <v>8.7115657678503737</v>
      </c>
      <c r="L5" s="56">
        <f>Entrate_Uscite!X26</f>
        <v>1557669669.8600001</v>
      </c>
      <c r="M5" s="58">
        <f t="shared" si="2"/>
        <v>94.304296590894367</v>
      </c>
    </row>
    <row r="6" spans="1:13" x14ac:dyDescent="0.3">
      <c r="A6" s="59" t="s">
        <v>273</v>
      </c>
      <c r="B6" s="56">
        <f>Entrate_Uscite!B29</f>
        <v>7260057.7800000003</v>
      </c>
      <c r="C6" s="56">
        <f>Entrate_Uscite!E29</f>
        <v>6235613.7300000004</v>
      </c>
      <c r="D6" s="56">
        <f>Entrate_Uscite!H29</f>
        <v>7320424.29</v>
      </c>
      <c r="E6" s="56">
        <f>Entrate_Uscite!K29</f>
        <v>5765523.7300000004</v>
      </c>
      <c r="F6" s="56">
        <f>Entrate_Uscite!N29</f>
        <v>6225752.8700000001</v>
      </c>
      <c r="G6" s="56">
        <f>Entrate_Uscite!Q29</f>
        <v>5996976.9699999997</v>
      </c>
      <c r="H6" s="56">
        <f>Entrate_Uscite!T29</f>
        <v>6457027.21</v>
      </c>
      <c r="I6" s="56">
        <f>Entrate_Uscite!W29</f>
        <v>7413198.2499999991</v>
      </c>
      <c r="J6" s="56">
        <f t="shared" si="0"/>
        <v>0.31554608244756915</v>
      </c>
      <c r="K6" s="57">
        <f t="shared" si="1"/>
        <v>14.808223798703793</v>
      </c>
      <c r="L6" s="56">
        <f>Entrate_Uscite!X29</f>
        <v>7413198.2499999991</v>
      </c>
      <c r="M6" s="58">
        <f t="shared" si="2"/>
        <v>100</v>
      </c>
    </row>
    <row r="7" spans="1:13" x14ac:dyDescent="0.3">
      <c r="A7" s="59" t="s">
        <v>274</v>
      </c>
      <c r="B7" s="56">
        <f>Entrate_Uscite!B30</f>
        <v>0</v>
      </c>
      <c r="C7" s="56">
        <f>Entrate_Uscite!E30</f>
        <v>0</v>
      </c>
      <c r="D7" s="56">
        <f>Entrate_Uscite!H30</f>
        <v>0</v>
      </c>
      <c r="E7" s="56">
        <f>Entrate_Uscite!K30</f>
        <v>0</v>
      </c>
      <c r="F7" s="56">
        <f>Entrate_Uscite!N30</f>
        <v>0</v>
      </c>
      <c r="G7" s="56">
        <f>Entrate_Uscite!Q30</f>
        <v>0</v>
      </c>
      <c r="H7" s="56">
        <f>Entrate_Uscite!T30</f>
        <v>0</v>
      </c>
      <c r="I7" s="56">
        <f>Entrate_Uscite!W30</f>
        <v>0</v>
      </c>
      <c r="J7" s="56">
        <f t="shared" si="0"/>
        <v>0</v>
      </c>
      <c r="K7" s="57" t="str">
        <f t="shared" si="1"/>
        <v>-</v>
      </c>
      <c r="L7" s="56">
        <f>Entrate_Uscite!X30</f>
        <v>0</v>
      </c>
      <c r="M7" s="58" t="str">
        <f t="shared" si="2"/>
        <v>-</v>
      </c>
    </row>
    <row r="8" spans="1:13" x14ac:dyDescent="0.3">
      <c r="A8" s="59" t="s">
        <v>275</v>
      </c>
      <c r="B8" s="56">
        <f>Entrate_Uscite!B31</f>
        <v>693609.14</v>
      </c>
      <c r="C8" s="56">
        <f>Entrate_Uscite!E31</f>
        <v>980208.32</v>
      </c>
      <c r="D8" s="56">
        <f>Entrate_Uscite!H31</f>
        <v>942554.58</v>
      </c>
      <c r="E8" s="56">
        <f>Entrate_Uscite!K31</f>
        <v>655190.39</v>
      </c>
      <c r="F8" s="56">
        <f>Entrate_Uscite!N31</f>
        <v>493423.08</v>
      </c>
      <c r="G8" s="56">
        <f>Entrate_Uscite!Q31</f>
        <v>533564.43000000005</v>
      </c>
      <c r="H8" s="56">
        <f>Entrate_Uscite!T31</f>
        <v>467639.75</v>
      </c>
      <c r="I8" s="56">
        <f>Entrate_Uscite!W31</f>
        <v>10482062.49</v>
      </c>
      <c r="J8" s="56">
        <f t="shared" si="0"/>
        <v>0.44617365449387686</v>
      </c>
      <c r="K8" s="57">
        <f t="shared" si="1"/>
        <v>2141.4823568783449</v>
      </c>
      <c r="L8" s="56">
        <f>Entrate_Uscite!X31</f>
        <v>10482062.49</v>
      </c>
      <c r="M8" s="58">
        <f t="shared" si="2"/>
        <v>100</v>
      </c>
    </row>
    <row r="9" spans="1:13" x14ac:dyDescent="0.3">
      <c r="A9" s="59" t="s">
        <v>276</v>
      </c>
      <c r="B9" s="56">
        <f>Entrate_Uscite!B32</f>
        <v>1160371.6200000001</v>
      </c>
      <c r="C9" s="56">
        <f>Entrate_Uscite!E32</f>
        <v>854691.95</v>
      </c>
      <c r="D9" s="56">
        <f>Entrate_Uscite!H32</f>
        <v>708127.79</v>
      </c>
      <c r="E9" s="56">
        <f>Entrate_Uscite!K32</f>
        <v>2979154.53</v>
      </c>
      <c r="F9" s="56">
        <f>Entrate_Uscite!N32</f>
        <v>29372491.98</v>
      </c>
      <c r="G9" s="56">
        <f>Entrate_Uscite!Q32</f>
        <v>7363288.0800000001</v>
      </c>
      <c r="H9" s="56">
        <f>Entrate_Uscite!T32</f>
        <v>7587301.1699999999</v>
      </c>
      <c r="I9" s="56">
        <f>Entrate_Uscite!W32</f>
        <v>25439021.41</v>
      </c>
      <c r="J9" s="56">
        <f t="shared" si="0"/>
        <v>1.0828232668977034</v>
      </c>
      <c r="K9" s="57">
        <f t="shared" si="1"/>
        <v>235.28419183602807</v>
      </c>
      <c r="L9" s="56">
        <f>Entrate_Uscite!X32</f>
        <v>17960575.860000003</v>
      </c>
      <c r="M9" s="58">
        <f t="shared" si="2"/>
        <v>70.602463713245498</v>
      </c>
    </row>
    <row r="10" spans="1:13" x14ac:dyDescent="0.3">
      <c r="A10" s="4" t="s">
        <v>281</v>
      </c>
      <c r="B10" s="43">
        <f t="shared" ref="B10:I10" si="3">SUM(B2:B9)</f>
        <v>1395862716.1300001</v>
      </c>
      <c r="C10" s="43">
        <f t="shared" si="3"/>
        <v>1468707428.4300001</v>
      </c>
      <c r="D10" s="43">
        <f t="shared" si="3"/>
        <v>1458547443.3999999</v>
      </c>
      <c r="E10" s="43">
        <f t="shared" si="3"/>
        <v>1500819731.3299999</v>
      </c>
      <c r="F10" s="43">
        <f t="shared" si="3"/>
        <v>1586944914.7599998</v>
      </c>
      <c r="G10" s="43">
        <f t="shared" ref="G10:H10" si="4">SUM(G2:G9)</f>
        <v>1552482482.1199999</v>
      </c>
      <c r="H10" s="43">
        <f t="shared" si="4"/>
        <v>1709092692.2400002</v>
      </c>
      <c r="I10" s="43">
        <f t="shared" si="3"/>
        <v>1866072993.49</v>
      </c>
      <c r="J10" s="43">
        <f t="shared" si="0"/>
        <v>79.430227386267163</v>
      </c>
      <c r="K10" s="44">
        <f t="shared" si="1"/>
        <v>9.1850080433177368</v>
      </c>
      <c r="L10" s="43">
        <f>SUM(L2:L9)</f>
        <v>1747330994.78</v>
      </c>
      <c r="M10" s="45">
        <f t="shared" ref="M10:M17" si="5">IF(I10&gt;0,L10/I10*100,"-")</f>
        <v>93.636797749914152</v>
      </c>
    </row>
    <row r="11" spans="1:13" x14ac:dyDescent="0.3">
      <c r="A11" s="59" t="s">
        <v>277</v>
      </c>
      <c r="B11" s="56">
        <f>Entrate_Uscite!B34</f>
        <v>20715678.789999999</v>
      </c>
      <c r="C11" s="56">
        <f>Entrate_Uscite!E34</f>
        <v>48956618.939999998</v>
      </c>
      <c r="D11" s="56">
        <f>Entrate_Uscite!H34</f>
        <v>19010627.550000001</v>
      </c>
      <c r="E11" s="56">
        <f>Entrate_Uscite!K34</f>
        <v>20063614.359999999</v>
      </c>
      <c r="F11" s="56">
        <f>Entrate_Uscite!N34</f>
        <v>26755512.82</v>
      </c>
      <c r="G11" s="56">
        <f>Entrate_Uscite!Q34</f>
        <v>11978136.01</v>
      </c>
      <c r="H11" s="56">
        <f>Entrate_Uscite!T34</f>
        <v>8100620.2000000002</v>
      </c>
      <c r="I11" s="56">
        <f>Entrate_Uscite!W34</f>
        <v>12639076.560000001</v>
      </c>
      <c r="J11" s="56">
        <f t="shared" si="0"/>
        <v>0.53798791827304759</v>
      </c>
      <c r="K11" s="57">
        <f t="shared" si="1"/>
        <v>56.026035636135617</v>
      </c>
      <c r="L11" s="56">
        <f>Entrate_Uscite!X34</f>
        <v>9404816.3000000007</v>
      </c>
      <c r="M11" s="58">
        <f t="shared" si="5"/>
        <v>74.410628461293228</v>
      </c>
    </row>
    <row r="12" spans="1:13" x14ac:dyDescent="0.3">
      <c r="A12" s="59" t="s">
        <v>278</v>
      </c>
      <c r="B12" s="56">
        <f>Entrate_Uscite!B35</f>
        <v>285389488.39999998</v>
      </c>
      <c r="C12" s="56">
        <f>Entrate_Uscite!E35</f>
        <v>304369928.91000003</v>
      </c>
      <c r="D12" s="56">
        <f>Entrate_Uscite!H35</f>
        <v>413590502.30000001</v>
      </c>
      <c r="E12" s="56">
        <f>Entrate_Uscite!K35</f>
        <v>270147860.26999998</v>
      </c>
      <c r="F12" s="56">
        <f>Entrate_Uscite!N35</f>
        <v>412795565.55000001</v>
      </c>
      <c r="G12" s="56">
        <f>Entrate_Uscite!Q35</f>
        <v>323068630.45999998</v>
      </c>
      <c r="H12" s="56">
        <f>Entrate_Uscite!T35</f>
        <v>377978943.45999998</v>
      </c>
      <c r="I12" s="56">
        <f>Entrate_Uscite!W35</f>
        <v>370841377.36000001</v>
      </c>
      <c r="J12" s="56">
        <f t="shared" si="0"/>
        <v>15.785028254897767</v>
      </c>
      <c r="K12" s="57">
        <f t="shared" si="1"/>
        <v>-1.8883501907971549</v>
      </c>
      <c r="L12" s="56">
        <f>Entrate_Uscite!X35</f>
        <v>264223648.74000001</v>
      </c>
      <c r="M12" s="58">
        <f t="shared" si="5"/>
        <v>71.249775475701782</v>
      </c>
    </row>
    <row r="13" spans="1:13" x14ac:dyDescent="0.3">
      <c r="A13" s="59" t="s">
        <v>279</v>
      </c>
      <c r="B13" s="56">
        <f>Entrate_Uscite!B36</f>
        <v>60927782.530000001</v>
      </c>
      <c r="C13" s="56">
        <f>Entrate_Uscite!E36</f>
        <v>66181516.020000003</v>
      </c>
      <c r="D13" s="56">
        <f>Entrate_Uscite!H36</f>
        <v>54800895.119999997</v>
      </c>
      <c r="E13" s="56">
        <f>Entrate_Uscite!K36</f>
        <v>43404966.530000001</v>
      </c>
      <c r="F13" s="56">
        <f>Entrate_Uscite!N36</f>
        <v>39533563.560000002</v>
      </c>
      <c r="G13" s="56">
        <f>Entrate_Uscite!Q36</f>
        <v>27073899.649999999</v>
      </c>
      <c r="H13" s="56">
        <f>Entrate_Uscite!T36</f>
        <v>13931892.439999999</v>
      </c>
      <c r="I13" s="56">
        <f>Entrate_Uscite!W36</f>
        <v>47022494.049999997</v>
      </c>
      <c r="J13" s="56">
        <f t="shared" si="0"/>
        <v>2.0015333846483374</v>
      </c>
      <c r="K13" s="57">
        <f t="shared" si="1"/>
        <v>237.51691848404766</v>
      </c>
      <c r="L13" s="56">
        <f>Entrate_Uscite!X36</f>
        <v>25547314.079999998</v>
      </c>
      <c r="M13" s="58">
        <f t="shared" si="5"/>
        <v>54.329985246709811</v>
      </c>
    </row>
    <row r="14" spans="1:13" x14ac:dyDescent="0.3">
      <c r="A14" s="59" t="s">
        <v>280</v>
      </c>
      <c r="B14" s="56">
        <f>Entrate_Uscite!B37</f>
        <v>108167.4</v>
      </c>
      <c r="C14" s="56">
        <f>Entrate_Uscite!E37</f>
        <v>3000000</v>
      </c>
      <c r="D14" s="56">
        <f>Entrate_Uscite!H37</f>
        <v>0</v>
      </c>
      <c r="E14" s="56">
        <f>Entrate_Uscite!K37</f>
        <v>2999.99</v>
      </c>
      <c r="F14" s="56">
        <f>Entrate_Uscite!N37</f>
        <v>25293.53</v>
      </c>
      <c r="G14" s="56">
        <f>Entrate_Uscite!Q37</f>
        <v>0</v>
      </c>
      <c r="H14" s="56">
        <f>Entrate_Uscite!T37</f>
        <v>23347.87</v>
      </c>
      <c r="I14" s="56">
        <f>Entrate_Uscite!W37</f>
        <v>0</v>
      </c>
      <c r="J14" s="56">
        <f t="shared" si="0"/>
        <v>0</v>
      </c>
      <c r="K14" s="112">
        <f t="shared" si="1"/>
        <v>-100</v>
      </c>
      <c r="L14" s="56">
        <f>Entrate_Uscite!X37</f>
        <v>0</v>
      </c>
      <c r="M14" s="58" t="str">
        <f t="shared" si="5"/>
        <v>-</v>
      </c>
    </row>
    <row r="15" spans="1:13" x14ac:dyDescent="0.3">
      <c r="A15" s="4" t="s">
        <v>282</v>
      </c>
      <c r="B15" s="46">
        <f t="shared" ref="B15:I15" si="6">SUM(B11:B14)</f>
        <v>367141117.12</v>
      </c>
      <c r="C15" s="46">
        <f t="shared" si="6"/>
        <v>422508063.87</v>
      </c>
      <c r="D15" s="46">
        <f t="shared" si="6"/>
        <v>487402024.97000003</v>
      </c>
      <c r="E15" s="46">
        <f t="shared" si="6"/>
        <v>333619441.14999998</v>
      </c>
      <c r="F15" s="46">
        <f t="shared" si="6"/>
        <v>479109935.45999998</v>
      </c>
      <c r="G15" s="46">
        <f t="shared" ref="G15:H15" si="7">SUM(G11:G14)</f>
        <v>362120666.11999995</v>
      </c>
      <c r="H15" s="46">
        <f t="shared" si="7"/>
        <v>400034803.96999997</v>
      </c>
      <c r="I15" s="46">
        <f t="shared" si="6"/>
        <v>430502947.97000003</v>
      </c>
      <c r="J15" s="46">
        <f t="shared" si="0"/>
        <v>18.324549557819154</v>
      </c>
      <c r="K15" s="44">
        <f t="shared" si="1"/>
        <v>7.6163732999304159</v>
      </c>
      <c r="L15" s="46">
        <f>SUM(L11:L14)</f>
        <v>299175779.12</v>
      </c>
      <c r="M15" s="45">
        <f t="shared" si="5"/>
        <v>69.494478616403882</v>
      </c>
    </row>
    <row r="16" spans="1:13" x14ac:dyDescent="0.3">
      <c r="A16" s="59" t="s">
        <v>283</v>
      </c>
      <c r="B16" s="56">
        <f>Entrate_Uscite!B38</f>
        <v>5300000</v>
      </c>
      <c r="C16" s="56">
        <f>Entrate_Uscite!E38</f>
        <v>688458.83</v>
      </c>
      <c r="D16" s="56">
        <f>Entrate_Uscite!H38</f>
        <v>0</v>
      </c>
      <c r="E16" s="56">
        <f>Entrate_Uscite!K38</f>
        <v>34214.11</v>
      </c>
      <c r="F16" s="56">
        <f>Entrate_Uscite!N38</f>
        <v>0</v>
      </c>
      <c r="G16" s="56">
        <f>Entrate_Uscite!Q38</f>
        <v>5000000</v>
      </c>
      <c r="H16" s="56">
        <f>Entrate_Uscite!T38</f>
        <v>0</v>
      </c>
      <c r="I16" s="56">
        <f>Entrate_Uscite!W38</f>
        <v>0</v>
      </c>
      <c r="J16" s="56">
        <f t="shared" si="0"/>
        <v>0</v>
      </c>
      <c r="K16" s="57" t="str">
        <f t="shared" si="1"/>
        <v>-</v>
      </c>
      <c r="L16" s="56">
        <f>Entrate_Uscite!X38</f>
        <v>0</v>
      </c>
      <c r="M16" s="58" t="str">
        <f t="shared" si="5"/>
        <v>-</v>
      </c>
    </row>
    <row r="17" spans="1:13" x14ac:dyDescent="0.3">
      <c r="A17" s="59" t="s">
        <v>284</v>
      </c>
      <c r="B17" s="56">
        <f>Entrate_Uscite!B39</f>
        <v>0</v>
      </c>
      <c r="C17" s="56">
        <f>Entrate_Uscite!E39</f>
        <v>0</v>
      </c>
      <c r="D17" s="56">
        <f>Entrate_Uscite!H39</f>
        <v>0</v>
      </c>
      <c r="E17" s="56">
        <f>Entrate_Uscite!K39</f>
        <v>0</v>
      </c>
      <c r="F17" s="56">
        <f>Entrate_Uscite!N39</f>
        <v>0</v>
      </c>
      <c r="G17" s="56">
        <f>Entrate_Uscite!Q39</f>
        <v>0</v>
      </c>
      <c r="H17" s="56">
        <f>Entrate_Uscite!T39</f>
        <v>0</v>
      </c>
      <c r="I17" s="56">
        <f>Entrate_Uscite!W39</f>
        <v>0</v>
      </c>
      <c r="J17" s="56">
        <f t="shared" si="0"/>
        <v>0</v>
      </c>
      <c r="K17" s="57" t="str">
        <f t="shared" si="1"/>
        <v>-</v>
      </c>
      <c r="L17" s="56">
        <f>Entrate_Uscite!X39</f>
        <v>0</v>
      </c>
      <c r="M17" s="58" t="str">
        <f t="shared" si="5"/>
        <v>-</v>
      </c>
    </row>
    <row r="18" spans="1:13" x14ac:dyDescent="0.3">
      <c r="A18" s="59" t="s">
        <v>285</v>
      </c>
      <c r="B18" s="56">
        <f>Entrate_Uscite!B40</f>
        <v>0</v>
      </c>
      <c r="C18" s="56">
        <f>Entrate_Uscite!E40</f>
        <v>0</v>
      </c>
      <c r="D18" s="56">
        <f>Entrate_Uscite!H40</f>
        <v>0</v>
      </c>
      <c r="E18" s="56">
        <f>Entrate_Uscite!K40</f>
        <v>0</v>
      </c>
      <c r="F18" s="56">
        <f>Entrate_Uscite!N40</f>
        <v>0</v>
      </c>
      <c r="G18" s="56">
        <f>Entrate_Uscite!Q40</f>
        <v>0</v>
      </c>
      <c r="H18" s="56">
        <f>Entrate_Uscite!T40</f>
        <v>0</v>
      </c>
      <c r="I18" s="56">
        <f>Entrate_Uscite!W40</f>
        <v>0</v>
      </c>
      <c r="J18" s="56">
        <f t="shared" si="0"/>
        <v>0</v>
      </c>
      <c r="K18" s="57" t="str">
        <f t="shared" si="1"/>
        <v>-</v>
      </c>
      <c r="L18" s="56">
        <f>Entrate_Uscite!X40</f>
        <v>0</v>
      </c>
      <c r="M18" s="58" t="str">
        <f t="shared" ref="M18:M26" si="8">IF(I18&gt;0,L18/I18*100,"-")</f>
        <v>-</v>
      </c>
    </row>
    <row r="19" spans="1:13" x14ac:dyDescent="0.3">
      <c r="A19" s="59" t="s">
        <v>286</v>
      </c>
      <c r="B19" s="56">
        <f>Entrate_Uscite!B41</f>
        <v>37699095.100000001</v>
      </c>
      <c r="C19" s="56">
        <f>Entrate_Uscite!E41</f>
        <v>18854037.399999999</v>
      </c>
      <c r="D19" s="56">
        <f>Entrate_Uscite!H41</f>
        <v>30249929.379999999</v>
      </c>
      <c r="E19" s="56">
        <f>Entrate_Uscite!K41</f>
        <v>193312857.91999999</v>
      </c>
      <c r="F19" s="56">
        <f>Entrate_Uscite!N41</f>
        <v>178891513.86000001</v>
      </c>
      <c r="G19" s="56">
        <f>Entrate_Uscite!Q41</f>
        <v>76874076.189999998</v>
      </c>
      <c r="H19" s="56">
        <f>Entrate_Uscite!T41</f>
        <v>34525947.490000002</v>
      </c>
      <c r="I19" s="56">
        <f>Entrate_Uscite!W41</f>
        <v>33566708.390000001</v>
      </c>
      <c r="J19" s="56">
        <f t="shared" si="0"/>
        <v>1.4287818800912888</v>
      </c>
      <c r="K19" s="57">
        <f t="shared" si="1"/>
        <v>-2.7783136155143353</v>
      </c>
      <c r="L19" s="56">
        <f>Entrate_Uscite!X41</f>
        <v>33566708.390000001</v>
      </c>
      <c r="M19" s="58">
        <f t="shared" si="8"/>
        <v>100</v>
      </c>
    </row>
    <row r="20" spans="1:13" x14ac:dyDescent="0.3">
      <c r="A20" s="4" t="s">
        <v>287</v>
      </c>
      <c r="B20" s="43">
        <f t="shared" ref="B20:I20" si="9">SUM(B16:B19)</f>
        <v>42999095.100000001</v>
      </c>
      <c r="C20" s="43">
        <f t="shared" si="9"/>
        <v>19542496.229999997</v>
      </c>
      <c r="D20" s="43">
        <f t="shared" si="9"/>
        <v>30249929.379999999</v>
      </c>
      <c r="E20" s="43">
        <f t="shared" si="9"/>
        <v>193347072.03</v>
      </c>
      <c r="F20" s="43">
        <f t="shared" si="9"/>
        <v>178891513.86000001</v>
      </c>
      <c r="G20" s="43">
        <f t="shared" ref="G20:H20" si="10">SUM(G16:G19)</f>
        <v>81874076.189999998</v>
      </c>
      <c r="H20" s="43">
        <f t="shared" si="10"/>
        <v>34525947.490000002</v>
      </c>
      <c r="I20" s="43">
        <f t="shared" si="9"/>
        <v>33566708.390000001</v>
      </c>
      <c r="J20" s="43">
        <f t="shared" si="0"/>
        <v>1.4287818800912888</v>
      </c>
      <c r="K20" s="44">
        <f t="shared" si="1"/>
        <v>-2.7783136155143353</v>
      </c>
      <c r="L20" s="43">
        <f>SUM(L16:L19)</f>
        <v>33566708.390000001</v>
      </c>
      <c r="M20" s="40">
        <f t="shared" si="8"/>
        <v>100</v>
      </c>
    </row>
    <row r="21" spans="1:13" x14ac:dyDescent="0.3">
      <c r="A21" s="47" t="s">
        <v>345</v>
      </c>
      <c r="B21" s="48">
        <f t="shared" ref="B21:I21" si="11">B10+B15+B20</f>
        <v>1806002928.3499999</v>
      </c>
      <c r="C21" s="48">
        <f t="shared" si="11"/>
        <v>1910757988.5300002</v>
      </c>
      <c r="D21" s="48">
        <f t="shared" si="11"/>
        <v>1976199397.75</v>
      </c>
      <c r="E21" s="48">
        <f t="shared" si="11"/>
        <v>2027786244.51</v>
      </c>
      <c r="F21" s="48">
        <f t="shared" si="11"/>
        <v>2244946364.0799999</v>
      </c>
      <c r="G21" s="48">
        <f t="shared" ref="G21:H21" si="12">G10+G15+G20</f>
        <v>1996477224.4299998</v>
      </c>
      <c r="H21" s="48">
        <f t="shared" si="12"/>
        <v>2143653443.7000003</v>
      </c>
      <c r="I21" s="48">
        <f t="shared" si="11"/>
        <v>2330142649.8499999</v>
      </c>
      <c r="J21" s="48">
        <f>I21/I$31*100</f>
        <v>99.183558824177595</v>
      </c>
      <c r="K21" s="49">
        <f t="shared" si="1"/>
        <v>8.6995967887474563</v>
      </c>
      <c r="L21" s="48">
        <f>L10+L15+L20</f>
        <v>2080073482.2900002</v>
      </c>
      <c r="M21" s="50">
        <f>IF(I21&gt;0,L21/I21*100,"-")</f>
        <v>89.268074743145121</v>
      </c>
    </row>
    <row r="22" spans="1:13" x14ac:dyDescent="0.3">
      <c r="A22" s="59" t="s">
        <v>288</v>
      </c>
      <c r="B22" s="60">
        <f>Entrate_Uscite!B42</f>
        <v>1922550.96</v>
      </c>
      <c r="C22" s="60">
        <f>Entrate_Uscite!E42</f>
        <v>1980975.12</v>
      </c>
      <c r="D22" s="60">
        <f>Entrate_Uscite!H42</f>
        <v>2040637.08</v>
      </c>
      <c r="E22" s="60">
        <f>Entrate_Uscite!K42</f>
        <v>1043465.4</v>
      </c>
      <c r="F22" s="60">
        <f>Entrate_Uscite!N42</f>
        <v>0</v>
      </c>
      <c r="G22" s="60">
        <f>Entrate_Uscite!Q42</f>
        <v>0</v>
      </c>
      <c r="H22" s="60">
        <f>Entrate_Uscite!T42</f>
        <v>0</v>
      </c>
      <c r="I22" s="60">
        <f>Entrate_Uscite!W42</f>
        <v>0</v>
      </c>
      <c r="J22" s="60">
        <f t="shared" si="0"/>
        <v>0</v>
      </c>
      <c r="K22" s="61" t="str">
        <f t="shared" si="1"/>
        <v>-</v>
      </c>
      <c r="L22" s="60">
        <f>Entrate_Uscite!X42</f>
        <v>0</v>
      </c>
      <c r="M22" s="58" t="str">
        <f t="shared" si="8"/>
        <v>-</v>
      </c>
    </row>
    <row r="23" spans="1:13" x14ac:dyDescent="0.3">
      <c r="A23" s="59" t="s">
        <v>289</v>
      </c>
      <c r="B23" s="60">
        <f>Entrate_Uscite!B43</f>
        <v>0</v>
      </c>
      <c r="C23" s="60">
        <f>Entrate_Uscite!E43</f>
        <v>0</v>
      </c>
      <c r="D23" s="60">
        <f>Entrate_Uscite!H43</f>
        <v>0</v>
      </c>
      <c r="E23" s="60">
        <f>Entrate_Uscite!K43</f>
        <v>0</v>
      </c>
      <c r="F23" s="60">
        <f>Entrate_Uscite!N43</f>
        <v>0</v>
      </c>
      <c r="G23" s="60">
        <f>Entrate_Uscite!Q43</f>
        <v>0</v>
      </c>
      <c r="H23" s="60">
        <f>Entrate_Uscite!T43</f>
        <v>0</v>
      </c>
      <c r="I23" s="60">
        <f>Entrate_Uscite!W43</f>
        <v>0</v>
      </c>
      <c r="J23" s="60">
        <f t="shared" si="0"/>
        <v>0</v>
      </c>
      <c r="K23" s="61" t="str">
        <f t="shared" si="1"/>
        <v>-</v>
      </c>
      <c r="L23" s="60">
        <f>Entrate_Uscite!X43</f>
        <v>0</v>
      </c>
      <c r="M23" s="58" t="str">
        <f t="shared" si="8"/>
        <v>-</v>
      </c>
    </row>
    <row r="24" spans="1:13" x14ac:dyDescent="0.3">
      <c r="A24" s="59" t="s">
        <v>290</v>
      </c>
      <c r="B24" s="60">
        <f>Entrate_Uscite!B44</f>
        <v>41010290.100000001</v>
      </c>
      <c r="C24" s="60">
        <f>Entrate_Uscite!E44</f>
        <v>43988387.770000003</v>
      </c>
      <c r="D24" s="60">
        <f>Entrate_Uscite!H44</f>
        <v>47488940.82</v>
      </c>
      <c r="E24" s="60">
        <f>Entrate_Uscite!K44</f>
        <v>44365792.369999997</v>
      </c>
      <c r="F24" s="60">
        <f>Entrate_Uscite!N44</f>
        <v>14955692.9</v>
      </c>
      <c r="G24" s="60">
        <f>Entrate_Uscite!Q44</f>
        <v>17392847.43</v>
      </c>
      <c r="H24" s="60">
        <f>Entrate_Uscite!T44</f>
        <v>20973013.710000001</v>
      </c>
      <c r="I24" s="60">
        <f>Entrate_Uscite!W44</f>
        <v>19180844.359999999</v>
      </c>
      <c r="J24" s="60">
        <f t="shared" si="0"/>
        <v>0.81644117582239917</v>
      </c>
      <c r="K24" s="61">
        <f t="shared" si="1"/>
        <v>-8.5451207670049314</v>
      </c>
      <c r="L24" s="60">
        <f>Entrate_Uscite!X44</f>
        <v>19180844.359999999</v>
      </c>
      <c r="M24" s="58">
        <f t="shared" si="8"/>
        <v>100</v>
      </c>
    </row>
    <row r="25" spans="1:13" x14ac:dyDescent="0.3">
      <c r="A25" s="59" t="s">
        <v>291</v>
      </c>
      <c r="B25" s="60">
        <f>Entrate_Uscite!B45</f>
        <v>771478.96</v>
      </c>
      <c r="C25" s="60">
        <f>Entrate_Uscite!E45</f>
        <v>897721.32</v>
      </c>
      <c r="D25" s="60">
        <f>Entrate_Uscite!H45</f>
        <v>1042867.4</v>
      </c>
      <c r="E25" s="60">
        <f>Entrate_Uscite!K45</f>
        <v>1199067.98</v>
      </c>
      <c r="F25" s="60">
        <f>Entrate_Uscite!N45</f>
        <v>0</v>
      </c>
      <c r="G25" s="60">
        <f>Entrate_Uscite!Q45</f>
        <v>0</v>
      </c>
      <c r="H25" s="60">
        <f>Entrate_Uscite!T45</f>
        <v>0</v>
      </c>
      <c r="I25" s="60">
        <f>Entrate_Uscite!W45</f>
        <v>0</v>
      </c>
      <c r="J25" s="60">
        <f t="shared" si="0"/>
        <v>0</v>
      </c>
      <c r="K25" s="61" t="str">
        <f t="shared" si="1"/>
        <v>-</v>
      </c>
      <c r="L25" s="60">
        <f>Entrate_Uscite!X45</f>
        <v>0</v>
      </c>
      <c r="M25" s="58" t="str">
        <f t="shared" si="8"/>
        <v>-</v>
      </c>
    </row>
    <row r="26" spans="1:13" x14ac:dyDescent="0.3">
      <c r="A26" s="59" t="s">
        <v>292</v>
      </c>
      <c r="B26" s="60">
        <f>Entrate_Uscite!B46</f>
        <v>0</v>
      </c>
      <c r="C26" s="60">
        <f>Entrate_Uscite!E46</f>
        <v>0</v>
      </c>
      <c r="D26" s="60">
        <f>Entrate_Uscite!H46</f>
        <v>0</v>
      </c>
      <c r="E26" s="60">
        <f>Entrate_Uscite!K46</f>
        <v>0</v>
      </c>
      <c r="F26" s="60">
        <f>Entrate_Uscite!N46</f>
        <v>0</v>
      </c>
      <c r="G26" s="60">
        <f>Entrate_Uscite!Q46</f>
        <v>0</v>
      </c>
      <c r="H26" s="60">
        <f>Entrate_Uscite!T46</f>
        <v>0</v>
      </c>
      <c r="I26" s="60">
        <f>Entrate_Uscite!W46</f>
        <v>0</v>
      </c>
      <c r="J26" s="60">
        <f t="shared" si="0"/>
        <v>0</v>
      </c>
      <c r="K26" s="61" t="str">
        <f t="shared" si="1"/>
        <v>-</v>
      </c>
      <c r="L26" s="60">
        <f>Entrate_Uscite!X46</f>
        <v>0</v>
      </c>
      <c r="M26" s="58" t="str">
        <f t="shared" si="8"/>
        <v>-</v>
      </c>
    </row>
    <row r="27" spans="1:13" x14ac:dyDescent="0.3">
      <c r="A27" s="4" t="s">
        <v>293</v>
      </c>
      <c r="B27" s="43">
        <f t="shared" ref="B27:I27" si="13">SUM(B22:B26)</f>
        <v>43704320.020000003</v>
      </c>
      <c r="C27" s="43">
        <f t="shared" si="13"/>
        <v>46867084.210000001</v>
      </c>
      <c r="D27" s="43">
        <f t="shared" si="13"/>
        <v>50572445.299999997</v>
      </c>
      <c r="E27" s="43">
        <f t="shared" si="13"/>
        <v>46608325.749999993</v>
      </c>
      <c r="F27" s="43">
        <f t="shared" si="13"/>
        <v>14955692.9</v>
      </c>
      <c r="G27" s="43">
        <f t="shared" ref="G27" si="14">SUM(G22:G26)</f>
        <v>17392847.43</v>
      </c>
      <c r="H27" s="43">
        <f t="shared" ref="H27" si="15">SUM(H22:H26)</f>
        <v>20973013.710000001</v>
      </c>
      <c r="I27" s="43">
        <f t="shared" si="13"/>
        <v>19180844.359999999</v>
      </c>
      <c r="J27" s="43">
        <f t="shared" si="0"/>
        <v>0.81644117582239917</v>
      </c>
      <c r="K27" s="44">
        <f t="shared" si="1"/>
        <v>-8.5451207670049314</v>
      </c>
      <c r="L27" s="43">
        <f>SUM(L22:L26)</f>
        <v>19180844.359999999</v>
      </c>
      <c r="M27" s="45">
        <f>IF(I27&gt;0,L27/I27*100,"-")</f>
        <v>100</v>
      </c>
    </row>
    <row r="28" spans="1:13" x14ac:dyDescent="0.3">
      <c r="A28" s="4" t="s">
        <v>294</v>
      </c>
      <c r="B28" s="43">
        <f>Entrate_Uscite!B54</f>
        <v>0</v>
      </c>
      <c r="C28" s="43">
        <f>Entrate_Uscite!E54</f>
        <v>0</v>
      </c>
      <c r="D28" s="43">
        <f>Entrate_Uscite!H54</f>
        <v>0</v>
      </c>
      <c r="E28" s="43">
        <f>Entrate_Uscite!K54</f>
        <v>0</v>
      </c>
      <c r="F28" s="43">
        <f>Entrate_Uscite!N54</f>
        <v>0</v>
      </c>
      <c r="G28" s="43">
        <f>Entrate_Uscite!Q54</f>
        <v>0</v>
      </c>
      <c r="H28" s="43">
        <f>Entrate_Uscite!T54</f>
        <v>0</v>
      </c>
      <c r="I28" s="43">
        <f>Entrate_Uscite!W54</f>
        <v>0</v>
      </c>
      <c r="J28" s="43">
        <f t="shared" si="0"/>
        <v>0</v>
      </c>
      <c r="K28" s="44" t="str">
        <f t="shared" si="1"/>
        <v>-</v>
      </c>
      <c r="L28" s="43">
        <f>Entrate_Uscite!X54</f>
        <v>0</v>
      </c>
      <c r="M28" s="45" t="str">
        <f>IF(I28&gt;0,L28/I28*100,"-")</f>
        <v>-</v>
      </c>
    </row>
    <row r="29" spans="1:13" x14ac:dyDescent="0.3">
      <c r="A29" s="4" t="s">
        <v>295</v>
      </c>
      <c r="B29" s="43">
        <f>Entrate_Uscite!B55</f>
        <v>268580557.92000002</v>
      </c>
      <c r="C29" s="43">
        <f>Entrate_Uscite!E55</f>
        <v>183596298.50999999</v>
      </c>
      <c r="D29" s="43">
        <f>Entrate_Uscite!H55</f>
        <v>162242915.11999997</v>
      </c>
      <c r="E29" s="43">
        <f>Entrate_Uscite!K55</f>
        <v>231528482.81999999</v>
      </c>
      <c r="F29" s="43">
        <f>Entrate_Uscite!N55</f>
        <v>222543206.33000001</v>
      </c>
      <c r="G29" s="43">
        <f>Entrate_Uscite!Q55</f>
        <v>147145544.74000001</v>
      </c>
      <c r="H29" s="43">
        <f>Entrate_Uscite!T55</f>
        <v>133457557.16</v>
      </c>
      <c r="I29" s="43">
        <f>Entrate_Uscite!W55</f>
        <v>170460299.41</v>
      </c>
      <c r="J29" s="43"/>
      <c r="K29" s="44">
        <f t="shared" si="1"/>
        <v>27.726224754464852</v>
      </c>
      <c r="L29" s="43">
        <f>Entrate_Uscite!X55</f>
        <v>57021217.200000003</v>
      </c>
      <c r="M29" s="45">
        <f>IF(I29&gt;0,L29/I29*100,"-")</f>
        <v>33.451318223282946</v>
      </c>
    </row>
    <row r="30" spans="1:13" x14ac:dyDescent="0.3">
      <c r="A30" s="47" t="s">
        <v>68</v>
      </c>
      <c r="B30" s="48">
        <f t="shared" ref="B30:I30" si="16">B10+B15+B20+B27+B28+B29</f>
        <v>2118287806.29</v>
      </c>
      <c r="C30" s="48">
        <f t="shared" si="16"/>
        <v>2141221371.2500002</v>
      </c>
      <c r="D30" s="48">
        <f t="shared" si="16"/>
        <v>2189014758.1700001</v>
      </c>
      <c r="E30" s="48">
        <f t="shared" si="16"/>
        <v>2305923053.0799999</v>
      </c>
      <c r="F30" s="48">
        <f t="shared" si="16"/>
        <v>2482445263.3099999</v>
      </c>
      <c r="G30" s="48">
        <f t="shared" ref="G30:H30" si="17">G10+G15+G20+G27+G28+G29</f>
        <v>2161015616.5999999</v>
      </c>
      <c r="H30" s="48">
        <f t="shared" si="17"/>
        <v>2298084014.5700002</v>
      </c>
      <c r="I30" s="48">
        <f t="shared" si="16"/>
        <v>2519783793.6199999</v>
      </c>
      <c r="J30" s="48"/>
      <c r="K30" s="49">
        <f t="shared" si="1"/>
        <v>9.6471572685945688</v>
      </c>
      <c r="L30" s="48">
        <f>L10+L15+L20+L27+L28+L29</f>
        <v>2156275543.8499999</v>
      </c>
      <c r="M30" s="50">
        <f>IF(I30&gt;0,L30/I30*100,"-")</f>
        <v>85.57383174340633</v>
      </c>
    </row>
    <row r="31" spans="1:13" x14ac:dyDescent="0.3">
      <c r="A31" s="38" t="s">
        <v>69</v>
      </c>
      <c r="B31" s="51">
        <f t="shared" ref="B31:I31" si="18">B30-B29</f>
        <v>1849707248.3699999</v>
      </c>
      <c r="C31" s="51">
        <f t="shared" si="18"/>
        <v>1957625072.7400002</v>
      </c>
      <c r="D31" s="51">
        <f t="shared" si="18"/>
        <v>2026771843.0500002</v>
      </c>
      <c r="E31" s="51">
        <f t="shared" si="18"/>
        <v>2074394570.26</v>
      </c>
      <c r="F31" s="51">
        <f t="shared" si="18"/>
        <v>2259902056.98</v>
      </c>
      <c r="G31" s="51">
        <f t="shared" ref="G31:H31" si="19">G30-G29</f>
        <v>2013870071.8599999</v>
      </c>
      <c r="H31" s="51">
        <f t="shared" si="19"/>
        <v>2164626457.4100003</v>
      </c>
      <c r="I31" s="51">
        <f t="shared" si="18"/>
        <v>2349323494.21</v>
      </c>
      <c r="J31" s="51">
        <f t="shared" si="0"/>
        <v>100</v>
      </c>
      <c r="K31" s="52">
        <f t="shared" si="1"/>
        <v>8.5325131348986503</v>
      </c>
      <c r="L31" s="51">
        <f>L30-L29</f>
        <v>2099254326.6499999</v>
      </c>
      <c r="M31" s="53">
        <f>IF(I31&gt;0,L31/I31*100,"-")</f>
        <v>89.355694599900545</v>
      </c>
    </row>
    <row r="32" spans="1:13" x14ac:dyDescent="0.3">
      <c r="L32" s="6"/>
    </row>
    <row r="33" spans="12:12" x14ac:dyDescent="0.3">
      <c r="L33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workbookViewId="0">
      <selection activeCell="J1" sqref="J1:J6"/>
    </sheetView>
  </sheetViews>
  <sheetFormatPr defaultRowHeight="14.4" x14ac:dyDescent="0.3"/>
  <cols>
    <col min="1" max="1" width="50.6640625" bestFit="1" customWidth="1"/>
    <col min="2" max="11" width="12.5546875" bestFit="1" customWidth="1"/>
  </cols>
  <sheetData>
    <row r="1" spans="1:11" x14ac:dyDescent="0.3">
      <c r="A1" s="41"/>
      <c r="B1" s="42">
        <v>2016</v>
      </c>
      <c r="C1" s="42">
        <v>2017</v>
      </c>
      <c r="D1" s="42">
        <v>2018</v>
      </c>
      <c r="E1" s="42">
        <v>2019</v>
      </c>
      <c r="F1" s="42">
        <v>2020</v>
      </c>
      <c r="G1" s="42">
        <v>2021</v>
      </c>
      <c r="H1" s="42">
        <v>2022</v>
      </c>
      <c r="I1" s="42">
        <v>2023</v>
      </c>
      <c r="J1" s="42" t="s">
        <v>265</v>
      </c>
      <c r="K1" s="42" t="s">
        <v>336</v>
      </c>
    </row>
    <row r="2" spans="1:11" x14ac:dyDescent="0.3">
      <c r="A2" s="62" t="s">
        <v>297</v>
      </c>
      <c r="B2" s="64">
        <f>Entrate_Uscite!B59</f>
        <v>164808251.45000005</v>
      </c>
      <c r="C2" s="64">
        <f>Entrate_Uscite!E59</f>
        <v>94138725.799999952</v>
      </c>
      <c r="D2" s="64">
        <f>Entrate_Uscite!H59</f>
        <v>116639970.3900001</v>
      </c>
      <c r="E2" s="64">
        <f>Entrate_Uscite!K59</f>
        <v>136288036.55999994</v>
      </c>
      <c r="F2" s="64">
        <f>Entrate_Uscite!N59</f>
        <v>167924300.46000004</v>
      </c>
      <c r="G2" s="64">
        <f>Entrate_Uscite!Q59</f>
        <v>153356075.9000001</v>
      </c>
      <c r="H2" s="64">
        <f>Entrate_Uscite!T59</f>
        <v>233274286.77999997</v>
      </c>
      <c r="I2" s="64">
        <f>Entrate_Uscite!W59</f>
        <v>190360585.62999988</v>
      </c>
      <c r="J2" s="64">
        <f t="shared" ref="J2:J6" si="0">I2-H2</f>
        <v>-42913701.150000095</v>
      </c>
      <c r="K2" s="64">
        <f>Entrate_Uscite!X59</f>
        <v>45545627.729999781</v>
      </c>
    </row>
    <row r="3" spans="1:11" x14ac:dyDescent="0.3">
      <c r="A3" s="62" t="s">
        <v>72</v>
      </c>
      <c r="B3" s="65">
        <f>Entrate_Uscite!B60</f>
        <v>-134262706.79999998</v>
      </c>
      <c r="C3" s="65">
        <f>Entrate_Uscite!E60</f>
        <v>-105456948.75999999</v>
      </c>
      <c r="D3" s="65">
        <f>Entrate_Uscite!H60</f>
        <v>3586730.3899999261</v>
      </c>
      <c r="E3" s="65">
        <f>Entrate_Uscite!K60</f>
        <v>59125816.420000017</v>
      </c>
      <c r="F3" s="65">
        <f>Entrate_Uscite!N60</f>
        <v>-188399745.22999996</v>
      </c>
      <c r="G3" s="65">
        <f>Entrate_Uscite!Q60</f>
        <v>-72442911.829999983</v>
      </c>
      <c r="H3" s="65">
        <f>Entrate_Uscite!T60</f>
        <v>-72225824.939999998</v>
      </c>
      <c r="I3" s="65">
        <f>Entrate_Uscite!W60</f>
        <v>-107576821.40000004</v>
      </c>
      <c r="J3" s="64">
        <f t="shared" si="0"/>
        <v>-35350996.460000038</v>
      </c>
      <c r="K3" s="65">
        <f>Entrate_Uscite!X60</f>
        <v>-225233915.22</v>
      </c>
    </row>
    <row r="4" spans="1:11" x14ac:dyDescent="0.3">
      <c r="A4" s="62" t="s">
        <v>300</v>
      </c>
      <c r="B4" s="65">
        <f>Entrate_Uscite!B16-Entrate_Uscite!B52</f>
        <v>-5299999.950000003</v>
      </c>
      <c r="C4" s="65">
        <f>Entrate_Uscite!E16-Entrate_Uscite!E52</f>
        <v>-688458.82999999821</v>
      </c>
      <c r="D4" s="65">
        <f>Entrate_Uscite!H16-Entrate_Uscite!H52</f>
        <v>0</v>
      </c>
      <c r="E4" s="65">
        <f>Entrate_Uscite!K16-Entrate_Uscite!K52</f>
        <v>-34214.110000014305</v>
      </c>
      <c r="F4" s="65">
        <f>Entrate_Uscite!N16-Entrate_Uscite!N52</f>
        <v>0</v>
      </c>
      <c r="G4" s="65">
        <f>Entrate_Uscite!Q16-Entrate_Uscite!Q52</f>
        <v>-5000000</v>
      </c>
      <c r="H4" s="65">
        <f>Entrate_Uscite!T16-Entrate_Uscite!T52</f>
        <v>0</v>
      </c>
      <c r="I4" s="65">
        <f>Entrate_Uscite!W16-Entrate_Uscite!W52</f>
        <v>0</v>
      </c>
      <c r="J4" s="64">
        <f t="shared" si="0"/>
        <v>0</v>
      </c>
      <c r="K4" s="65">
        <f>Entrate_Uscite!X16-Entrate_Uscite!X52</f>
        <v>-33566658.390000001</v>
      </c>
    </row>
    <row r="5" spans="1:11" x14ac:dyDescent="0.3">
      <c r="A5" s="47" t="s">
        <v>298</v>
      </c>
      <c r="B5" s="66">
        <f>SUM(Entrate_Uscite!B14:B16)-SUM(Entrate_Uscite!B50:B52)</f>
        <v>25245544.700000286</v>
      </c>
      <c r="C5" s="66">
        <f>SUM(Entrate_Uscite!E14:E16)-SUM(Entrate_Uscite!E50:E52)</f>
        <v>-12006681.789999962</v>
      </c>
      <c r="D5" s="66">
        <f>SUM(Entrate_Uscite!H14:H16)-SUM(Entrate_Uscite!H50:H52)</f>
        <v>120226700.77999997</v>
      </c>
      <c r="E5" s="66">
        <f>SUM(Entrate_Uscite!K14:K16)-SUM(Entrate_Uscite!K50:K52)</f>
        <v>195379638.86999965</v>
      </c>
      <c r="F5" s="66">
        <f>SUM(Entrate_Uscite!N14:N16)-SUM(Entrate_Uscite!N50:N52)</f>
        <v>-20475444.769999981</v>
      </c>
      <c r="G5" s="66">
        <f>SUM(Entrate_Uscite!Q14:Q16)-SUM(Entrate_Uscite!Q50:Q52)</f>
        <v>75913164.070000172</v>
      </c>
      <c r="H5" s="66">
        <f>SUM(Entrate_Uscite!T14:T16)-SUM(Entrate_Uscite!T50:T52)</f>
        <v>161048461.83999968</v>
      </c>
      <c r="I5" s="66">
        <f>SUM(Entrate_Uscite!W14:W16)-SUM(Entrate_Uscite!W50:W52)</f>
        <v>82783764.230000019</v>
      </c>
      <c r="J5" s="66">
        <f t="shared" si="0"/>
        <v>-78264697.609999657</v>
      </c>
      <c r="K5" s="66">
        <f>SUM(Entrate_Uscite!X14:X16)-SUM(Entrate_Uscite!X50:X52)</f>
        <v>-213254945.88000035</v>
      </c>
    </row>
    <row r="6" spans="1:11" x14ac:dyDescent="0.3">
      <c r="A6" s="38" t="s">
        <v>299</v>
      </c>
      <c r="B6" s="67">
        <f>Entrate_Uscite!B58</f>
        <v>-18458775.319999695</v>
      </c>
      <c r="C6" s="67">
        <f>Entrate_Uscite!E58</f>
        <v>-24457737.309999943</v>
      </c>
      <c r="D6" s="67">
        <f>Entrate_Uscite!H58</f>
        <v>86470624.71999979</v>
      </c>
      <c r="E6" s="67">
        <f>Entrate_Uscite!K58</f>
        <v>148771313.11999965</v>
      </c>
      <c r="F6" s="67">
        <f>Entrate_Uscite!N58</f>
        <v>-35431137.670000076</v>
      </c>
      <c r="G6" s="67">
        <f>Entrate_Uscite!Q58</f>
        <v>58520316.639999866</v>
      </c>
      <c r="H6" s="67">
        <f>Entrate_Uscite!T58</f>
        <v>140075448.12999964</v>
      </c>
      <c r="I6" s="67">
        <f>Entrate_Uscite!W58</f>
        <v>63602919.869999886</v>
      </c>
      <c r="J6" s="67">
        <f t="shared" si="0"/>
        <v>-76472528.259999752</v>
      </c>
      <c r="K6" s="67">
        <f>Entrate_Uscite!X58</f>
        <v>-232435790.24000001</v>
      </c>
    </row>
    <row r="7" spans="1:11" x14ac:dyDescent="0.3">
      <c r="K7" s="6"/>
    </row>
    <row r="8" spans="1:11" x14ac:dyDescent="0.3">
      <c r="K8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workbookViewId="0">
      <selection activeCell="K2" sqref="K2:K23"/>
    </sheetView>
  </sheetViews>
  <sheetFormatPr defaultRowHeight="14.4" x14ac:dyDescent="0.3"/>
  <cols>
    <col min="1" max="1" width="36.44140625" bestFit="1" customWidth="1"/>
    <col min="2" max="11" width="13.5546875" bestFit="1" customWidth="1"/>
    <col min="12" max="12" width="12.6640625" bestFit="1" customWidth="1"/>
    <col min="13" max="13" width="13.5546875" bestFit="1" customWidth="1"/>
    <col min="14" max="14" width="10" bestFit="1" customWidth="1"/>
  </cols>
  <sheetData>
    <row r="1" spans="1:13" x14ac:dyDescent="0.3">
      <c r="A1" s="41"/>
      <c r="B1" s="96">
        <v>2014</v>
      </c>
      <c r="C1" s="96">
        <v>2015</v>
      </c>
      <c r="D1" s="96">
        <v>2016</v>
      </c>
      <c r="E1" s="96">
        <v>2017</v>
      </c>
      <c r="F1" s="96">
        <v>2018</v>
      </c>
      <c r="G1" s="96">
        <v>2019</v>
      </c>
      <c r="H1" s="96">
        <v>2020</v>
      </c>
      <c r="I1" s="96">
        <v>2021</v>
      </c>
      <c r="J1" s="96">
        <v>2022</v>
      </c>
      <c r="K1" s="96">
        <v>2023</v>
      </c>
    </row>
    <row r="2" spans="1:13" x14ac:dyDescent="0.3">
      <c r="A2" t="s">
        <v>5</v>
      </c>
      <c r="B2" s="1">
        <v>485617116.95999998</v>
      </c>
      <c r="C2" s="1">
        <v>232215351.56</v>
      </c>
      <c r="D2" s="1">
        <v>66965946.469999999</v>
      </c>
      <c r="E2" s="1">
        <v>309174654.95999998</v>
      </c>
      <c r="F2" s="1">
        <v>171203158.30000001</v>
      </c>
      <c r="G2" s="1">
        <v>166996591.13</v>
      </c>
      <c r="H2" s="1">
        <v>155434999.13999999</v>
      </c>
      <c r="I2" s="1">
        <v>408311408.56999999</v>
      </c>
      <c r="J2" s="1">
        <v>468128782.81</v>
      </c>
      <c r="K2" s="1">
        <v>454250408.05000001</v>
      </c>
    </row>
    <row r="3" spans="1:13" x14ac:dyDescent="0.3">
      <c r="A3" t="s">
        <v>6</v>
      </c>
      <c r="B3" s="1">
        <v>1217383092.9400001</v>
      </c>
      <c r="C3" s="1">
        <v>1216052033.8</v>
      </c>
      <c r="D3" s="1">
        <v>1183501512.1099999</v>
      </c>
      <c r="E3" s="1">
        <v>988899547.30999994</v>
      </c>
      <c r="F3" s="1">
        <v>1325242353.0899999</v>
      </c>
      <c r="G3" s="1">
        <v>1644419006.5599999</v>
      </c>
      <c r="H3" s="1">
        <v>1663058795.5999999</v>
      </c>
      <c r="I3" s="1">
        <v>1382707932.2</v>
      </c>
      <c r="J3" s="1">
        <v>1498979924.5999999</v>
      </c>
      <c r="K3" s="1">
        <v>1678889991.3</v>
      </c>
    </row>
    <row r="4" spans="1:13" x14ac:dyDescent="0.3">
      <c r="A4" t="s">
        <v>7</v>
      </c>
      <c r="B4" s="1">
        <v>751845396.07000005</v>
      </c>
      <c r="C4" s="1">
        <v>582550894.73000002</v>
      </c>
      <c r="D4" s="1">
        <v>443685288.69</v>
      </c>
      <c r="E4" s="1">
        <v>556971348.84000003</v>
      </c>
      <c r="F4" s="1">
        <v>671795082.66999996</v>
      </c>
      <c r="G4" s="1">
        <v>855936018.36000001</v>
      </c>
      <c r="H4" s="1">
        <v>894439098.52999997</v>
      </c>
      <c r="I4" s="1">
        <v>800611845.73000002</v>
      </c>
      <c r="J4" s="1">
        <v>831607122.16999996</v>
      </c>
      <c r="K4" s="1">
        <v>931778181.88999999</v>
      </c>
    </row>
    <row r="5" spans="1:13" x14ac:dyDescent="0.3">
      <c r="A5" t="s">
        <v>8</v>
      </c>
      <c r="B5" s="1">
        <v>12275835.640000001</v>
      </c>
      <c r="C5" s="1">
        <v>18914433.609999999</v>
      </c>
      <c r="D5" s="1">
        <v>9123311.8900000006</v>
      </c>
      <c r="E5" s="1">
        <v>14262161.279999999</v>
      </c>
      <c r="F5" s="1">
        <v>22090723.309999999</v>
      </c>
      <c r="G5" s="1">
        <v>45088153.619999997</v>
      </c>
      <c r="H5" s="1">
        <v>48320030.93</v>
      </c>
      <c r="I5" s="1">
        <v>62079163.020000003</v>
      </c>
      <c r="J5" s="1">
        <v>76754356.189999998</v>
      </c>
      <c r="K5" s="1">
        <v>84075997.530000001</v>
      </c>
    </row>
    <row r="6" spans="1:13" x14ac:dyDescent="0.3">
      <c r="A6" t="s">
        <v>356</v>
      </c>
      <c r="B6" s="1">
        <v>293276731.72000003</v>
      </c>
      <c r="C6" s="1">
        <v>272656090.89999998</v>
      </c>
      <c r="D6" s="1">
        <v>181708813.15000001</v>
      </c>
      <c r="E6" s="1">
        <v>197220713.03</v>
      </c>
      <c r="F6" s="1">
        <v>238022663.13999999</v>
      </c>
      <c r="G6" s="1">
        <v>272359865.89999998</v>
      </c>
      <c r="H6" s="1">
        <v>281103788.48000002</v>
      </c>
      <c r="I6" s="1">
        <v>373714013.08999997</v>
      </c>
      <c r="J6" s="1">
        <v>384654627.88</v>
      </c>
      <c r="K6" s="1">
        <v>473419847.18000001</v>
      </c>
    </row>
    <row r="7" spans="1:13" x14ac:dyDescent="0.3">
      <c r="A7" s="4" t="s">
        <v>0</v>
      </c>
      <c r="B7" s="3">
        <f t="shared" ref="B7:E7" si="0">B2+B3-B4-B5-B6</f>
        <v>645602246.47000003</v>
      </c>
      <c r="C7" s="3">
        <f t="shared" ref="C7" si="1">C2+C3-C4-C5-C6</f>
        <v>574145966.11999989</v>
      </c>
      <c r="D7" s="3">
        <f t="shared" si="0"/>
        <v>615950044.8499999</v>
      </c>
      <c r="E7" s="3">
        <f t="shared" si="0"/>
        <v>529619979.12</v>
      </c>
      <c r="F7" s="3">
        <f t="shared" ref="F7:K7" si="2">F2+F3-F4-F5-F6</f>
        <v>564537042.26999998</v>
      </c>
      <c r="G7" s="3">
        <f t="shared" si="2"/>
        <v>638031559.81000006</v>
      </c>
      <c r="H7" s="3">
        <f t="shared" si="2"/>
        <v>594630876.79999983</v>
      </c>
      <c r="I7" s="3">
        <f t="shared" si="2"/>
        <v>554614318.93000007</v>
      </c>
      <c r="J7" s="3">
        <f t="shared" si="2"/>
        <v>674092601.16999972</v>
      </c>
      <c r="K7" s="3">
        <f t="shared" si="2"/>
        <v>643866372.75</v>
      </c>
    </row>
    <row r="8" spans="1:13" x14ac:dyDescent="0.3">
      <c r="A8" t="s">
        <v>9</v>
      </c>
      <c r="B8" s="1">
        <v>5760000</v>
      </c>
      <c r="C8" s="1">
        <v>23900000</v>
      </c>
      <c r="D8" s="1">
        <v>26567130</v>
      </c>
      <c r="E8" s="1">
        <v>32463765.489999998</v>
      </c>
      <c r="F8" s="1">
        <v>27550549.780000001</v>
      </c>
      <c r="G8" s="1">
        <v>30809548.379999999</v>
      </c>
      <c r="H8" s="1">
        <v>30700300.809999999</v>
      </c>
      <c r="I8" s="1">
        <v>33038138.899999999</v>
      </c>
      <c r="J8" s="1">
        <v>39165301.469999999</v>
      </c>
      <c r="K8" s="1">
        <v>45431817.539999999</v>
      </c>
    </row>
    <row r="9" spans="1:13" x14ac:dyDescent="0.3">
      <c r="A9" t="s">
        <v>350</v>
      </c>
      <c r="B9" s="1">
        <v>71439603.260000005</v>
      </c>
      <c r="C9" s="1">
        <v>58493931</v>
      </c>
      <c r="D9" s="1">
        <v>38461620.509999998</v>
      </c>
      <c r="E9" s="1">
        <v>31657373.039999999</v>
      </c>
      <c r="F9" s="1">
        <v>24843700.219999999</v>
      </c>
      <c r="G9" s="1">
        <v>20467998.77</v>
      </c>
      <c r="H9" s="1">
        <v>16819099.010000002</v>
      </c>
      <c r="I9" s="1">
        <v>14113921.460000001</v>
      </c>
      <c r="J9" s="1">
        <v>12511874.880000001</v>
      </c>
      <c r="K9" s="1">
        <v>11690606.779999999</v>
      </c>
    </row>
    <row r="10" spans="1:13" x14ac:dyDescent="0.3">
      <c r="A10" t="s">
        <v>10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1:13" x14ac:dyDescent="0.3">
      <c r="A11" t="s">
        <v>11</v>
      </c>
      <c r="B11" s="1">
        <v>0</v>
      </c>
      <c r="C11" s="1">
        <v>0</v>
      </c>
      <c r="D11" s="1">
        <v>2051500</v>
      </c>
      <c r="E11" s="1">
        <v>2683999.7599999998</v>
      </c>
      <c r="F11" s="1">
        <v>3217597.62</v>
      </c>
      <c r="G11" s="1">
        <v>2321010.25</v>
      </c>
      <c r="H11" s="1">
        <v>2324073.94</v>
      </c>
      <c r="I11" s="1">
        <v>2014711.7</v>
      </c>
      <c r="J11" s="1">
        <v>2061837.76</v>
      </c>
      <c r="K11" s="1">
        <v>2061837.76</v>
      </c>
    </row>
    <row r="12" spans="1:13" x14ac:dyDescent="0.3">
      <c r="A12" t="s">
        <v>12</v>
      </c>
      <c r="B12" s="1">
        <v>0</v>
      </c>
      <c r="C12" s="1">
        <v>0</v>
      </c>
      <c r="D12" s="1">
        <v>3154207.43</v>
      </c>
      <c r="E12" s="1">
        <v>12886969.439999999</v>
      </c>
      <c r="F12" s="1">
        <v>13046969.439999999</v>
      </c>
      <c r="G12" s="1">
        <v>22069472.370000001</v>
      </c>
      <c r="H12" s="1">
        <v>21986472.370000001</v>
      </c>
      <c r="I12" s="1">
        <v>24986472.370000001</v>
      </c>
      <c r="J12" s="1">
        <v>26815420.800000001</v>
      </c>
      <c r="K12" s="1">
        <v>21160065.300000001</v>
      </c>
    </row>
    <row r="13" spans="1:13" x14ac:dyDescent="0.3">
      <c r="A13" t="s">
        <v>13</v>
      </c>
      <c r="B13" s="1">
        <v>22053407.699999999</v>
      </c>
      <c r="C13" s="1">
        <v>17496755</v>
      </c>
      <c r="D13" s="1">
        <v>18541287.190000001</v>
      </c>
      <c r="E13" s="1">
        <v>2657447</v>
      </c>
      <c r="F13" s="1">
        <v>16245107.449999999</v>
      </c>
      <c r="G13" s="1">
        <v>19816065.449999999</v>
      </c>
      <c r="H13" s="1">
        <v>6990795.54</v>
      </c>
      <c r="I13" s="1">
        <v>10089774.199999999</v>
      </c>
      <c r="J13" s="1">
        <v>14918448.18</v>
      </c>
      <c r="K13" s="1">
        <v>56527032.240000002</v>
      </c>
    </row>
    <row r="14" spans="1:13" x14ac:dyDescent="0.3">
      <c r="A14" s="4" t="s">
        <v>1</v>
      </c>
      <c r="B14" s="3">
        <f t="shared" ref="B14:C14" si="3">SUM(B8:B13)</f>
        <v>99253010.960000008</v>
      </c>
      <c r="C14" s="3">
        <f t="shared" si="3"/>
        <v>99890686</v>
      </c>
      <c r="D14" s="3">
        <f t="shared" ref="D14:E14" si="4">SUM(D8:D13)</f>
        <v>88775745.129999995</v>
      </c>
      <c r="E14" s="3">
        <f t="shared" si="4"/>
        <v>82349554.730000004</v>
      </c>
      <c r="F14" s="3">
        <f t="shared" ref="F14:K14" si="5">SUM(F8:F13)</f>
        <v>84903924.510000005</v>
      </c>
      <c r="G14" s="3">
        <f t="shared" si="5"/>
        <v>95484095.219999999</v>
      </c>
      <c r="H14" s="3">
        <f t="shared" si="5"/>
        <v>78820741.670000002</v>
      </c>
      <c r="I14" s="3">
        <f t="shared" si="5"/>
        <v>84243018.63000001</v>
      </c>
      <c r="J14" s="3">
        <f t="shared" si="5"/>
        <v>95472883.090000004</v>
      </c>
      <c r="K14" s="3">
        <f t="shared" si="5"/>
        <v>136871359.62</v>
      </c>
      <c r="L14" s="98"/>
      <c r="M14" s="98"/>
    </row>
    <row r="15" spans="1:13" x14ac:dyDescent="0.3">
      <c r="A15" t="s">
        <v>15</v>
      </c>
      <c r="B15" s="1">
        <v>378200517.70999998</v>
      </c>
      <c r="C15" s="1">
        <v>0</v>
      </c>
      <c r="D15" s="1">
        <v>5000000</v>
      </c>
      <c r="E15" s="1">
        <v>17649685.170000002</v>
      </c>
      <c r="F15" s="1">
        <v>39260955.75</v>
      </c>
      <c r="G15" s="1">
        <v>37892363.25</v>
      </c>
      <c r="H15" s="1">
        <v>53509473.399999999</v>
      </c>
      <c r="I15" s="1">
        <v>44367100.229999997</v>
      </c>
      <c r="J15" s="1">
        <v>74424032.950000003</v>
      </c>
      <c r="K15" s="1">
        <v>61319056.630000003</v>
      </c>
    </row>
    <row r="16" spans="1:13" x14ac:dyDescent="0.3">
      <c r="A16" t="s">
        <v>14</v>
      </c>
      <c r="B16" s="1">
        <v>0</v>
      </c>
      <c r="C16" s="1">
        <v>365799794.76999998</v>
      </c>
      <c r="D16" s="1">
        <v>514686656.95999998</v>
      </c>
      <c r="E16" s="1">
        <v>449433425.67000002</v>
      </c>
      <c r="F16" s="1">
        <v>466169852.07999998</v>
      </c>
      <c r="G16" s="1">
        <v>539303378.91999996</v>
      </c>
      <c r="H16" s="1">
        <v>445696734.38999999</v>
      </c>
      <c r="I16" s="1">
        <v>436004201.92000002</v>
      </c>
      <c r="J16" s="1">
        <v>415635057.01999998</v>
      </c>
      <c r="K16" s="1">
        <v>384753545.82999998</v>
      </c>
    </row>
    <row r="17" spans="1:11" x14ac:dyDescent="0.3">
      <c r="A17" t="s">
        <v>16</v>
      </c>
      <c r="B17" s="1">
        <v>107709373.98999999</v>
      </c>
      <c r="C17" s="1">
        <v>68245126.75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x14ac:dyDescent="0.3">
      <c r="A18" t="s">
        <v>17</v>
      </c>
      <c r="B18" s="1">
        <v>88185606.459999993</v>
      </c>
      <c r="C18" s="1">
        <v>40210358.600000001</v>
      </c>
      <c r="D18" s="1">
        <v>54985127.090000004</v>
      </c>
      <c r="E18" s="1">
        <v>24474671.649999999</v>
      </c>
      <c r="F18" s="1">
        <v>15960801.439999999</v>
      </c>
      <c r="G18" s="1">
        <v>34474171.5</v>
      </c>
      <c r="H18" s="1">
        <v>72569290.129999995</v>
      </c>
      <c r="I18" s="1">
        <v>47198081.109999999</v>
      </c>
      <c r="J18" s="1">
        <v>98864932.730000004</v>
      </c>
      <c r="K18" s="1">
        <v>61366547.270000003</v>
      </c>
    </row>
    <row r="19" spans="1:11" x14ac:dyDescent="0.3">
      <c r="A19" t="s">
        <v>18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</row>
    <row r="20" spans="1:11" x14ac:dyDescent="0.3">
      <c r="A20" s="4" t="s">
        <v>2</v>
      </c>
      <c r="B20" s="3">
        <f t="shared" ref="B20:E20" si="6">SUM(B15:B19)</f>
        <v>574095498.15999997</v>
      </c>
      <c r="C20" s="3">
        <f t="shared" ref="C20" si="7">SUM(C15:C19)</f>
        <v>474255280.12</v>
      </c>
      <c r="D20" s="3">
        <f t="shared" si="6"/>
        <v>574671784.04999995</v>
      </c>
      <c r="E20" s="3">
        <f t="shared" si="6"/>
        <v>491557782.49000001</v>
      </c>
      <c r="F20" s="3">
        <f t="shared" ref="F20:K20" si="8">SUM(F15:F19)</f>
        <v>521391609.26999998</v>
      </c>
      <c r="G20" s="3">
        <f t="shared" si="8"/>
        <v>611669913.66999996</v>
      </c>
      <c r="H20" s="3">
        <f t="shared" si="8"/>
        <v>571775497.91999996</v>
      </c>
      <c r="I20" s="3">
        <f t="shared" si="8"/>
        <v>527569383.26000005</v>
      </c>
      <c r="J20" s="3">
        <f t="shared" si="8"/>
        <v>588924022.69999993</v>
      </c>
      <c r="K20" s="3">
        <f t="shared" si="8"/>
        <v>507439149.72999996</v>
      </c>
    </row>
    <row r="21" spans="1:11" x14ac:dyDescent="0.3">
      <c r="A21" s="4" t="s">
        <v>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</row>
    <row r="22" spans="1:11" x14ac:dyDescent="0.3">
      <c r="A22" s="70" t="s">
        <v>4</v>
      </c>
      <c r="B22" s="37">
        <f t="shared" ref="B22:C22" si="9">B7-B14-B20-B21</f>
        <v>-27746262.649999976</v>
      </c>
      <c r="C22" s="37">
        <f t="shared" si="9"/>
        <v>-1.1920928955078125E-7</v>
      </c>
      <c r="D22" s="37">
        <f t="shared" ref="D22" si="10">D7-D14-D20-D21</f>
        <v>-47497484.330000043</v>
      </c>
      <c r="E22" s="37">
        <f t="shared" ref="E22:K22" si="11">E7-E14-E20-E21</f>
        <v>-44287358.100000024</v>
      </c>
      <c r="F22" s="37">
        <f t="shared" si="11"/>
        <v>-41758491.50999999</v>
      </c>
      <c r="G22" s="37">
        <f t="shared" si="11"/>
        <v>-69122449.079999924</v>
      </c>
      <c r="H22" s="37">
        <f t="shared" si="11"/>
        <v>-55965362.790000141</v>
      </c>
      <c r="I22" s="37">
        <f t="shared" si="11"/>
        <v>-57198082.959999979</v>
      </c>
      <c r="J22" s="37">
        <f t="shared" ref="J22" si="12">J7-J14-J20-J21</f>
        <v>-10304304.620000243</v>
      </c>
      <c r="K22" s="37">
        <f t="shared" si="11"/>
        <v>-444136.59999996424</v>
      </c>
    </row>
    <row r="23" spans="1:11" x14ac:dyDescent="0.3">
      <c r="A23" t="s">
        <v>362</v>
      </c>
      <c r="B23" s="1">
        <v>-144592668.41999999</v>
      </c>
      <c r="C23" s="1">
        <v>-33262826.039999999</v>
      </c>
      <c r="D23" s="1">
        <v>-67549926.310000002</v>
      </c>
      <c r="E23" s="1">
        <v>-48417435.880000003</v>
      </c>
      <c r="F23" s="1">
        <v>-10055641.59</v>
      </c>
      <c r="G23" s="1">
        <v>-35062783.079999998</v>
      </c>
      <c r="H23" s="1">
        <v>-9842014.1600000001</v>
      </c>
      <c r="I23" s="1">
        <v>-21723480.75</v>
      </c>
      <c r="J23" s="1">
        <v>-30171610.52</v>
      </c>
      <c r="K23" s="1">
        <v>-8472647.6899999995</v>
      </c>
    </row>
    <row r="24" spans="1:11" x14ac:dyDescent="0.3">
      <c r="A24" t="s">
        <v>367</v>
      </c>
      <c r="B24" s="6">
        <f>B8/B3*100</f>
        <v>0.47314604855317205</v>
      </c>
      <c r="C24" s="6">
        <f t="shared" ref="C24:K24" si="13">C8/C3*100</f>
        <v>1.9653764259836559</v>
      </c>
      <c r="D24" s="6">
        <f t="shared" si="13"/>
        <v>2.2447905413010347</v>
      </c>
      <c r="E24" s="6">
        <f t="shared" si="13"/>
        <v>3.2828173072085818</v>
      </c>
      <c r="F24" s="6">
        <f t="shared" ref="F24:J24" si="14">F8/F3*100</f>
        <v>2.0789065272296643</v>
      </c>
      <c r="G24" s="6">
        <f t="shared" si="14"/>
        <v>1.8735826001215614</v>
      </c>
      <c r="H24" s="6">
        <f t="shared" si="14"/>
        <v>1.8460141572399378</v>
      </c>
      <c r="I24" s="6">
        <f t="shared" si="14"/>
        <v>2.389379429351624</v>
      </c>
      <c r="J24" s="6">
        <f t="shared" si="14"/>
        <v>2.6127969312498425</v>
      </c>
      <c r="K24" s="6">
        <f t="shared" si="13"/>
        <v>2.7060628019362474</v>
      </c>
    </row>
    <row r="25" spans="1:11" x14ac:dyDescent="0.3">
      <c r="A25" t="s">
        <v>357</v>
      </c>
    </row>
    <row r="56" spans="1:11" x14ac:dyDescent="0.3">
      <c r="A56" t="s">
        <v>13</v>
      </c>
      <c r="B56" s="1">
        <f>SUM(B11:B13)</f>
        <v>22053407.699999999</v>
      </c>
      <c r="C56" s="1">
        <f t="shared" ref="C56:K56" si="15">SUM(C11:C13)</f>
        <v>17496755</v>
      </c>
      <c r="D56" s="1">
        <f t="shared" si="15"/>
        <v>23746994.620000001</v>
      </c>
      <c r="E56" s="1">
        <f t="shared" si="15"/>
        <v>18228416.199999999</v>
      </c>
      <c r="F56" s="1">
        <f t="shared" ref="F56:J56" si="16">SUM(F11:F13)</f>
        <v>32509674.509999998</v>
      </c>
      <c r="G56" s="1">
        <f t="shared" si="16"/>
        <v>44206548.07</v>
      </c>
      <c r="H56" s="1">
        <f t="shared" si="16"/>
        <v>31301341.850000001</v>
      </c>
      <c r="I56" s="1">
        <f t="shared" si="16"/>
        <v>37090958.269999996</v>
      </c>
      <c r="J56" s="1">
        <f t="shared" si="16"/>
        <v>43795706.740000002</v>
      </c>
      <c r="K56" s="1">
        <f t="shared" si="15"/>
        <v>79748935.300000012</v>
      </c>
    </row>
  </sheetData>
  <conditionalFormatting sqref="D22:E22 K22">
    <cfRule type="cellIs" dxfId="182" priority="30" operator="greaterThan">
      <formula>0</formula>
    </cfRule>
  </conditionalFormatting>
  <conditionalFormatting sqref="D22:E22 K22">
    <cfRule type="cellIs" dxfId="181" priority="27" operator="greaterThan">
      <formula>0</formula>
    </cfRule>
    <cfRule type="cellIs" dxfId="180" priority="28" operator="lessThan">
      <formula>0</formula>
    </cfRule>
  </conditionalFormatting>
  <conditionalFormatting sqref="C22">
    <cfRule type="cellIs" dxfId="179" priority="21" operator="greaterThan">
      <formula>0</formula>
    </cfRule>
  </conditionalFormatting>
  <conditionalFormatting sqref="C22">
    <cfRule type="cellIs" dxfId="178" priority="19" operator="greaterThan">
      <formula>0</formula>
    </cfRule>
    <cfRule type="cellIs" dxfId="177" priority="20" operator="lessThan">
      <formula>0</formula>
    </cfRule>
  </conditionalFormatting>
  <conditionalFormatting sqref="B22:C22">
    <cfRule type="cellIs" dxfId="176" priority="18" operator="greaterThan">
      <formula>0</formula>
    </cfRule>
  </conditionalFormatting>
  <conditionalFormatting sqref="B22:C22">
    <cfRule type="cellIs" dxfId="175" priority="16" operator="greaterThan">
      <formula>0</formula>
    </cfRule>
    <cfRule type="cellIs" dxfId="174" priority="17" operator="lessThan">
      <formula>0</formula>
    </cfRule>
  </conditionalFormatting>
  <conditionalFormatting sqref="F22">
    <cfRule type="cellIs" dxfId="173" priority="15" operator="greaterThan">
      <formula>0</formula>
    </cfRule>
  </conditionalFormatting>
  <conditionalFormatting sqref="F22">
    <cfRule type="cellIs" dxfId="172" priority="13" operator="greaterThan">
      <formula>0</formula>
    </cfRule>
    <cfRule type="cellIs" dxfId="171" priority="14" operator="lessThan">
      <formula>0</formula>
    </cfRule>
  </conditionalFormatting>
  <conditionalFormatting sqref="G22">
    <cfRule type="cellIs" dxfId="170" priority="12" operator="greaterThan">
      <formula>0</formula>
    </cfRule>
  </conditionalFormatting>
  <conditionalFormatting sqref="G22">
    <cfRule type="cellIs" dxfId="169" priority="10" operator="greaterThan">
      <formula>0</formula>
    </cfRule>
    <cfRule type="cellIs" dxfId="168" priority="11" operator="lessThan">
      <formula>0</formula>
    </cfRule>
  </conditionalFormatting>
  <conditionalFormatting sqref="H22">
    <cfRule type="cellIs" dxfId="167" priority="9" operator="greaterThan">
      <formula>0</formula>
    </cfRule>
  </conditionalFormatting>
  <conditionalFormatting sqref="H22">
    <cfRule type="cellIs" dxfId="166" priority="7" operator="greaterThan">
      <formula>0</formula>
    </cfRule>
    <cfRule type="cellIs" dxfId="165" priority="8" operator="lessThan">
      <formula>0</formula>
    </cfRule>
  </conditionalFormatting>
  <conditionalFormatting sqref="I22">
    <cfRule type="cellIs" dxfId="164" priority="6" operator="greaterThan">
      <formula>0</formula>
    </cfRule>
  </conditionalFormatting>
  <conditionalFormatting sqref="I22">
    <cfRule type="cellIs" dxfId="163" priority="4" operator="greaterThan">
      <formula>0</formula>
    </cfRule>
    <cfRule type="cellIs" dxfId="162" priority="5" operator="lessThan">
      <formula>0</formula>
    </cfRule>
  </conditionalFormatting>
  <conditionalFormatting sqref="J22">
    <cfRule type="cellIs" dxfId="161" priority="3" operator="greaterThan">
      <formula>0</formula>
    </cfRule>
  </conditionalFormatting>
  <conditionalFormatting sqref="J22">
    <cfRule type="cellIs" dxfId="160" priority="1" operator="greaterThan">
      <formula>0</formula>
    </cfRule>
    <cfRule type="cellIs" dxfId="159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xSplit="2" ySplit="1" topLeftCell="E2" activePane="bottomRight" state="frozen"/>
      <selection pane="topRight" activeCell="C1" sqref="C1"/>
      <selection pane="bottomLeft" activeCell="A2" sqref="A2"/>
      <selection pane="bottomRight" activeCell="L2" sqref="L2:L29"/>
    </sheetView>
  </sheetViews>
  <sheetFormatPr defaultRowHeight="14.4" x14ac:dyDescent="0.3"/>
  <cols>
    <col min="1" max="1" width="65.33203125" bestFit="1" customWidth="1"/>
    <col min="2" max="2" width="3.44140625" bestFit="1" customWidth="1"/>
    <col min="3" max="12" width="12.6640625" bestFit="1" customWidth="1"/>
    <col min="13" max="13" width="12.33203125" bestFit="1" customWidth="1"/>
  </cols>
  <sheetData>
    <row r="1" spans="1:13" x14ac:dyDescent="0.3">
      <c r="C1" s="107">
        <v>2014</v>
      </c>
      <c r="D1" s="107">
        <v>2015</v>
      </c>
      <c r="E1" s="104">
        <v>2016</v>
      </c>
      <c r="F1" s="12">
        <v>2017</v>
      </c>
      <c r="G1" s="12">
        <v>2018</v>
      </c>
      <c r="H1" s="12">
        <v>2019</v>
      </c>
      <c r="I1" s="12">
        <v>2020</v>
      </c>
      <c r="J1" s="12">
        <v>2021</v>
      </c>
      <c r="K1" s="12">
        <v>2022</v>
      </c>
      <c r="L1" s="12">
        <v>2023</v>
      </c>
      <c r="M1" s="12" t="s">
        <v>265</v>
      </c>
    </row>
    <row r="2" spans="1:13" x14ac:dyDescent="0.3">
      <c r="A2" t="s">
        <v>235</v>
      </c>
      <c r="B2" s="26" t="s">
        <v>259</v>
      </c>
      <c r="C2" s="1">
        <v>1356365480.3599999</v>
      </c>
      <c r="D2" s="1">
        <v>1351633573.4000001</v>
      </c>
      <c r="E2" s="1">
        <v>1366599786.03</v>
      </c>
      <c r="F2" s="1">
        <v>1362710642.46</v>
      </c>
      <c r="G2" s="1">
        <v>1291239842.26</v>
      </c>
      <c r="H2" s="1">
        <v>1350299886.2</v>
      </c>
      <c r="I2" s="1">
        <v>1424174006.3399999</v>
      </c>
      <c r="J2" s="1">
        <v>1408617905.2</v>
      </c>
      <c r="K2" s="1">
        <v>1513539080.7</v>
      </c>
      <c r="L2" s="1">
        <v>1565119406.0999999</v>
      </c>
      <c r="M2" s="1">
        <f>L2-K2</f>
        <v>51580325.399999857</v>
      </c>
    </row>
    <row r="3" spans="1:13" x14ac:dyDescent="0.3">
      <c r="A3" t="s">
        <v>236</v>
      </c>
      <c r="B3" s="26" t="s">
        <v>259</v>
      </c>
      <c r="C3" s="1">
        <v>7129276</v>
      </c>
      <c r="D3" s="1">
        <v>4248293</v>
      </c>
      <c r="E3" s="1">
        <v>6508097.3600000003</v>
      </c>
      <c r="F3" s="1">
        <v>12087303.15</v>
      </c>
      <c r="G3" s="1">
        <v>5536944</v>
      </c>
      <c r="H3" s="1">
        <v>39352762.390000001</v>
      </c>
      <c r="I3" s="1">
        <v>28046353.48</v>
      </c>
      <c r="J3" s="1">
        <v>6596512.8499999996</v>
      </c>
      <c r="K3" s="1">
        <v>1317650.1599999999</v>
      </c>
      <c r="L3" s="1">
        <v>5984541.9500000002</v>
      </c>
      <c r="M3" s="1">
        <f t="shared" ref="M3:M29" si="0">L3-K3</f>
        <v>4666891.79</v>
      </c>
    </row>
    <row r="4" spans="1:13" x14ac:dyDescent="0.3">
      <c r="A4" t="s">
        <v>237</v>
      </c>
      <c r="B4" s="26" t="s">
        <v>259</v>
      </c>
      <c r="C4" s="1">
        <v>240490362.63</v>
      </c>
      <c r="D4" s="1">
        <v>393238943.50999999</v>
      </c>
      <c r="E4" s="1">
        <v>312125856.18000001</v>
      </c>
      <c r="F4" s="1">
        <v>392850049.32999998</v>
      </c>
      <c r="G4" s="1">
        <v>638073952.40999997</v>
      </c>
      <c r="H4" s="1">
        <v>526508776.89999998</v>
      </c>
      <c r="I4" s="1">
        <v>512654949.69</v>
      </c>
      <c r="J4" s="1">
        <v>478555432.94</v>
      </c>
      <c r="K4" s="1">
        <v>677765168.46000004</v>
      </c>
      <c r="L4" s="1">
        <v>721909989.35000002</v>
      </c>
      <c r="M4" s="1">
        <f t="shared" si="0"/>
        <v>44144820.889999986</v>
      </c>
    </row>
    <row r="5" spans="1:13" x14ac:dyDescent="0.3">
      <c r="A5" t="s">
        <v>238</v>
      </c>
      <c r="B5" s="26" t="s">
        <v>259</v>
      </c>
      <c r="C5" s="1">
        <v>26038455.699999999</v>
      </c>
      <c r="D5" s="1">
        <v>20380743.920000002</v>
      </c>
      <c r="E5" s="1">
        <v>18251998.989999998</v>
      </c>
      <c r="F5" s="1">
        <v>22114952.02</v>
      </c>
      <c r="G5" s="1">
        <v>24934953.170000002</v>
      </c>
      <c r="H5" s="1">
        <v>27220539.010000002</v>
      </c>
      <c r="I5" s="1">
        <v>20547334.949999999</v>
      </c>
      <c r="J5" s="1">
        <v>22987974.850000001</v>
      </c>
      <c r="K5" s="1">
        <v>23437965.690000001</v>
      </c>
      <c r="L5" s="1">
        <v>20361644.27</v>
      </c>
      <c r="M5" s="1">
        <f t="shared" si="0"/>
        <v>-3076321.4200000018</v>
      </c>
    </row>
    <row r="6" spans="1:13" x14ac:dyDescent="0.3">
      <c r="A6" t="s">
        <v>239</v>
      </c>
      <c r="B6" s="26" t="s">
        <v>259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f t="shared" si="0"/>
        <v>0</v>
      </c>
    </row>
    <row r="7" spans="1:13" x14ac:dyDescent="0.3">
      <c r="A7" t="s">
        <v>240</v>
      </c>
      <c r="B7" s="26" t="s">
        <v>259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f t="shared" si="0"/>
        <v>0</v>
      </c>
    </row>
    <row r="8" spans="1:13" x14ac:dyDescent="0.3">
      <c r="A8" t="s">
        <v>241</v>
      </c>
      <c r="B8" s="26" t="s">
        <v>259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f t="shared" si="0"/>
        <v>0</v>
      </c>
    </row>
    <row r="9" spans="1:13" x14ac:dyDescent="0.3">
      <c r="A9" s="32" t="s">
        <v>242</v>
      </c>
      <c r="B9" s="33" t="s">
        <v>259</v>
      </c>
      <c r="C9" s="34">
        <v>14184522.66</v>
      </c>
      <c r="D9" s="34">
        <v>10681872.779999999</v>
      </c>
      <c r="E9" s="34">
        <v>23409270.870000001</v>
      </c>
      <c r="F9" s="34">
        <v>18044025.5</v>
      </c>
      <c r="G9" s="34">
        <v>29884239.079999998</v>
      </c>
      <c r="H9" s="34">
        <v>24970550.870000001</v>
      </c>
      <c r="I9" s="34">
        <v>16583010</v>
      </c>
      <c r="J9" s="1">
        <v>7708439.8399999999</v>
      </c>
      <c r="K9" s="1">
        <v>4039576.25</v>
      </c>
      <c r="L9" s="1">
        <v>18696035.16</v>
      </c>
      <c r="M9" s="1">
        <f t="shared" si="0"/>
        <v>14656458.91</v>
      </c>
    </row>
    <row r="10" spans="1:13" x14ac:dyDescent="0.3">
      <c r="A10" s="35" t="s">
        <v>263</v>
      </c>
      <c r="B10" s="36" t="s">
        <v>259</v>
      </c>
      <c r="C10" s="94">
        <f t="shared" ref="C10" si="1">SUM(C2:C9)</f>
        <v>1644208097.3499999</v>
      </c>
      <c r="D10" s="94">
        <f t="shared" ref="D10" si="2">SUM(D2:D9)</f>
        <v>1780183426.6100001</v>
      </c>
      <c r="E10" s="94">
        <f t="shared" ref="E10" si="3">SUM(E2:E9)</f>
        <v>1726895009.4299998</v>
      </c>
      <c r="F10" s="94">
        <f t="shared" ref="F10:L10" si="4">SUM(F2:F9)</f>
        <v>1807806972.46</v>
      </c>
      <c r="G10" s="94">
        <f t="shared" ref="G10:K10" si="5">SUM(G2:G9)</f>
        <v>1989669930.9200001</v>
      </c>
      <c r="H10" s="94">
        <f t="shared" si="5"/>
        <v>1968352515.3700001</v>
      </c>
      <c r="I10" s="94">
        <f t="shared" si="5"/>
        <v>2002005654.46</v>
      </c>
      <c r="J10" s="94">
        <f t="shared" si="5"/>
        <v>1924466265.6799998</v>
      </c>
      <c r="K10" s="94">
        <f t="shared" si="5"/>
        <v>2220099441.2600002</v>
      </c>
      <c r="L10" s="94">
        <f t="shared" si="4"/>
        <v>2332071616.8299999</v>
      </c>
      <c r="M10" s="11">
        <f t="shared" si="0"/>
        <v>111972175.56999969</v>
      </c>
    </row>
    <row r="11" spans="1:13" x14ac:dyDescent="0.3">
      <c r="A11" t="s">
        <v>243</v>
      </c>
      <c r="B11" s="26" t="s">
        <v>260</v>
      </c>
      <c r="C11" s="1">
        <v>539177.24</v>
      </c>
      <c r="D11" s="1">
        <v>1540935.35</v>
      </c>
      <c r="E11" s="1">
        <v>1135796.3700000001</v>
      </c>
      <c r="F11" s="1">
        <v>594511.51</v>
      </c>
      <c r="G11" s="1">
        <v>513255.63</v>
      </c>
      <c r="H11" s="1">
        <v>627867.59</v>
      </c>
      <c r="I11" s="1">
        <v>801007.9</v>
      </c>
      <c r="J11" s="1">
        <v>274591.71000000002</v>
      </c>
      <c r="K11" s="1">
        <v>329798.88</v>
      </c>
      <c r="L11" s="1">
        <v>461106</v>
      </c>
      <c r="M11" s="1">
        <f t="shared" si="0"/>
        <v>131307.12</v>
      </c>
    </row>
    <row r="12" spans="1:13" x14ac:dyDescent="0.3">
      <c r="A12" t="s">
        <v>244</v>
      </c>
      <c r="B12" s="26" t="s">
        <v>260</v>
      </c>
      <c r="C12" s="1">
        <v>50327754.509999998</v>
      </c>
      <c r="D12" s="1">
        <v>91466336.5</v>
      </c>
      <c r="E12" s="1">
        <v>63563453.350000001</v>
      </c>
      <c r="F12" s="1">
        <v>74941415.25</v>
      </c>
      <c r="G12" s="1">
        <v>101634079.83</v>
      </c>
      <c r="H12" s="1">
        <v>104646975.40000001</v>
      </c>
      <c r="I12" s="1">
        <v>59241106.060000002</v>
      </c>
      <c r="J12" s="1">
        <v>83619981.879999995</v>
      </c>
      <c r="K12" s="1">
        <v>112867001.36</v>
      </c>
      <c r="L12" s="1">
        <v>126370512.45</v>
      </c>
      <c r="M12" s="1">
        <f t="shared" si="0"/>
        <v>13503511.090000004</v>
      </c>
    </row>
    <row r="13" spans="1:13" x14ac:dyDescent="0.3">
      <c r="A13" t="s">
        <v>245</v>
      </c>
      <c r="B13" s="26" t="s">
        <v>260</v>
      </c>
      <c r="C13" s="1">
        <v>587104.53</v>
      </c>
      <c r="D13" s="1">
        <v>1036122.92</v>
      </c>
      <c r="E13" s="1">
        <v>626019.03</v>
      </c>
      <c r="F13" s="1">
        <v>566694.74</v>
      </c>
      <c r="G13" s="1">
        <v>572817.69999999995</v>
      </c>
      <c r="H13" s="1">
        <v>596588.12</v>
      </c>
      <c r="I13" s="1">
        <v>134473.69</v>
      </c>
      <c r="J13" s="1">
        <v>575566.81999999995</v>
      </c>
      <c r="K13" s="1">
        <v>619559.80000000005</v>
      </c>
      <c r="L13" s="1">
        <v>400729.17</v>
      </c>
      <c r="M13" s="1">
        <f t="shared" si="0"/>
        <v>-218830.63000000006</v>
      </c>
    </row>
    <row r="14" spans="1:13" x14ac:dyDescent="0.3">
      <c r="A14" t="s">
        <v>246</v>
      </c>
      <c r="B14" s="26" t="s">
        <v>260</v>
      </c>
      <c r="C14" s="1">
        <v>1295619008.53</v>
      </c>
      <c r="D14" s="1">
        <v>1612850098.74</v>
      </c>
      <c r="E14" s="1">
        <v>1517102434.29</v>
      </c>
      <c r="F14" s="1">
        <v>1637039075.0799999</v>
      </c>
      <c r="G14" s="1">
        <v>1731826554.5599999</v>
      </c>
      <c r="H14" s="1">
        <v>1688242348.51</v>
      </c>
      <c r="I14" s="1">
        <v>1821054377.78</v>
      </c>
      <c r="J14" s="1">
        <v>1704878845.1600001</v>
      </c>
      <c r="K14" s="1">
        <v>1890058771.8199999</v>
      </c>
      <c r="L14" s="1">
        <v>2008148186.8</v>
      </c>
      <c r="M14" s="1">
        <f t="shared" si="0"/>
        <v>118089414.98000002</v>
      </c>
    </row>
    <row r="15" spans="1:13" x14ac:dyDescent="0.3">
      <c r="A15" t="s">
        <v>247</v>
      </c>
      <c r="B15" s="26" t="s">
        <v>260</v>
      </c>
      <c r="C15" s="1">
        <v>53790893.859999999</v>
      </c>
      <c r="D15" s="1">
        <v>53954862.619999997</v>
      </c>
      <c r="E15" s="1">
        <v>57358157.969999999</v>
      </c>
      <c r="F15" s="1">
        <v>61951571.060000002</v>
      </c>
      <c r="G15" s="1">
        <v>66441807.32</v>
      </c>
      <c r="H15" s="1">
        <v>66488560.409999996</v>
      </c>
      <c r="I15" s="1">
        <v>60124733.969999999</v>
      </c>
      <c r="J15" s="1">
        <v>50580365.009999998</v>
      </c>
      <c r="K15" s="1">
        <v>50855372.439999998</v>
      </c>
      <c r="L15" s="1">
        <v>50253181.869999997</v>
      </c>
      <c r="M15" s="1">
        <f t="shared" si="0"/>
        <v>-602190.5700000003</v>
      </c>
    </row>
    <row r="16" spans="1:13" x14ac:dyDescent="0.3">
      <c r="A16" t="s">
        <v>248</v>
      </c>
      <c r="B16" s="26" t="s">
        <v>260</v>
      </c>
      <c r="C16" s="1">
        <v>11489083.189999999</v>
      </c>
      <c r="D16" s="1">
        <v>12156423.76</v>
      </c>
      <c r="E16" s="1">
        <v>5475954.4800000004</v>
      </c>
      <c r="F16" s="1">
        <v>5900406.6900000004</v>
      </c>
      <c r="G16" s="1">
        <v>5942534.2999999998</v>
      </c>
      <c r="H16" s="1">
        <v>5907137.4199999999</v>
      </c>
      <c r="I16" s="1">
        <v>6407551.6900000004</v>
      </c>
      <c r="J16" s="1">
        <v>6993347.1900000004</v>
      </c>
      <c r="K16" s="1">
        <v>7694778.6799999997</v>
      </c>
      <c r="L16" s="1">
        <v>8939078.2799999993</v>
      </c>
      <c r="M16" s="1">
        <f t="shared" si="0"/>
        <v>1244299.5999999996</v>
      </c>
    </row>
    <row r="17" spans="1:14" x14ac:dyDescent="0.3">
      <c r="A17" t="s">
        <v>249</v>
      </c>
      <c r="B17" s="26" t="s">
        <v>260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f t="shared" si="0"/>
        <v>0</v>
      </c>
    </row>
    <row r="18" spans="1:14" x14ac:dyDescent="0.3">
      <c r="A18" t="s">
        <v>250</v>
      </c>
      <c r="B18" s="26" t="s">
        <v>260</v>
      </c>
      <c r="C18" s="1">
        <v>0</v>
      </c>
      <c r="D18" s="1">
        <v>0</v>
      </c>
      <c r="E18" s="1">
        <v>2051500</v>
      </c>
      <c r="F18" s="1">
        <v>632499.76</v>
      </c>
      <c r="G18" s="1">
        <v>0</v>
      </c>
      <c r="H18" s="1">
        <v>2570958</v>
      </c>
      <c r="I18" s="1">
        <v>0</v>
      </c>
      <c r="J18" s="1">
        <v>11098978.66</v>
      </c>
      <c r="K18" s="1">
        <v>8305758.6399999997</v>
      </c>
      <c r="L18" s="1">
        <v>53807858.009999998</v>
      </c>
      <c r="M18" s="1">
        <f t="shared" si="0"/>
        <v>45502099.369999997</v>
      </c>
    </row>
    <row r="19" spans="1:14" x14ac:dyDescent="0.3">
      <c r="A19" t="s">
        <v>13</v>
      </c>
      <c r="B19" s="26" t="s">
        <v>260</v>
      </c>
      <c r="C19" s="1">
        <v>0</v>
      </c>
      <c r="D19" s="1">
        <v>0</v>
      </c>
      <c r="E19" s="1">
        <v>45118437.090000004</v>
      </c>
      <c r="F19" s="1">
        <v>20329488.899999999</v>
      </c>
      <c r="G19" s="1">
        <v>24632404.77</v>
      </c>
      <c r="H19" s="1">
        <v>22120567.710000001</v>
      </c>
      <c r="I19" s="1">
        <v>16963879.440000001</v>
      </c>
      <c r="J19" s="1">
        <v>0</v>
      </c>
      <c r="K19" s="1">
        <v>0</v>
      </c>
      <c r="L19" s="1">
        <v>3089355.46</v>
      </c>
      <c r="M19" s="1">
        <f t="shared" si="0"/>
        <v>3089355.46</v>
      </c>
    </row>
    <row r="20" spans="1:14" x14ac:dyDescent="0.3">
      <c r="A20" s="32" t="s">
        <v>251</v>
      </c>
      <c r="B20" s="33" t="s">
        <v>260</v>
      </c>
      <c r="C20" s="34">
        <v>2123661.9300000002</v>
      </c>
      <c r="D20" s="34">
        <v>3273169.68</v>
      </c>
      <c r="E20" s="34">
        <v>1104062.8999999999</v>
      </c>
      <c r="F20" s="34">
        <v>1831314.72</v>
      </c>
      <c r="G20" s="34">
        <v>1943515.1</v>
      </c>
      <c r="H20" s="34">
        <v>4983044.07</v>
      </c>
      <c r="I20" s="34">
        <v>30931290.550000001</v>
      </c>
      <c r="J20" s="1">
        <v>8789802.6799999997</v>
      </c>
      <c r="K20" s="1">
        <v>3331706.22</v>
      </c>
      <c r="L20" s="1">
        <v>17878144.59</v>
      </c>
      <c r="M20" s="1">
        <f t="shared" si="0"/>
        <v>14546438.369999999</v>
      </c>
    </row>
    <row r="21" spans="1:14" x14ac:dyDescent="0.3">
      <c r="A21" s="35" t="s">
        <v>264</v>
      </c>
      <c r="B21" s="36" t="s">
        <v>260</v>
      </c>
      <c r="C21" s="94">
        <f>SUM(C11:C20)</f>
        <v>1414476683.79</v>
      </c>
      <c r="D21" s="94">
        <f>SUM(D11:D20)</f>
        <v>1776277949.5699999</v>
      </c>
      <c r="E21" s="94">
        <f>SUM(E11:E20)</f>
        <v>1693535815.48</v>
      </c>
      <c r="F21" s="94">
        <f t="shared" ref="F21:L21" si="6">SUM(F11:F20)</f>
        <v>1803786977.71</v>
      </c>
      <c r="G21" s="94">
        <f t="shared" ref="G21:K21" si="7">SUM(G11:G20)</f>
        <v>1933506969.2099998</v>
      </c>
      <c r="H21" s="94">
        <f t="shared" si="7"/>
        <v>1896184047.23</v>
      </c>
      <c r="I21" s="94">
        <f t="shared" si="7"/>
        <v>1995658421.0800002</v>
      </c>
      <c r="J21" s="94">
        <f t="shared" si="7"/>
        <v>1866811479.1100004</v>
      </c>
      <c r="K21" s="94">
        <f t="shared" si="7"/>
        <v>2074062747.8400002</v>
      </c>
      <c r="L21" s="94">
        <f t="shared" si="6"/>
        <v>2269348152.6300006</v>
      </c>
      <c r="M21" s="11">
        <f t="shared" si="0"/>
        <v>195285404.79000044</v>
      </c>
    </row>
    <row r="22" spans="1:14" x14ac:dyDescent="0.3">
      <c r="A22" t="s">
        <v>252</v>
      </c>
      <c r="B22" s="26" t="s">
        <v>259</v>
      </c>
      <c r="C22" s="1">
        <v>58422.9</v>
      </c>
      <c r="D22" s="1">
        <v>22325.85</v>
      </c>
      <c r="E22" s="1">
        <v>110559.58</v>
      </c>
      <c r="F22" s="1">
        <v>7409.35</v>
      </c>
      <c r="G22" s="1">
        <v>6905.64</v>
      </c>
      <c r="H22" s="1">
        <v>107820.79</v>
      </c>
      <c r="I22" s="1">
        <v>4389.6499999999996</v>
      </c>
      <c r="J22" s="1">
        <v>1875.99</v>
      </c>
      <c r="K22" s="1">
        <v>2705.59</v>
      </c>
      <c r="L22" s="1">
        <v>690208.35</v>
      </c>
      <c r="M22" s="1">
        <f t="shared" si="0"/>
        <v>687502.76</v>
      </c>
    </row>
    <row r="23" spans="1:14" x14ac:dyDescent="0.3">
      <c r="A23" t="s">
        <v>253</v>
      </c>
      <c r="B23" s="26" t="s">
        <v>260</v>
      </c>
      <c r="C23" s="1">
        <v>9882108.4800000004</v>
      </c>
      <c r="D23" s="1">
        <v>8401279.5500000007</v>
      </c>
      <c r="E23" s="1">
        <v>7260057.7800000003</v>
      </c>
      <c r="F23" s="1">
        <v>6235613.7300000004</v>
      </c>
      <c r="G23" s="1">
        <v>7320424.29</v>
      </c>
      <c r="H23" s="1">
        <v>5765523.7300000004</v>
      </c>
      <c r="I23" s="1">
        <v>6225752.8700000001</v>
      </c>
      <c r="J23" s="1">
        <v>5996976.9699999997</v>
      </c>
      <c r="K23" s="1">
        <v>6457027.21</v>
      </c>
      <c r="L23" s="1">
        <v>7413198.25</v>
      </c>
      <c r="M23" s="1">
        <f t="shared" si="0"/>
        <v>956171.04</v>
      </c>
    </row>
    <row r="24" spans="1:14" x14ac:dyDescent="0.3">
      <c r="A24" t="s">
        <v>254</v>
      </c>
      <c r="B24" s="26" t="s">
        <v>259</v>
      </c>
      <c r="C24" s="1">
        <v>0</v>
      </c>
      <c r="D24" s="1">
        <v>0</v>
      </c>
      <c r="E24" s="1">
        <v>-1065896.92</v>
      </c>
      <c r="F24" s="1">
        <v>0</v>
      </c>
      <c r="G24" s="1">
        <v>-2752131.32</v>
      </c>
      <c r="H24" s="1">
        <v>-111233.64</v>
      </c>
      <c r="I24" s="1">
        <v>-2487063.44</v>
      </c>
      <c r="J24" s="1">
        <v>-57964.79</v>
      </c>
      <c r="K24" s="1">
        <v>-5168.07</v>
      </c>
      <c r="L24" s="1">
        <v>0</v>
      </c>
      <c r="M24" s="1">
        <f t="shared" si="0"/>
        <v>5168.07</v>
      </c>
    </row>
    <row r="25" spans="1:14" x14ac:dyDescent="0.3">
      <c r="A25" t="s">
        <v>255</v>
      </c>
      <c r="B25" s="26" t="s">
        <v>259</v>
      </c>
      <c r="C25" s="1">
        <v>122132035.36</v>
      </c>
      <c r="D25" s="1">
        <v>92746140.489999995</v>
      </c>
      <c r="E25" s="1">
        <v>85738222.090000004</v>
      </c>
      <c r="F25" s="1">
        <v>98320037.159999996</v>
      </c>
      <c r="G25" s="1">
        <v>83561617.480000004</v>
      </c>
      <c r="H25" s="1">
        <v>78777539.719999999</v>
      </c>
      <c r="I25" s="1">
        <v>59673832.020000003</v>
      </c>
      <c r="J25" s="1">
        <v>101158815.87</v>
      </c>
      <c r="K25" s="1">
        <v>81862615.170000002</v>
      </c>
      <c r="L25" s="1">
        <v>56368685.619999997</v>
      </c>
      <c r="M25" s="1">
        <f t="shared" si="0"/>
        <v>-25493929.550000004</v>
      </c>
    </row>
    <row r="26" spans="1:14" x14ac:dyDescent="0.3">
      <c r="A26" t="s">
        <v>256</v>
      </c>
      <c r="B26" s="26" t="s">
        <v>260</v>
      </c>
      <c r="C26" s="1">
        <v>308490800.25999999</v>
      </c>
      <c r="D26" s="1">
        <v>117368467.54000001</v>
      </c>
      <c r="E26" s="1">
        <v>142937981.96000001</v>
      </c>
      <c r="F26" s="1">
        <v>170010271.81999999</v>
      </c>
      <c r="G26" s="1">
        <v>102373616.23</v>
      </c>
      <c r="H26" s="1">
        <v>102547512.08</v>
      </c>
      <c r="I26" s="1">
        <v>48005780.549999997</v>
      </c>
      <c r="J26" s="1">
        <v>48337638.710000001</v>
      </c>
      <c r="K26" s="1">
        <v>45400027.200000003</v>
      </c>
      <c r="L26" s="1">
        <v>57570107.960000001</v>
      </c>
      <c r="M26" s="1">
        <f t="shared" si="0"/>
        <v>12170080.759999998</v>
      </c>
    </row>
    <row r="27" spans="1:14" x14ac:dyDescent="0.3">
      <c r="A27" t="s">
        <v>257</v>
      </c>
      <c r="B27" s="26" t="s">
        <v>260</v>
      </c>
      <c r="C27" s="1">
        <v>3902444.09</v>
      </c>
      <c r="D27" s="1">
        <v>4036777.51</v>
      </c>
      <c r="E27" s="1">
        <v>3767000.3</v>
      </c>
      <c r="F27" s="1">
        <v>4080647.74</v>
      </c>
      <c r="G27" s="1">
        <v>4530893.55</v>
      </c>
      <c r="H27" s="1">
        <v>4375257.03</v>
      </c>
      <c r="I27" s="1">
        <v>4069276.36</v>
      </c>
      <c r="J27" s="1">
        <v>3373105.8</v>
      </c>
      <c r="K27" s="1">
        <v>3438759.2</v>
      </c>
      <c r="L27" s="1">
        <v>3389827.03</v>
      </c>
      <c r="M27" s="1">
        <f t="shared" si="0"/>
        <v>-48932.170000000391</v>
      </c>
    </row>
    <row r="28" spans="1:14" x14ac:dyDescent="0.3">
      <c r="A28" s="10" t="s">
        <v>258</v>
      </c>
      <c r="B28" s="36" t="s">
        <v>261</v>
      </c>
      <c r="C28" s="37">
        <f>C10-C21+C22-C23+C24+C25-C26-C27</f>
        <v>29646518.989999983</v>
      </c>
      <c r="D28" s="37">
        <f>D10-D21+D22-D23+D24+D25-D26-D27</f>
        <v>-33132581.219999813</v>
      </c>
      <c r="E28" s="37">
        <f>E10-E21+E22-E23+E24+E25-E26-E27</f>
        <v>-35822961.340000197</v>
      </c>
      <c r="F28" s="37">
        <f t="shared" ref="F28:L28" si="8">F10-F21+F22-F23+F24+F25-F26-F27</f>
        <v>-77979092.029999986</v>
      </c>
      <c r="G28" s="37">
        <f t="shared" ref="G28:K28" si="9">G10-G21+G22-G23+G24+G25-G26-G27</f>
        <v>22754419.440000277</v>
      </c>
      <c r="H28" s="37">
        <f t="shared" si="9"/>
        <v>38254302.170000091</v>
      </c>
      <c r="I28" s="37">
        <f t="shared" si="9"/>
        <v>5237581.8299998865</v>
      </c>
      <c r="J28" s="37">
        <f t="shared" si="9"/>
        <v>101049792.15999947</v>
      </c>
      <c r="K28" s="37">
        <f t="shared" si="9"/>
        <v>172601032.50000012</v>
      </c>
      <c r="L28" s="37">
        <f t="shared" si="8"/>
        <v>51409224.929999329</v>
      </c>
      <c r="M28" s="37">
        <f t="shared" si="0"/>
        <v>-121191807.5700008</v>
      </c>
    </row>
    <row r="29" spans="1:14" x14ac:dyDescent="0.3">
      <c r="A29" s="72" t="s">
        <v>371</v>
      </c>
      <c r="B29" s="114"/>
      <c r="C29" s="115">
        <f>C10-SUM(C11:C15)+C17</f>
        <v>243344158.68000007</v>
      </c>
      <c r="D29" s="115">
        <f t="shared" ref="D29:L29" si="10">D10-SUM(D11:D15)+D17</f>
        <v>19335070.480000257</v>
      </c>
      <c r="E29" s="115">
        <f t="shared" si="10"/>
        <v>87109148.419999838</v>
      </c>
      <c r="F29" s="115">
        <f t="shared" si="10"/>
        <v>32713704.820000172</v>
      </c>
      <c r="G29" s="115">
        <f t="shared" si="10"/>
        <v>88681415.880000114</v>
      </c>
      <c r="H29" s="115">
        <f t="shared" si="10"/>
        <v>107750175.34000015</v>
      </c>
      <c r="I29" s="115">
        <f t="shared" si="10"/>
        <v>60649955.059999943</v>
      </c>
      <c r="J29" s="115">
        <f t="shared" ref="J29" si="11">J10-SUM(J11:J15)+J17</f>
        <v>84536915.099999666</v>
      </c>
      <c r="K29" s="115">
        <f t="shared" ref="K29" si="12">K10-SUM(K11:K15)+K17</f>
        <v>165368936.96000028</v>
      </c>
      <c r="L29" s="115">
        <f t="shared" si="10"/>
        <v>146437900.53999996</v>
      </c>
      <c r="M29" s="115">
        <f t="shared" si="0"/>
        <v>-18931036.420000315</v>
      </c>
      <c r="N29" s="115"/>
    </row>
  </sheetData>
  <conditionalFormatting sqref="E28:F28 L28">
    <cfRule type="cellIs" dxfId="158" priority="41" operator="greaterThan">
      <formula>0</formula>
    </cfRule>
  </conditionalFormatting>
  <conditionalFormatting sqref="E28:F28 L28">
    <cfRule type="cellIs" dxfId="157" priority="38" operator="greaterThan">
      <formula>0</formula>
    </cfRule>
  </conditionalFormatting>
  <conditionalFormatting sqref="C28:E28">
    <cfRule type="cellIs" dxfId="156" priority="31" operator="greaterThan">
      <formula>0</formula>
    </cfRule>
  </conditionalFormatting>
  <conditionalFormatting sqref="C28:E28">
    <cfRule type="cellIs" dxfId="155" priority="30" operator="greaterThan">
      <formula>0</formula>
    </cfRule>
  </conditionalFormatting>
  <conditionalFormatting sqref="C28">
    <cfRule type="cellIs" dxfId="154" priority="29" operator="greaterThan">
      <formula>0</formula>
    </cfRule>
  </conditionalFormatting>
  <conditionalFormatting sqref="C28">
    <cfRule type="cellIs" dxfId="153" priority="28" operator="greaterThan">
      <formula>0</formula>
    </cfRule>
  </conditionalFormatting>
  <conditionalFormatting sqref="G28">
    <cfRule type="cellIs" dxfId="152" priority="27" operator="greaterThan">
      <formula>0</formula>
    </cfRule>
  </conditionalFormatting>
  <conditionalFormatting sqref="G28">
    <cfRule type="cellIs" dxfId="151" priority="26" operator="greaterThan">
      <formula>0</formula>
    </cfRule>
  </conditionalFormatting>
  <conditionalFormatting sqref="H28">
    <cfRule type="cellIs" dxfId="150" priority="25" operator="greaterThan">
      <formula>0</formula>
    </cfRule>
  </conditionalFormatting>
  <conditionalFormatting sqref="H28">
    <cfRule type="cellIs" dxfId="149" priority="24" operator="greaterThan">
      <formula>0</formula>
    </cfRule>
  </conditionalFormatting>
  <conditionalFormatting sqref="I28">
    <cfRule type="cellIs" dxfId="148" priority="23" operator="greaterThan">
      <formula>0</formula>
    </cfRule>
  </conditionalFormatting>
  <conditionalFormatting sqref="I28">
    <cfRule type="cellIs" dxfId="147" priority="22" operator="greaterThan">
      <formula>0</formula>
    </cfRule>
  </conditionalFormatting>
  <conditionalFormatting sqref="C29:I29 L29 N29">
    <cfRule type="cellIs" dxfId="146" priority="21" operator="greaterThan">
      <formula>0</formula>
    </cfRule>
  </conditionalFormatting>
  <conditionalFormatting sqref="C29:I29 L29">
    <cfRule type="cellIs" dxfId="145" priority="20" operator="greaterThan">
      <formula>0</formula>
    </cfRule>
  </conditionalFormatting>
  <conditionalFormatting sqref="C29:I29 L29">
    <cfRule type="cellIs" dxfId="144" priority="19" operator="greaterThan">
      <formula>0</formula>
    </cfRule>
  </conditionalFormatting>
  <conditionalFormatting sqref="C29:I29 L29">
    <cfRule type="cellIs" dxfId="143" priority="18" operator="greaterThan">
      <formula>0</formula>
    </cfRule>
  </conditionalFormatting>
  <conditionalFormatting sqref="J28">
    <cfRule type="cellIs" dxfId="142" priority="16" operator="greaterThan">
      <formula>0</formula>
    </cfRule>
  </conditionalFormatting>
  <conditionalFormatting sqref="J28">
    <cfRule type="cellIs" dxfId="141" priority="15" operator="greaterThan">
      <formula>0</formula>
    </cfRule>
  </conditionalFormatting>
  <conditionalFormatting sqref="J29">
    <cfRule type="cellIs" dxfId="140" priority="14" operator="greaterThan">
      <formula>0</formula>
    </cfRule>
  </conditionalFormatting>
  <conditionalFormatting sqref="J29">
    <cfRule type="cellIs" dxfId="139" priority="13" operator="greaterThan">
      <formula>0</formula>
    </cfRule>
  </conditionalFormatting>
  <conditionalFormatting sqref="J29">
    <cfRule type="cellIs" dxfId="138" priority="12" operator="greaterThan">
      <formula>0</formula>
    </cfRule>
  </conditionalFormatting>
  <conditionalFormatting sqref="J29">
    <cfRule type="cellIs" dxfId="137" priority="11" operator="greaterThan">
      <formula>0</formula>
    </cfRule>
  </conditionalFormatting>
  <conditionalFormatting sqref="K28">
    <cfRule type="cellIs" dxfId="136" priority="8" operator="greaterThan">
      <formula>0</formula>
    </cfRule>
  </conditionalFormatting>
  <conditionalFormatting sqref="K28">
    <cfRule type="cellIs" dxfId="135" priority="7" operator="greaterThan">
      <formula>0</formula>
    </cfRule>
  </conditionalFormatting>
  <conditionalFormatting sqref="K29">
    <cfRule type="cellIs" dxfId="134" priority="6" operator="greaterThan">
      <formula>0</formula>
    </cfRule>
  </conditionalFormatting>
  <conditionalFormatting sqref="K29">
    <cfRule type="cellIs" dxfId="133" priority="5" operator="greaterThan">
      <formula>0</formula>
    </cfRule>
  </conditionalFormatting>
  <conditionalFormatting sqref="K29">
    <cfRule type="cellIs" dxfId="132" priority="4" operator="greaterThan">
      <formula>0</formula>
    </cfRule>
  </conditionalFormatting>
  <conditionalFormatting sqref="K29">
    <cfRule type="cellIs" dxfId="131" priority="3" operator="greaterThan">
      <formula>0</formula>
    </cfRule>
  </conditionalFormatting>
  <conditionalFormatting sqref="M28">
    <cfRule type="cellIs" dxfId="130" priority="2" operator="greaterThan">
      <formula>0</formula>
    </cfRule>
  </conditionalFormatting>
  <conditionalFormatting sqref="M29">
    <cfRule type="cellIs" dxfId="12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workbookViewId="0">
      <selection activeCell="L1" sqref="L1:L16"/>
    </sheetView>
  </sheetViews>
  <sheetFormatPr defaultRowHeight="14.4" x14ac:dyDescent="0.3"/>
  <cols>
    <col min="1" max="1" width="50.6640625" bestFit="1" customWidth="1"/>
    <col min="2" max="11" width="13.33203125" bestFit="1" customWidth="1"/>
    <col min="12" max="12" width="12.33203125" bestFit="1" customWidth="1"/>
  </cols>
  <sheetData>
    <row r="1" spans="1:12" x14ac:dyDescent="0.3">
      <c r="A1" s="41"/>
      <c r="B1" s="42">
        <v>2014</v>
      </c>
      <c r="C1" s="42">
        <v>2015</v>
      </c>
      <c r="D1" s="42">
        <v>2016</v>
      </c>
      <c r="E1" s="42">
        <v>2017</v>
      </c>
      <c r="F1" s="42">
        <v>2018</v>
      </c>
      <c r="G1" s="42">
        <v>2019</v>
      </c>
      <c r="H1" s="42">
        <v>2020</v>
      </c>
      <c r="I1" s="42">
        <v>2021</v>
      </c>
      <c r="J1" s="42">
        <v>2022</v>
      </c>
      <c r="K1" s="42">
        <v>2023</v>
      </c>
      <c r="L1" s="42" t="s">
        <v>265</v>
      </c>
    </row>
    <row r="2" spans="1:12" x14ac:dyDescent="0.3">
      <c r="A2" s="71" t="s">
        <v>342</v>
      </c>
      <c r="B2" s="64">
        <f>Conto_economico!C10</f>
        <v>1644208097.3499999</v>
      </c>
      <c r="C2" s="64">
        <f>Conto_economico!D10</f>
        <v>1780183426.6100001</v>
      </c>
      <c r="D2" s="64">
        <f>Conto_economico!E10</f>
        <v>1726895009.4299998</v>
      </c>
      <c r="E2" s="64">
        <f>Conto_economico!F10</f>
        <v>1807806972.46</v>
      </c>
      <c r="F2" s="64">
        <f>Conto_economico!G10</f>
        <v>1989669930.9200001</v>
      </c>
      <c r="G2" s="64">
        <f>Conto_economico!H10</f>
        <v>1968352515.3700001</v>
      </c>
      <c r="H2" s="64">
        <f>Conto_economico!I10</f>
        <v>2002005654.46</v>
      </c>
      <c r="I2" s="64">
        <f>Conto_economico!J10</f>
        <v>1924466265.6799998</v>
      </c>
      <c r="J2" s="64">
        <f>Conto_economico!K10</f>
        <v>2220099441.2600002</v>
      </c>
      <c r="K2" s="64">
        <f>Conto_economico!L10</f>
        <v>2332071616.8299999</v>
      </c>
      <c r="L2" s="64">
        <f t="shared" ref="L2:L16" si="0">K2-J2</f>
        <v>111972175.56999969</v>
      </c>
    </row>
    <row r="3" spans="1:12" x14ac:dyDescent="0.3">
      <c r="A3" s="71" t="s">
        <v>337</v>
      </c>
      <c r="B3" s="64">
        <f>Conto_economico!C2</f>
        <v>1356365480.3599999</v>
      </c>
      <c r="C3" s="64">
        <f>Conto_economico!D2</f>
        <v>1351633573.4000001</v>
      </c>
      <c r="D3" s="64">
        <f>Conto_economico!E2</f>
        <v>1366599786.03</v>
      </c>
      <c r="E3" s="64">
        <f>Conto_economico!F2</f>
        <v>1362710642.46</v>
      </c>
      <c r="F3" s="64">
        <f>Conto_economico!G2</f>
        <v>1291239842.26</v>
      </c>
      <c r="G3" s="64">
        <f>Conto_economico!H2</f>
        <v>1350299886.2</v>
      </c>
      <c r="H3" s="64">
        <f>Conto_economico!I2</f>
        <v>1424174006.3399999</v>
      </c>
      <c r="I3" s="64">
        <f>Conto_economico!J2</f>
        <v>1408617905.2</v>
      </c>
      <c r="J3" s="64">
        <f>Conto_economico!K2</f>
        <v>1513539080.7</v>
      </c>
      <c r="K3" s="64">
        <f>Conto_economico!L2</f>
        <v>1565119406.0999999</v>
      </c>
      <c r="L3" s="64">
        <f t="shared" si="0"/>
        <v>51580325.399999857</v>
      </c>
    </row>
    <row r="4" spans="1:12" x14ac:dyDescent="0.3">
      <c r="A4" s="71" t="s">
        <v>338</v>
      </c>
      <c r="B4" s="64">
        <f>Conto_economico!C4</f>
        <v>240490362.63</v>
      </c>
      <c r="C4" s="64">
        <f>Conto_economico!D4</f>
        <v>393238943.50999999</v>
      </c>
      <c r="D4" s="64">
        <f>Conto_economico!E4</f>
        <v>312125856.18000001</v>
      </c>
      <c r="E4" s="64">
        <f>Conto_economico!F4</f>
        <v>392850049.32999998</v>
      </c>
      <c r="F4" s="64">
        <f>Conto_economico!G4</f>
        <v>638073952.40999997</v>
      </c>
      <c r="G4" s="64">
        <f>Conto_economico!H4</f>
        <v>526508776.89999998</v>
      </c>
      <c r="H4" s="64">
        <f>Conto_economico!I4</f>
        <v>512654949.69</v>
      </c>
      <c r="I4" s="64">
        <f>Conto_economico!J4</f>
        <v>478555432.94</v>
      </c>
      <c r="J4" s="64">
        <f>Conto_economico!K4</f>
        <v>677765168.46000004</v>
      </c>
      <c r="K4" s="64">
        <f>Conto_economico!L4</f>
        <v>721909989.35000002</v>
      </c>
      <c r="L4" s="64">
        <f t="shared" si="0"/>
        <v>44144820.889999986</v>
      </c>
    </row>
    <row r="5" spans="1:12" x14ac:dyDescent="0.3">
      <c r="A5" s="71" t="s">
        <v>343</v>
      </c>
      <c r="B5" s="65">
        <f>Conto_economico!C21</f>
        <v>1414476683.79</v>
      </c>
      <c r="C5" s="65">
        <f>Conto_economico!D21</f>
        <v>1776277949.5699999</v>
      </c>
      <c r="D5" s="65">
        <f>Conto_economico!E21</f>
        <v>1693535815.48</v>
      </c>
      <c r="E5" s="65">
        <f>Conto_economico!F21</f>
        <v>1803786977.71</v>
      </c>
      <c r="F5" s="65">
        <f>Conto_economico!G21</f>
        <v>1933506969.2099998</v>
      </c>
      <c r="G5" s="65">
        <f>Conto_economico!H21</f>
        <v>1896184047.23</v>
      </c>
      <c r="H5" s="65">
        <f>Conto_economico!I21</f>
        <v>1995658421.0800002</v>
      </c>
      <c r="I5" s="65">
        <f>Conto_economico!J21</f>
        <v>1866811479.1100004</v>
      </c>
      <c r="J5" s="65">
        <f>Conto_economico!K21</f>
        <v>2074062747.8400002</v>
      </c>
      <c r="K5" s="65">
        <f>Conto_economico!L21</f>
        <v>2269348152.6300006</v>
      </c>
      <c r="L5" s="64">
        <f t="shared" si="0"/>
        <v>195285404.79000044</v>
      </c>
    </row>
    <row r="6" spans="1:12" x14ac:dyDescent="0.3">
      <c r="A6" s="71" t="s">
        <v>339</v>
      </c>
      <c r="B6" s="64">
        <f>Conto_economico!C12</f>
        <v>50327754.509999998</v>
      </c>
      <c r="C6" s="64">
        <f>Conto_economico!D12</f>
        <v>91466336.5</v>
      </c>
      <c r="D6" s="64">
        <f>Conto_economico!E12</f>
        <v>63563453.350000001</v>
      </c>
      <c r="E6" s="64">
        <f>Conto_economico!F12</f>
        <v>74941415.25</v>
      </c>
      <c r="F6" s="64">
        <f>Conto_economico!G12</f>
        <v>101634079.83</v>
      </c>
      <c r="G6" s="64">
        <f>Conto_economico!H12</f>
        <v>104646975.40000001</v>
      </c>
      <c r="H6" s="64">
        <f>Conto_economico!I12</f>
        <v>59241106.060000002</v>
      </c>
      <c r="I6" s="64">
        <f>Conto_economico!J12</f>
        <v>83619981.879999995</v>
      </c>
      <c r="J6" s="64">
        <f>Conto_economico!K12</f>
        <v>112867001.36</v>
      </c>
      <c r="K6" s="64">
        <f>Conto_economico!L12</f>
        <v>126370512.45</v>
      </c>
      <c r="L6" s="64">
        <f t="shared" si="0"/>
        <v>13503511.090000004</v>
      </c>
    </row>
    <row r="7" spans="1:12" x14ac:dyDescent="0.3">
      <c r="A7" s="71" t="s">
        <v>340</v>
      </c>
      <c r="B7" s="64">
        <f>Conto_economico!C15</f>
        <v>53790893.859999999</v>
      </c>
      <c r="C7" s="64">
        <f>Conto_economico!D15</f>
        <v>53954862.619999997</v>
      </c>
      <c r="D7" s="64">
        <f>Conto_economico!E15</f>
        <v>57358157.969999999</v>
      </c>
      <c r="E7" s="64">
        <f>Conto_economico!F15</f>
        <v>61951571.060000002</v>
      </c>
      <c r="F7" s="64">
        <f>Conto_economico!G15</f>
        <v>66441807.32</v>
      </c>
      <c r="G7" s="64">
        <f>Conto_economico!H15</f>
        <v>66488560.409999996</v>
      </c>
      <c r="H7" s="64">
        <f>Conto_economico!I15</f>
        <v>60124733.969999999</v>
      </c>
      <c r="I7" s="64">
        <f>Conto_economico!J15</f>
        <v>50580365.009999998</v>
      </c>
      <c r="J7" s="64">
        <f>Conto_economico!K15</f>
        <v>50855372.439999998</v>
      </c>
      <c r="K7" s="64">
        <f>Conto_economico!L15</f>
        <v>50253181.869999997</v>
      </c>
      <c r="L7" s="64">
        <f t="shared" si="0"/>
        <v>-602190.5700000003</v>
      </c>
    </row>
    <row r="8" spans="1:12" x14ac:dyDescent="0.3">
      <c r="A8" s="71" t="s">
        <v>341</v>
      </c>
      <c r="B8" s="64">
        <f>Conto_economico!C16</f>
        <v>11489083.189999999</v>
      </c>
      <c r="C8" s="64">
        <f>Conto_economico!D16</f>
        <v>12156423.76</v>
      </c>
      <c r="D8" s="64">
        <f>Conto_economico!E16</f>
        <v>5475954.4800000004</v>
      </c>
      <c r="E8" s="64">
        <f>Conto_economico!F16</f>
        <v>5900406.6900000004</v>
      </c>
      <c r="F8" s="64">
        <f>Conto_economico!G16</f>
        <v>5942534.2999999998</v>
      </c>
      <c r="G8" s="64">
        <f>Conto_economico!H16</f>
        <v>5907137.4199999999</v>
      </c>
      <c r="H8" s="64">
        <f>Conto_economico!I16</f>
        <v>6407551.6900000004</v>
      </c>
      <c r="I8" s="64">
        <f>Conto_economico!J16</f>
        <v>6993347.1900000004</v>
      </c>
      <c r="J8" s="64">
        <f>Conto_economico!K16</f>
        <v>7694778.6799999997</v>
      </c>
      <c r="K8" s="64">
        <f>Conto_economico!L16</f>
        <v>8939078.2799999993</v>
      </c>
      <c r="L8" s="64">
        <f t="shared" si="0"/>
        <v>1244299.5999999996</v>
      </c>
    </row>
    <row r="9" spans="1:12" x14ac:dyDescent="0.3">
      <c r="A9" s="47" t="s">
        <v>371</v>
      </c>
      <c r="B9" s="66">
        <f>Conto_economico!C$29</f>
        <v>243344158.68000007</v>
      </c>
      <c r="C9" s="66">
        <f>Conto_economico!D$29</f>
        <v>19335070.480000257</v>
      </c>
      <c r="D9" s="66">
        <f>Conto_economico!E$29</f>
        <v>87109148.419999838</v>
      </c>
      <c r="E9" s="66">
        <f>Conto_economico!F$29</f>
        <v>32713704.820000172</v>
      </c>
      <c r="F9" s="66">
        <f>Conto_economico!G$29</f>
        <v>88681415.880000114</v>
      </c>
      <c r="G9" s="66">
        <f>Conto_economico!H$29</f>
        <v>107750175.34000015</v>
      </c>
      <c r="H9" s="66">
        <f>Conto_economico!I$29</f>
        <v>60649955.059999943</v>
      </c>
      <c r="I9" s="66">
        <f>Conto_economico!J$29</f>
        <v>84536915.099999666</v>
      </c>
      <c r="J9" s="66">
        <f>Conto_economico!K$29</f>
        <v>165368936.96000028</v>
      </c>
      <c r="K9" s="66">
        <f>Conto_economico!L$29</f>
        <v>146437900.53999996</v>
      </c>
      <c r="L9" s="66">
        <f t="shared" si="0"/>
        <v>-18931036.420000315</v>
      </c>
    </row>
    <row r="10" spans="1:12" x14ac:dyDescent="0.3">
      <c r="A10" s="47" t="s">
        <v>305</v>
      </c>
      <c r="B10" s="66">
        <f t="shared" ref="B10:C10" si="1">B2-B5</f>
        <v>229731413.55999994</v>
      </c>
      <c r="C10" s="66">
        <f t="shared" si="1"/>
        <v>3905477.0400002003</v>
      </c>
      <c r="D10" s="66">
        <f t="shared" ref="D10:K10" si="2">D2-D5</f>
        <v>33359193.949999809</v>
      </c>
      <c r="E10" s="66">
        <f t="shared" si="2"/>
        <v>4019994.75</v>
      </c>
      <c r="F10" s="66">
        <f t="shared" ref="F10:J10" si="3">F2-F5</f>
        <v>56162961.710000277</v>
      </c>
      <c r="G10" s="66">
        <f t="shared" si="3"/>
        <v>72168468.140000105</v>
      </c>
      <c r="H10" s="66">
        <f t="shared" si="3"/>
        <v>6347233.379999876</v>
      </c>
      <c r="I10" s="66">
        <f t="shared" si="3"/>
        <v>57654786.569999456</v>
      </c>
      <c r="J10" s="66">
        <f t="shared" si="3"/>
        <v>146036693.42000008</v>
      </c>
      <c r="K10" s="66">
        <f t="shared" si="2"/>
        <v>62723464.199999332</v>
      </c>
      <c r="L10" s="66">
        <f t="shared" si="0"/>
        <v>-83313229.220000744</v>
      </c>
    </row>
    <row r="11" spans="1:12" x14ac:dyDescent="0.3">
      <c r="A11" s="71" t="s">
        <v>306</v>
      </c>
      <c r="B11" s="64">
        <f>Conto_economico!C22-Conto_economico!C23</f>
        <v>-9823685.5800000001</v>
      </c>
      <c r="C11" s="64">
        <f>Conto_economico!D22-Conto_economico!D23</f>
        <v>-8378953.7000000011</v>
      </c>
      <c r="D11" s="64">
        <f>Conto_economico!E22-Conto_economico!E23</f>
        <v>-7149498.2000000002</v>
      </c>
      <c r="E11" s="64">
        <f>Conto_economico!F22-Conto_economico!F23</f>
        <v>-6228204.3800000008</v>
      </c>
      <c r="F11" s="64">
        <f>Conto_economico!G22-Conto_economico!G23</f>
        <v>-7313518.6500000004</v>
      </c>
      <c r="G11" s="64">
        <f>Conto_economico!H22-Conto_economico!H23</f>
        <v>-5657702.9400000004</v>
      </c>
      <c r="H11" s="64">
        <f>Conto_economico!I22-Conto_economico!I23</f>
        <v>-6221363.2199999997</v>
      </c>
      <c r="I11" s="64">
        <f>Conto_economico!J22-Conto_economico!J23</f>
        <v>-5995100.9799999995</v>
      </c>
      <c r="J11" s="64">
        <f>Conto_economico!K22-Conto_economico!K23</f>
        <v>-6454321.6200000001</v>
      </c>
      <c r="K11" s="64">
        <f>Conto_economico!L22-Conto_economico!L23</f>
        <v>-6722989.9000000004</v>
      </c>
      <c r="L11" s="64">
        <f t="shared" si="0"/>
        <v>-268668.28000000026</v>
      </c>
    </row>
    <row r="12" spans="1:12" x14ac:dyDescent="0.3">
      <c r="A12" s="71" t="s">
        <v>307</v>
      </c>
      <c r="B12" s="65">
        <f>Conto_economico!C25-Conto_economico!C26</f>
        <v>-186358764.89999998</v>
      </c>
      <c r="C12" s="65">
        <f>Conto_economico!D25-Conto_economico!D26</f>
        <v>-24622327.050000012</v>
      </c>
      <c r="D12" s="65">
        <f>Conto_economico!E25-Conto_economico!E26</f>
        <v>-57199759.870000005</v>
      </c>
      <c r="E12" s="65">
        <f>Conto_economico!F25-Conto_economico!F26</f>
        <v>-71690234.659999996</v>
      </c>
      <c r="F12" s="65">
        <f>Conto_economico!G25-Conto_economico!G26</f>
        <v>-18811998.75</v>
      </c>
      <c r="G12" s="65">
        <f>Conto_economico!H25-Conto_economico!H26</f>
        <v>-23769972.359999999</v>
      </c>
      <c r="H12" s="65">
        <f>Conto_economico!I25-Conto_economico!I26</f>
        <v>11668051.470000006</v>
      </c>
      <c r="I12" s="65">
        <f>Conto_economico!J25-Conto_economico!J26</f>
        <v>52821177.160000004</v>
      </c>
      <c r="J12" s="65">
        <f>Conto_economico!K25-Conto_economico!K26</f>
        <v>36462587.969999999</v>
      </c>
      <c r="K12" s="65">
        <f>Conto_economico!L25-Conto_economico!L26</f>
        <v>-1201422.3400000036</v>
      </c>
      <c r="L12" s="64">
        <f t="shared" si="0"/>
        <v>-37664010.310000002</v>
      </c>
    </row>
    <row r="13" spans="1:12" x14ac:dyDescent="0.3">
      <c r="A13" s="71" t="s">
        <v>254</v>
      </c>
      <c r="B13" s="65">
        <f>Conto_economico!C24</f>
        <v>0</v>
      </c>
      <c r="C13" s="65">
        <f>Conto_economico!D24</f>
        <v>0</v>
      </c>
      <c r="D13" s="65">
        <f>Conto_economico!E24</f>
        <v>-1065896.92</v>
      </c>
      <c r="E13" s="65">
        <f>Conto_economico!F24</f>
        <v>0</v>
      </c>
      <c r="F13" s="65">
        <f>Conto_economico!G24</f>
        <v>-2752131.32</v>
      </c>
      <c r="G13" s="65">
        <f>Conto_economico!H24</f>
        <v>-111233.64</v>
      </c>
      <c r="H13" s="65">
        <f>Conto_economico!I24</f>
        <v>-2487063.44</v>
      </c>
      <c r="I13" s="65">
        <f>Conto_economico!J24</f>
        <v>-57964.79</v>
      </c>
      <c r="J13" s="65">
        <f>Conto_economico!K24</f>
        <v>-5168.07</v>
      </c>
      <c r="K13" s="65">
        <f>Conto_economico!L24</f>
        <v>0</v>
      </c>
      <c r="L13" s="64">
        <f t="shared" si="0"/>
        <v>5168.07</v>
      </c>
    </row>
    <row r="14" spans="1:12" x14ac:dyDescent="0.3">
      <c r="A14" s="47" t="s">
        <v>308</v>
      </c>
      <c r="B14" s="66">
        <f t="shared" ref="B14:C14" si="4">SUM(B10:B13)</f>
        <v>33548963.079999954</v>
      </c>
      <c r="C14" s="66">
        <f t="shared" si="4"/>
        <v>-29095803.709999815</v>
      </c>
      <c r="D14" s="66">
        <f t="shared" ref="D14:K14" si="5">SUM(D10:D13)</f>
        <v>-32055961.040000193</v>
      </c>
      <c r="E14" s="66">
        <f t="shared" si="5"/>
        <v>-73898444.289999992</v>
      </c>
      <c r="F14" s="66">
        <f t="shared" ref="F14:J14" si="6">SUM(F10:F13)</f>
        <v>27285312.990000278</v>
      </c>
      <c r="G14" s="66">
        <f t="shared" si="6"/>
        <v>42629559.200000107</v>
      </c>
      <c r="H14" s="66">
        <f t="shared" si="6"/>
        <v>9306858.189999884</v>
      </c>
      <c r="I14" s="66">
        <f t="shared" si="6"/>
        <v>104422897.95999946</v>
      </c>
      <c r="J14" s="66">
        <f t="shared" si="6"/>
        <v>176039791.70000008</v>
      </c>
      <c r="K14" s="66">
        <f t="shared" si="5"/>
        <v>54799051.95999933</v>
      </c>
      <c r="L14" s="66">
        <f t="shared" si="0"/>
        <v>-121240739.74000075</v>
      </c>
    </row>
    <row r="15" spans="1:12" x14ac:dyDescent="0.3">
      <c r="A15" s="71" t="s">
        <v>257</v>
      </c>
      <c r="B15" s="64">
        <f>Conto_economico!C27</f>
        <v>3902444.09</v>
      </c>
      <c r="C15" s="64">
        <f>Conto_economico!D27</f>
        <v>4036777.51</v>
      </c>
      <c r="D15" s="64">
        <f>Conto_economico!E27</f>
        <v>3767000.3</v>
      </c>
      <c r="E15" s="64">
        <f>Conto_economico!F27</f>
        <v>4080647.74</v>
      </c>
      <c r="F15" s="64">
        <f>Conto_economico!G27</f>
        <v>4530893.55</v>
      </c>
      <c r="G15" s="64">
        <f>Conto_economico!H27</f>
        <v>4375257.03</v>
      </c>
      <c r="H15" s="64">
        <f>Conto_economico!I27</f>
        <v>4069276.36</v>
      </c>
      <c r="I15" s="64">
        <f>Conto_economico!J27</f>
        <v>3373105.8</v>
      </c>
      <c r="J15" s="64">
        <f>Conto_economico!K27</f>
        <v>3438759.2</v>
      </c>
      <c r="K15" s="64">
        <f>Conto_economico!L27</f>
        <v>3389827.03</v>
      </c>
      <c r="L15" s="64">
        <f t="shared" si="0"/>
        <v>-48932.170000000391</v>
      </c>
    </row>
    <row r="16" spans="1:12" x14ac:dyDescent="0.3">
      <c r="A16" s="70" t="s">
        <v>258</v>
      </c>
      <c r="B16" s="67">
        <f t="shared" ref="B16:C16" si="7">B14-B15</f>
        <v>29646518.989999954</v>
      </c>
      <c r="C16" s="67">
        <f t="shared" si="7"/>
        <v>-33132581.219999813</v>
      </c>
      <c r="D16" s="67">
        <f t="shared" ref="D16:K16" si="8">D14-D15</f>
        <v>-35822961.34000019</v>
      </c>
      <c r="E16" s="67">
        <f t="shared" si="8"/>
        <v>-77979092.029999986</v>
      </c>
      <c r="F16" s="67">
        <f t="shared" ref="F16:J16" si="9">F14-F15</f>
        <v>22754419.440000277</v>
      </c>
      <c r="G16" s="67">
        <f t="shared" si="9"/>
        <v>38254302.170000106</v>
      </c>
      <c r="H16" s="67">
        <f t="shared" si="9"/>
        <v>5237581.8299998846</v>
      </c>
      <c r="I16" s="67">
        <f t="shared" si="9"/>
        <v>101049792.15999946</v>
      </c>
      <c r="J16" s="67">
        <f t="shared" si="9"/>
        <v>172601032.50000009</v>
      </c>
      <c r="K16" s="67">
        <f t="shared" si="8"/>
        <v>51409224.929999329</v>
      </c>
      <c r="L16" s="67">
        <f t="shared" si="0"/>
        <v>-121191807.57000077</v>
      </c>
    </row>
  </sheetData>
  <conditionalFormatting sqref="D16:E16 K16">
    <cfRule type="cellIs" dxfId="128" priority="35" operator="greaterThan">
      <formula>0</formula>
    </cfRule>
  </conditionalFormatting>
  <conditionalFormatting sqref="D10:E10 D14:E14 K14 K10">
    <cfRule type="cellIs" dxfId="127" priority="34" operator="lessThan">
      <formula>0</formula>
    </cfRule>
  </conditionalFormatting>
  <conditionalFormatting sqref="C16">
    <cfRule type="cellIs" dxfId="126" priority="22" operator="greaterThan">
      <formula>0</formula>
    </cfRule>
  </conditionalFormatting>
  <conditionalFormatting sqref="C10 C14">
    <cfRule type="cellIs" dxfId="125" priority="21" operator="lessThan">
      <formula>0</formula>
    </cfRule>
  </conditionalFormatting>
  <conditionalFormatting sqref="B16">
    <cfRule type="cellIs" dxfId="124" priority="20" operator="greaterThan">
      <formula>0</formula>
    </cfRule>
  </conditionalFormatting>
  <conditionalFormatting sqref="B10 B14">
    <cfRule type="cellIs" dxfId="123" priority="19" operator="lessThan">
      <formula>0</formula>
    </cfRule>
  </conditionalFormatting>
  <conditionalFormatting sqref="F16">
    <cfRule type="cellIs" dxfId="122" priority="18" operator="greaterThan">
      <formula>0</formula>
    </cfRule>
  </conditionalFormatting>
  <conditionalFormatting sqref="F14 F10">
    <cfRule type="cellIs" dxfId="121" priority="17" operator="lessThan">
      <formula>0</formula>
    </cfRule>
  </conditionalFormatting>
  <conditionalFormatting sqref="G16">
    <cfRule type="cellIs" dxfId="120" priority="16" operator="greaterThan">
      <formula>0</formula>
    </cfRule>
  </conditionalFormatting>
  <conditionalFormatting sqref="G14 G10">
    <cfRule type="cellIs" dxfId="119" priority="15" operator="lessThan">
      <formula>0</formula>
    </cfRule>
  </conditionalFormatting>
  <conditionalFormatting sqref="H16">
    <cfRule type="cellIs" dxfId="118" priority="14" operator="greaterThan">
      <formula>0</formula>
    </cfRule>
  </conditionalFormatting>
  <conditionalFormatting sqref="H14 H10">
    <cfRule type="cellIs" dxfId="117" priority="13" operator="lessThan">
      <formula>0</formula>
    </cfRule>
  </conditionalFormatting>
  <conditionalFormatting sqref="B9:H9 K9">
    <cfRule type="cellIs" dxfId="116" priority="11" operator="lessThan">
      <formula>0</formula>
    </cfRule>
  </conditionalFormatting>
  <conditionalFormatting sqref="I16">
    <cfRule type="cellIs" dxfId="115" priority="10" operator="greaterThan">
      <formula>0</formula>
    </cfRule>
  </conditionalFormatting>
  <conditionalFormatting sqref="I14 I10">
    <cfRule type="cellIs" dxfId="114" priority="9" operator="lessThan">
      <formula>0</formula>
    </cfRule>
  </conditionalFormatting>
  <conditionalFormatting sqref="I9">
    <cfRule type="cellIs" dxfId="113" priority="8" operator="lessThan">
      <formula>0</formula>
    </cfRule>
  </conditionalFormatting>
  <conditionalFormatting sqref="J16">
    <cfRule type="cellIs" dxfId="112" priority="5" operator="greaterThan">
      <formula>0</formula>
    </cfRule>
  </conditionalFormatting>
  <conditionalFormatting sqref="J14 J10">
    <cfRule type="cellIs" dxfId="111" priority="4" operator="lessThan">
      <formula>0</formula>
    </cfRule>
  </conditionalFormatting>
  <conditionalFormatting sqref="J9">
    <cfRule type="cellIs" dxfId="110" priority="3" operator="lessThan">
      <formula>0</formula>
    </cfRule>
  </conditionalFormatting>
  <conditionalFormatting sqref="L16">
    <cfRule type="cellIs" dxfId="109" priority="2" operator="greaterThan">
      <formula>0</formula>
    </cfRule>
  </conditionalFormatting>
  <conditionalFormatting sqref="L14 L9:L10">
    <cfRule type="cellIs" dxfId="108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tabSelected="1" topLeftCell="A3" workbookViewId="0">
      <selection activeCell="K2" sqref="K2:K30"/>
    </sheetView>
  </sheetViews>
  <sheetFormatPr defaultRowHeight="14.4" x14ac:dyDescent="0.3"/>
  <cols>
    <col min="1" max="1" width="51.6640625" style="32" bestFit="1" customWidth="1"/>
    <col min="2" max="11" width="13.88671875" bestFit="1" customWidth="1"/>
    <col min="12" max="13" width="12.6640625" bestFit="1" customWidth="1"/>
  </cols>
  <sheetData>
    <row r="1" spans="1:11" x14ac:dyDescent="0.3">
      <c r="A1" s="73"/>
      <c r="B1" s="96">
        <v>2014</v>
      </c>
      <c r="C1" s="96">
        <v>2015</v>
      </c>
      <c r="D1" s="96">
        <v>2016</v>
      </c>
      <c r="E1" s="69">
        <v>2017</v>
      </c>
      <c r="F1" s="69">
        <v>2018</v>
      </c>
      <c r="G1" s="69">
        <v>2019</v>
      </c>
      <c r="H1" s="69">
        <v>2020</v>
      </c>
      <c r="I1" s="69">
        <v>2021</v>
      </c>
      <c r="J1" s="69">
        <v>2022</v>
      </c>
      <c r="K1" s="69">
        <v>2023</v>
      </c>
    </row>
    <row r="2" spans="1:11" x14ac:dyDescent="0.3">
      <c r="A2" s="32" t="s">
        <v>212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</row>
    <row r="3" spans="1:11" x14ac:dyDescent="0.3">
      <c r="A3" s="32" t="s">
        <v>213</v>
      </c>
      <c r="B3" s="1">
        <v>588190763.10000002</v>
      </c>
      <c r="C3" s="1">
        <v>617372277.62</v>
      </c>
      <c r="D3" s="1">
        <v>1782411.12</v>
      </c>
      <c r="E3" s="1">
        <v>3023703.16</v>
      </c>
      <c r="F3" s="1">
        <v>3239214.85</v>
      </c>
      <c r="G3" s="1">
        <v>3409484.18</v>
      </c>
      <c r="H3" s="1">
        <v>4488123.53</v>
      </c>
      <c r="I3" s="1">
        <v>6360739.6900000004</v>
      </c>
      <c r="J3" s="1">
        <v>8128264.1600000001</v>
      </c>
      <c r="K3" s="1">
        <v>8978540.5500000007</v>
      </c>
    </row>
    <row r="4" spans="1:11" x14ac:dyDescent="0.3">
      <c r="A4" s="32" t="s">
        <v>214</v>
      </c>
      <c r="B4" s="1">
        <v>199731909.06</v>
      </c>
      <c r="C4" s="1">
        <v>263756475.30000001</v>
      </c>
      <c r="D4" s="1">
        <v>211460868.22</v>
      </c>
      <c r="E4" s="1">
        <v>206073629.81999999</v>
      </c>
      <c r="F4" s="1">
        <v>204492458.00999999</v>
      </c>
      <c r="G4" s="1">
        <v>198213295.31</v>
      </c>
      <c r="H4" s="1">
        <v>192319921.66999999</v>
      </c>
      <c r="I4" s="1">
        <v>189236035.74000001</v>
      </c>
      <c r="J4" s="1">
        <v>185664734.87</v>
      </c>
      <c r="K4" s="1">
        <v>179621679.5</v>
      </c>
    </row>
    <row r="5" spans="1:11" x14ac:dyDescent="0.3">
      <c r="A5" s="32" t="s">
        <v>228</v>
      </c>
      <c r="B5" s="1">
        <v>16791554.920000002</v>
      </c>
      <c r="C5" s="1">
        <v>17591554.920000002</v>
      </c>
      <c r="D5" s="1">
        <v>21844116.829999998</v>
      </c>
      <c r="E5" s="1">
        <v>21844116.829999998</v>
      </c>
      <c r="F5" s="1">
        <v>17408997.350000001</v>
      </c>
      <c r="G5" s="1">
        <v>19660194.300000001</v>
      </c>
      <c r="H5" s="1">
        <v>17282489.260000002</v>
      </c>
      <c r="I5" s="1">
        <v>24989217.899999999</v>
      </c>
      <c r="J5" s="1">
        <v>31931181.190000001</v>
      </c>
      <c r="K5" s="1">
        <v>32416566.190000001</v>
      </c>
    </row>
    <row r="6" spans="1:11" x14ac:dyDescent="0.3">
      <c r="A6" s="32" t="s">
        <v>229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</row>
    <row r="7" spans="1:11" x14ac:dyDescent="0.3">
      <c r="A7" s="32" t="s">
        <v>230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3">
      <c r="A8" s="32" t="s">
        <v>231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x14ac:dyDescent="0.3">
      <c r="A9" s="32" t="s">
        <v>215</v>
      </c>
      <c r="B9" s="1">
        <v>1217383092.96</v>
      </c>
      <c r="C9" s="1">
        <v>1466117125</v>
      </c>
      <c r="D9" s="1">
        <v>1145690894.73</v>
      </c>
      <c r="E9" s="1">
        <v>1247310339.1600001</v>
      </c>
      <c r="F9" s="1">
        <v>1596942302.77</v>
      </c>
      <c r="G9" s="1">
        <v>1864313962.9400001</v>
      </c>
      <c r="H9" s="1">
        <v>2017244678.1600001</v>
      </c>
      <c r="I9" s="1">
        <v>2062913406.3900001</v>
      </c>
      <c r="J9" s="1">
        <v>2228199734.2199998</v>
      </c>
      <c r="K9" s="1">
        <v>1618465232.0999999</v>
      </c>
    </row>
    <row r="10" spans="1:11" x14ac:dyDescent="0.3">
      <c r="A10" s="99" t="s">
        <v>359</v>
      </c>
      <c r="B10" s="1">
        <v>168499599.94999999</v>
      </c>
      <c r="C10" s="1">
        <v>128780290.5</v>
      </c>
      <c r="D10" s="1">
        <v>140334037.34</v>
      </c>
      <c r="E10" s="1">
        <v>134185412.64</v>
      </c>
      <c r="F10" s="1">
        <v>220151523.63</v>
      </c>
      <c r="G10" s="1">
        <v>385059971.63</v>
      </c>
      <c r="H10" s="1">
        <v>297640105.5</v>
      </c>
      <c r="I10" s="1">
        <v>172632273.63999999</v>
      </c>
      <c r="J10" s="1">
        <v>95078861.430000007</v>
      </c>
      <c r="K10" s="1">
        <v>131538227.47</v>
      </c>
    </row>
    <row r="11" spans="1:11" x14ac:dyDescent="0.3">
      <c r="A11" s="99" t="s">
        <v>363</v>
      </c>
      <c r="B11" s="1">
        <v>715470241.63999999</v>
      </c>
      <c r="C11" s="1">
        <v>463284236.32999998</v>
      </c>
      <c r="D11" s="1">
        <v>480838163.63999999</v>
      </c>
      <c r="E11" s="1">
        <v>458929907.76999998</v>
      </c>
      <c r="F11" s="1">
        <v>654729736.12</v>
      </c>
      <c r="G11" s="1">
        <v>758427874.62</v>
      </c>
      <c r="H11" s="1">
        <v>819500144.40999997</v>
      </c>
      <c r="I11" s="1">
        <v>731425962.10000002</v>
      </c>
      <c r="J11" s="1">
        <v>975385968.80999994</v>
      </c>
      <c r="K11" s="1">
        <v>1136062906.7</v>
      </c>
    </row>
    <row r="12" spans="1:11" x14ac:dyDescent="0.3">
      <c r="A12" s="32" t="s">
        <v>232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1:11" x14ac:dyDescent="0.3">
      <c r="A13" s="32" t="s">
        <v>216</v>
      </c>
      <c r="B13" s="1">
        <v>661154779.71000004</v>
      </c>
      <c r="C13" s="1">
        <v>511285154.04000002</v>
      </c>
      <c r="D13" s="1">
        <v>243734844.09999999</v>
      </c>
      <c r="E13" s="1">
        <v>344797589.99000001</v>
      </c>
      <c r="F13" s="1">
        <v>182076022.71000001</v>
      </c>
      <c r="G13" s="1">
        <v>261182313.46000001</v>
      </c>
      <c r="H13" s="1">
        <v>354328149.48000002</v>
      </c>
      <c r="I13" s="1">
        <v>544078635.10000002</v>
      </c>
      <c r="J13" s="1">
        <v>584079618.87</v>
      </c>
      <c r="K13" s="1">
        <v>520501039.52999997</v>
      </c>
    </row>
    <row r="14" spans="1:11" x14ac:dyDescent="0.3">
      <c r="A14" s="32" t="s">
        <v>217</v>
      </c>
      <c r="B14" s="1">
        <v>0</v>
      </c>
      <c r="C14" s="1">
        <v>0</v>
      </c>
      <c r="D14" s="1">
        <v>2640238.2999999998</v>
      </c>
      <c r="E14" s="1">
        <v>2211321.09</v>
      </c>
      <c r="F14" s="1">
        <v>1536788.2</v>
      </c>
      <c r="G14" s="1">
        <v>1375964.61</v>
      </c>
      <c r="H14" s="1">
        <v>1238133.74</v>
      </c>
      <c r="I14" s="1">
        <v>78115233.379999995</v>
      </c>
      <c r="J14" s="1">
        <v>125287365.69</v>
      </c>
      <c r="K14" s="1">
        <v>139388567.84999999</v>
      </c>
    </row>
    <row r="15" spans="1:11" x14ac:dyDescent="0.3">
      <c r="A15" s="10" t="s">
        <v>218</v>
      </c>
      <c r="B15" s="11">
        <f t="shared" ref="B15:E15" si="0">SUM(B2:B9)+SUM(B12:B14)</f>
        <v>2683252099.75</v>
      </c>
      <c r="C15" s="11">
        <f t="shared" ref="C15" si="1">SUM(C2:C9)+SUM(C12:C14)</f>
        <v>2876122586.8800001</v>
      </c>
      <c r="D15" s="11">
        <f t="shared" si="0"/>
        <v>1627153373.3000002</v>
      </c>
      <c r="E15" s="11">
        <f t="shared" si="0"/>
        <v>1825260700.05</v>
      </c>
      <c r="F15" s="11">
        <f t="shared" ref="F15:K15" si="2">SUM(F2:F9)+SUM(F12:F14)</f>
        <v>2005695783.8900001</v>
      </c>
      <c r="G15" s="11">
        <f t="shared" si="2"/>
        <v>2348155214.8000002</v>
      </c>
      <c r="H15" s="11">
        <f t="shared" si="2"/>
        <v>2586901495.8400002</v>
      </c>
      <c r="I15" s="11">
        <f t="shared" si="2"/>
        <v>2905693268.2000003</v>
      </c>
      <c r="J15" s="11">
        <f t="shared" si="2"/>
        <v>3163290898.9999995</v>
      </c>
      <c r="K15" s="11">
        <f t="shared" si="2"/>
        <v>2499371625.7199998</v>
      </c>
    </row>
    <row r="16" spans="1:11" x14ac:dyDescent="0.3">
      <c r="A16" s="32" t="s">
        <v>219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</row>
    <row r="17" spans="1:13" x14ac:dyDescent="0.3">
      <c r="A17" s="32" t="s">
        <v>220</v>
      </c>
      <c r="B17" s="1">
        <f>386385475.02+953586693.39</f>
        <v>1339972168.4099998</v>
      </c>
      <c r="C17" s="1">
        <v>1369618687.4000001</v>
      </c>
      <c r="D17" s="1">
        <v>657732292.53999996</v>
      </c>
      <c r="E17" s="1">
        <v>655656664.88999999</v>
      </c>
      <c r="F17" s="1">
        <v>580827446.38999999</v>
      </c>
      <c r="G17" s="1">
        <v>604009508.55999994</v>
      </c>
      <c r="H17" s="1">
        <v>641194737.48000002</v>
      </c>
      <c r="I17" s="1">
        <v>605713867.82000005</v>
      </c>
      <c r="J17" s="1">
        <v>612652260.10000002</v>
      </c>
      <c r="K17" s="1">
        <v>613137645.10000002</v>
      </c>
    </row>
    <row r="18" spans="1:13" x14ac:dyDescent="0.3">
      <c r="A18" s="32" t="s">
        <v>221</v>
      </c>
      <c r="B18" s="1">
        <v>29646518.989999998</v>
      </c>
      <c r="C18" s="1">
        <v>-33132581.219999999</v>
      </c>
      <c r="D18" s="1">
        <v>-35822961.340000004</v>
      </c>
      <c r="E18" s="1">
        <v>-77979092.030000001</v>
      </c>
      <c r="F18" s="1">
        <v>22754419.440000001</v>
      </c>
      <c r="G18" s="1">
        <v>38254302.170000002</v>
      </c>
      <c r="H18" s="1">
        <v>5237581.83</v>
      </c>
      <c r="I18" s="1">
        <v>101049792.2</v>
      </c>
      <c r="J18" s="1">
        <v>172601032.56</v>
      </c>
      <c r="K18" s="1">
        <v>51409224.969999999</v>
      </c>
    </row>
    <row r="19" spans="1:13" x14ac:dyDescent="0.3">
      <c r="A19" s="32" t="s">
        <v>369</v>
      </c>
      <c r="B19" s="1"/>
      <c r="C19" s="1"/>
      <c r="D19" s="1"/>
      <c r="E19" s="1"/>
      <c r="F19" s="1"/>
      <c r="G19" s="1"/>
      <c r="H19" s="1"/>
      <c r="I19" s="1">
        <v>43491884</v>
      </c>
      <c r="J19" s="1">
        <v>144447582.84999999</v>
      </c>
      <c r="K19" s="1">
        <v>317678253.99000001</v>
      </c>
    </row>
    <row r="20" spans="1:13" x14ac:dyDescent="0.3">
      <c r="A20" s="32" t="s">
        <v>370</v>
      </c>
      <c r="B20" s="1"/>
      <c r="C20" s="1"/>
      <c r="D20" s="1"/>
      <c r="E20" s="1"/>
      <c r="F20" s="1"/>
      <c r="G20" s="1"/>
      <c r="H20" s="1"/>
      <c r="I20" s="1">
        <v>0</v>
      </c>
      <c r="J20" s="1">
        <v>0</v>
      </c>
      <c r="K20" s="1">
        <v>0</v>
      </c>
    </row>
    <row r="21" spans="1:13" x14ac:dyDescent="0.3">
      <c r="A21" s="32" t="s">
        <v>222</v>
      </c>
      <c r="B21" s="1">
        <v>120198167.33</v>
      </c>
      <c r="C21" s="1">
        <v>75990686</v>
      </c>
      <c r="D21" s="1">
        <v>87004389.810000002</v>
      </c>
      <c r="E21" s="1">
        <v>49885789.240000002</v>
      </c>
      <c r="F21" s="1">
        <v>33044127.870000001</v>
      </c>
      <c r="G21" s="1">
        <v>53376877.090000004</v>
      </c>
      <c r="H21" s="1">
        <v>45819707.420000002</v>
      </c>
      <c r="I21" s="1">
        <v>49213508.530000001</v>
      </c>
      <c r="J21" s="1">
        <v>54269084.359999999</v>
      </c>
      <c r="K21" s="1">
        <v>89401044.819999993</v>
      </c>
    </row>
    <row r="22" spans="1:13" x14ac:dyDescent="0.3">
      <c r="A22" s="32" t="s">
        <v>209</v>
      </c>
      <c r="B22" s="1">
        <v>328774163.14999998</v>
      </c>
      <c r="C22" s="1">
        <v>622232605.88999999</v>
      </c>
      <c r="D22" s="1">
        <v>525976016.42000002</v>
      </c>
      <c r="E22" s="1">
        <v>622503670.46000004</v>
      </c>
      <c r="F22" s="1">
        <v>696870524.99000001</v>
      </c>
      <c r="G22" s="1">
        <v>832208957.48000002</v>
      </c>
      <c r="H22" s="1">
        <v>1000698567.91</v>
      </c>
      <c r="I22" s="1">
        <v>983305720.48000002</v>
      </c>
      <c r="J22" s="1">
        <v>986260652.14999998</v>
      </c>
      <c r="K22" s="1">
        <v>276541956.08999997</v>
      </c>
    </row>
    <row r="23" spans="1:13" x14ac:dyDescent="0.3">
      <c r="A23" s="32" t="s">
        <v>223</v>
      </c>
      <c r="B23" s="1">
        <v>903256.39</v>
      </c>
      <c r="C23" s="1">
        <v>24452696.530000001</v>
      </c>
      <c r="D23" s="1">
        <v>2406277.14</v>
      </c>
      <c r="E23" s="1">
        <v>1866342.02</v>
      </c>
      <c r="F23" s="1">
        <v>1747502.97</v>
      </c>
      <c r="G23" s="1">
        <v>1774863.49</v>
      </c>
      <c r="H23" s="1">
        <v>3441052.19</v>
      </c>
      <c r="I23" s="1">
        <v>3254577.97</v>
      </c>
      <c r="J23" s="1">
        <v>3162636.76</v>
      </c>
      <c r="K23" s="1">
        <v>3197381.32</v>
      </c>
    </row>
    <row r="24" spans="1:13" x14ac:dyDescent="0.3">
      <c r="A24" s="32" t="s">
        <v>224</v>
      </c>
      <c r="B24" s="1">
        <v>662202612.69000006</v>
      </c>
      <c r="C24" s="1">
        <v>736205940.41999996</v>
      </c>
      <c r="D24" s="1">
        <v>277174061.86000001</v>
      </c>
      <c r="E24" s="1">
        <v>455912433.56999999</v>
      </c>
      <c r="F24" s="1">
        <v>544770686.22000003</v>
      </c>
      <c r="G24" s="1">
        <v>688946478.49000001</v>
      </c>
      <c r="H24" s="1">
        <v>755252109.10000002</v>
      </c>
      <c r="I24" s="1">
        <v>863484310.50999999</v>
      </c>
      <c r="J24" s="1">
        <v>1029482381.29</v>
      </c>
      <c r="K24" s="1">
        <v>1037132562.39</v>
      </c>
    </row>
    <row r="25" spans="1:13" x14ac:dyDescent="0.3">
      <c r="A25" s="99" t="s">
        <v>360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3" x14ac:dyDescent="0.3">
      <c r="A26" s="99" t="s">
        <v>361</v>
      </c>
      <c r="B26" s="1">
        <v>406675941.97000003</v>
      </c>
      <c r="C26" s="1">
        <v>197750374.68000001</v>
      </c>
      <c r="D26" s="1">
        <v>79397827.75</v>
      </c>
      <c r="E26" s="1">
        <v>227822781.91</v>
      </c>
      <c r="F26" s="1">
        <v>284408384.91000003</v>
      </c>
      <c r="G26" s="1">
        <v>425677550.13999999</v>
      </c>
      <c r="H26" s="1">
        <v>472791285.01999998</v>
      </c>
      <c r="I26" s="1">
        <v>525641973.11000001</v>
      </c>
      <c r="J26" s="1">
        <v>709729850.84000003</v>
      </c>
      <c r="K26" s="1">
        <v>673388035.10000002</v>
      </c>
    </row>
    <row r="27" spans="1:13" x14ac:dyDescent="0.3">
      <c r="A27" s="32" t="s">
        <v>225</v>
      </c>
      <c r="B27" s="1">
        <v>201555212.78999999</v>
      </c>
      <c r="C27" s="1">
        <v>80454551.859999999</v>
      </c>
      <c r="D27" s="1">
        <v>103375505.76000001</v>
      </c>
      <c r="E27" s="1">
        <v>108439186.63</v>
      </c>
      <c r="F27" s="1">
        <v>114863763.69</v>
      </c>
      <c r="G27" s="1">
        <v>118926886.33</v>
      </c>
      <c r="H27" s="1">
        <v>124760369.84999999</v>
      </c>
      <c r="I27" s="1">
        <v>245816411.40000001</v>
      </c>
      <c r="J27" s="1">
        <v>150212044.77000001</v>
      </c>
      <c r="K27" s="1">
        <v>101610699.41</v>
      </c>
      <c r="L27" s="1"/>
      <c r="M27" s="1"/>
    </row>
    <row r="28" spans="1:13" x14ac:dyDescent="0.3">
      <c r="A28" s="32" t="s">
        <v>226</v>
      </c>
      <c r="B28" s="1">
        <v>0</v>
      </c>
      <c r="C28" s="1">
        <v>300000</v>
      </c>
      <c r="D28" s="1">
        <v>9307791.1099999994</v>
      </c>
      <c r="E28" s="1">
        <v>8975705.2699999996</v>
      </c>
      <c r="F28" s="1">
        <v>10817312.32</v>
      </c>
      <c r="G28" s="1">
        <v>10657341.189999999</v>
      </c>
      <c r="H28" s="1">
        <v>10497370.060000001</v>
      </c>
      <c r="I28" s="1">
        <v>10363195.289999999</v>
      </c>
      <c r="J28" s="1">
        <v>10203224.16</v>
      </c>
      <c r="K28" s="1">
        <v>9262857.6500000004</v>
      </c>
    </row>
    <row r="29" spans="1:13" x14ac:dyDescent="0.3">
      <c r="A29" s="72" t="s">
        <v>227</v>
      </c>
      <c r="B29" s="3">
        <f t="shared" ref="B29:E29" si="3">SUM(B16:B28)-B25-B26</f>
        <v>2683252099.75</v>
      </c>
      <c r="C29" s="3">
        <f t="shared" ref="C29" si="4">SUM(C16:C28)-C25-C26</f>
        <v>2876122586.8800001</v>
      </c>
      <c r="D29" s="3">
        <f t="shared" si="3"/>
        <v>1627153373.3000002</v>
      </c>
      <c r="E29" s="3">
        <f t="shared" si="3"/>
        <v>1825260700.05</v>
      </c>
      <c r="F29" s="3">
        <f t="shared" ref="F29:K29" si="5">SUM(F16:F28)-F25-F26</f>
        <v>2005695783.8900001</v>
      </c>
      <c r="G29" s="3">
        <f t="shared" si="5"/>
        <v>2348155214.7999997</v>
      </c>
      <c r="H29" s="3">
        <f t="shared" si="5"/>
        <v>2586901495.8399997</v>
      </c>
      <c r="I29" s="3">
        <f t="shared" si="5"/>
        <v>2905693268.2000003</v>
      </c>
      <c r="J29" s="3">
        <f t="shared" si="5"/>
        <v>3163290898.9999995</v>
      </c>
      <c r="K29" s="3">
        <f t="shared" si="5"/>
        <v>2499371625.7399998</v>
      </c>
    </row>
    <row r="30" spans="1:13" x14ac:dyDescent="0.3">
      <c r="A30" s="10" t="s">
        <v>266</v>
      </c>
      <c r="B30" s="11">
        <f t="shared" ref="B30:F30" si="6">B16+B17+B18</f>
        <v>1369618687.3999999</v>
      </c>
      <c r="C30" s="11">
        <f t="shared" si="6"/>
        <v>1336486106.1800001</v>
      </c>
      <c r="D30" s="11">
        <f t="shared" si="6"/>
        <v>621909331.19999993</v>
      </c>
      <c r="E30" s="11">
        <f t="shared" si="6"/>
        <v>577677572.86000001</v>
      </c>
      <c r="F30" s="11">
        <f t="shared" si="6"/>
        <v>603581865.83000004</v>
      </c>
      <c r="G30" s="11">
        <f t="shared" ref="G30:H30" si="7">G16+G17+G18</f>
        <v>642263810.7299999</v>
      </c>
      <c r="H30" s="11">
        <f t="shared" si="7"/>
        <v>646432319.31000006</v>
      </c>
      <c r="I30" s="11">
        <f>SUM(I16:I20)</f>
        <v>750255544.0200001</v>
      </c>
      <c r="J30" s="11">
        <f>SUM(J16:J20)</f>
        <v>929700875.51000011</v>
      </c>
      <c r="K30" s="11">
        <f>SUM(K16:K20)</f>
        <v>982225124.06000006</v>
      </c>
    </row>
    <row r="31" spans="1:13" x14ac:dyDescent="0.3">
      <c r="F31" s="6">
        <f t="shared" ref="F31:K31" si="8">F30/F29*100</f>
        <v>30.09339056690677</v>
      </c>
      <c r="G31" s="6">
        <f t="shared" si="8"/>
        <v>27.351846533905711</v>
      </c>
      <c r="H31" s="6">
        <f t="shared" si="8"/>
        <v>24.988671596097838</v>
      </c>
      <c r="I31" s="6">
        <f t="shared" si="8"/>
        <v>25.820190734886602</v>
      </c>
      <c r="J31" s="6">
        <f t="shared" si="8"/>
        <v>29.390306019718366</v>
      </c>
      <c r="K31" s="6">
        <f t="shared" si="8"/>
        <v>39.298882724940448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1"/>
  <sheetViews>
    <sheetView topLeftCell="A74" workbookViewId="0">
      <selection activeCell="K92" sqref="K92:K95"/>
    </sheetView>
  </sheetViews>
  <sheetFormatPr defaultRowHeight="14.4" x14ac:dyDescent="0.3"/>
  <cols>
    <col min="2" max="2" width="83.33203125" bestFit="1" customWidth="1"/>
    <col min="3" max="3" width="11.88671875" customWidth="1"/>
  </cols>
  <sheetData>
    <row r="1" spans="1:11" x14ac:dyDescent="0.3">
      <c r="A1" s="121" t="s">
        <v>210</v>
      </c>
      <c r="B1" s="121"/>
      <c r="C1" s="2" t="s">
        <v>211</v>
      </c>
      <c r="D1" s="97">
        <v>2016</v>
      </c>
      <c r="E1" s="97">
        <v>2017</v>
      </c>
      <c r="F1" s="97">
        <v>2018</v>
      </c>
      <c r="G1" s="97">
        <v>2019</v>
      </c>
      <c r="H1" s="97">
        <v>2020</v>
      </c>
      <c r="I1" s="97">
        <v>2021</v>
      </c>
      <c r="J1" s="97">
        <v>2022</v>
      </c>
      <c r="K1" s="97">
        <v>2023</v>
      </c>
    </row>
    <row r="2" spans="1:11" x14ac:dyDescent="0.3">
      <c r="A2" t="s">
        <v>77</v>
      </c>
    </row>
    <row r="3" spans="1:11" x14ac:dyDescent="0.3">
      <c r="A3" s="8" t="s">
        <v>78</v>
      </c>
      <c r="B3" s="8" t="s">
        <v>79</v>
      </c>
      <c r="C3" s="9">
        <v>48</v>
      </c>
      <c r="D3" s="7">
        <v>7.88</v>
      </c>
      <c r="E3" s="7">
        <v>9.61</v>
      </c>
      <c r="F3" s="7">
        <v>9.7799999999999994</v>
      </c>
      <c r="G3" s="7">
        <v>9.44</v>
      </c>
      <c r="H3" s="7">
        <v>5.26</v>
      </c>
      <c r="I3" s="7">
        <v>5.67</v>
      </c>
      <c r="J3" s="7">
        <v>7.16</v>
      </c>
      <c r="K3" s="7">
        <v>4.75</v>
      </c>
    </row>
    <row r="4" spans="1:11" x14ac:dyDescent="0.3">
      <c r="A4" t="s">
        <v>80</v>
      </c>
      <c r="D4" s="7"/>
      <c r="E4" s="7"/>
      <c r="F4" s="7"/>
      <c r="G4" s="7"/>
      <c r="H4" s="7"/>
      <c r="I4" s="7"/>
      <c r="J4" s="7"/>
      <c r="K4" s="7"/>
    </row>
    <row r="5" spans="1:11" x14ac:dyDescent="0.3">
      <c r="A5" t="s">
        <v>81</v>
      </c>
      <c r="B5" t="s">
        <v>82</v>
      </c>
      <c r="D5" s="7">
        <v>101.17</v>
      </c>
      <c r="E5" s="7">
        <v>97.34</v>
      </c>
      <c r="F5" s="7">
        <v>93.54</v>
      </c>
      <c r="G5" s="7">
        <v>98.9</v>
      </c>
      <c r="H5" s="7">
        <v>106.32</v>
      </c>
      <c r="I5" s="7">
        <v>100.16</v>
      </c>
      <c r="J5" s="7">
        <v>108.53</v>
      </c>
      <c r="K5" s="7">
        <v>96.45</v>
      </c>
    </row>
    <row r="6" spans="1:11" x14ac:dyDescent="0.3">
      <c r="A6" t="s">
        <v>83</v>
      </c>
      <c r="B6" t="s">
        <v>84</v>
      </c>
      <c r="D6" s="7">
        <v>99.37</v>
      </c>
      <c r="E6" s="7">
        <v>93.89</v>
      </c>
      <c r="F6" s="7">
        <v>93.54</v>
      </c>
      <c r="G6" s="7">
        <v>96.34</v>
      </c>
      <c r="H6" s="7">
        <v>96.17</v>
      </c>
      <c r="I6" s="7">
        <v>90.82</v>
      </c>
      <c r="J6" s="7">
        <v>94.01</v>
      </c>
      <c r="K6" s="7">
        <v>91.29</v>
      </c>
    </row>
    <row r="7" spans="1:11" x14ac:dyDescent="0.3">
      <c r="A7" t="s">
        <v>85</v>
      </c>
      <c r="B7" t="s">
        <v>86</v>
      </c>
      <c r="D7" s="7">
        <v>91.29</v>
      </c>
      <c r="E7" s="7">
        <v>87.24</v>
      </c>
      <c r="F7" s="7">
        <v>79.900000000000006</v>
      </c>
      <c r="G7" s="7">
        <v>84.74</v>
      </c>
      <c r="H7" s="7">
        <v>88.54</v>
      </c>
      <c r="I7" s="7">
        <v>84.44</v>
      </c>
      <c r="J7" s="7">
        <v>86.12</v>
      </c>
      <c r="K7" s="7">
        <v>75.28</v>
      </c>
    </row>
    <row r="8" spans="1:11" x14ac:dyDescent="0.3">
      <c r="A8" t="s">
        <v>87</v>
      </c>
      <c r="B8" t="s">
        <v>88</v>
      </c>
      <c r="D8" s="7">
        <v>89.67</v>
      </c>
      <c r="E8" s="7">
        <v>84.15</v>
      </c>
      <c r="F8" s="7">
        <v>79.900000000000006</v>
      </c>
      <c r="G8" s="7">
        <v>82.54</v>
      </c>
      <c r="H8" s="7">
        <v>80.09</v>
      </c>
      <c r="I8" s="7">
        <v>76.569999999999993</v>
      </c>
      <c r="J8" s="7">
        <v>74.599999999999994</v>
      </c>
      <c r="K8" s="7">
        <v>71.25</v>
      </c>
    </row>
    <row r="9" spans="1:11" x14ac:dyDescent="0.3">
      <c r="A9" t="s">
        <v>89</v>
      </c>
      <c r="B9" t="s">
        <v>90</v>
      </c>
      <c r="D9" s="7">
        <v>99.04</v>
      </c>
      <c r="E9" s="7">
        <v>90.2</v>
      </c>
      <c r="F9" s="7">
        <v>71.78</v>
      </c>
      <c r="G9" s="7">
        <v>66.95</v>
      </c>
      <c r="H9" s="7">
        <v>77.63</v>
      </c>
      <c r="I9" s="7">
        <v>91.18</v>
      </c>
      <c r="J9" s="7">
        <v>87.92</v>
      </c>
      <c r="K9" s="7">
        <v>77.41</v>
      </c>
    </row>
    <row r="10" spans="1:11" x14ac:dyDescent="0.3">
      <c r="A10" t="s">
        <v>91</v>
      </c>
      <c r="B10" t="s">
        <v>92</v>
      </c>
      <c r="D10" s="7">
        <v>97.27</v>
      </c>
      <c r="E10" s="7">
        <v>79.48</v>
      </c>
      <c r="F10" s="7">
        <v>71.78</v>
      </c>
      <c r="G10" s="7">
        <v>65.540000000000006</v>
      </c>
      <c r="H10" s="7">
        <v>72.19</v>
      </c>
      <c r="I10" s="7">
        <v>84.09</v>
      </c>
      <c r="J10" s="7">
        <v>78.099999999999994</v>
      </c>
      <c r="K10" s="7">
        <v>73.94</v>
      </c>
    </row>
    <row r="11" spans="1:11" x14ac:dyDescent="0.3">
      <c r="A11" t="s">
        <v>93</v>
      </c>
      <c r="B11" t="s">
        <v>94</v>
      </c>
      <c r="D11" s="7">
        <v>89.77</v>
      </c>
      <c r="E11" s="7">
        <v>82.42</v>
      </c>
      <c r="F11" s="7">
        <v>63.17</v>
      </c>
      <c r="G11" s="7">
        <v>58.26</v>
      </c>
      <c r="H11" s="7">
        <v>67.180000000000007</v>
      </c>
      <c r="I11" s="7">
        <v>76.11</v>
      </c>
      <c r="J11" s="7">
        <v>71.510000000000005</v>
      </c>
      <c r="K11" s="7">
        <v>59.89</v>
      </c>
    </row>
    <row r="12" spans="1:11" x14ac:dyDescent="0.3">
      <c r="A12" s="8" t="s">
        <v>95</v>
      </c>
      <c r="B12" s="8" t="s">
        <v>96</v>
      </c>
      <c r="C12" s="9">
        <v>22</v>
      </c>
      <c r="D12" s="7">
        <v>88.17</v>
      </c>
      <c r="E12" s="7">
        <v>72.61</v>
      </c>
      <c r="F12" s="7">
        <v>63.17</v>
      </c>
      <c r="G12" s="7">
        <v>57.24</v>
      </c>
      <c r="H12" s="7">
        <v>62.47</v>
      </c>
      <c r="I12" s="7">
        <v>70.19</v>
      </c>
      <c r="J12" s="7">
        <v>63.52</v>
      </c>
      <c r="K12" s="7">
        <v>57.2</v>
      </c>
    </row>
    <row r="13" spans="1:11" x14ac:dyDescent="0.3">
      <c r="A13" t="s">
        <v>97</v>
      </c>
      <c r="D13" s="7"/>
      <c r="E13" s="7"/>
      <c r="F13" s="7"/>
      <c r="G13" s="7"/>
      <c r="H13" s="7"/>
      <c r="I13" s="7"/>
      <c r="J13" s="7"/>
      <c r="K13" s="7"/>
    </row>
    <row r="14" spans="1:11" x14ac:dyDescent="0.3">
      <c r="A14" t="s">
        <v>98</v>
      </c>
      <c r="B14" t="s">
        <v>99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</row>
    <row r="15" spans="1:11" x14ac:dyDescent="0.3">
      <c r="A15" s="8" t="s">
        <v>100</v>
      </c>
      <c r="B15" s="8" t="s">
        <v>101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</row>
    <row r="16" spans="1:11" x14ac:dyDescent="0.3">
      <c r="A16" t="s">
        <v>102</v>
      </c>
      <c r="D16" s="7"/>
      <c r="E16" s="7"/>
      <c r="F16" s="7"/>
      <c r="G16" s="7"/>
      <c r="H16" s="7"/>
      <c r="I16" s="7"/>
      <c r="J16" s="7"/>
      <c r="K16" s="7"/>
    </row>
    <row r="17" spans="1:11" x14ac:dyDescent="0.3">
      <c r="A17" t="s">
        <v>103</v>
      </c>
      <c r="B17" t="s">
        <v>104</v>
      </c>
      <c r="D17" s="7">
        <v>4.7</v>
      </c>
      <c r="E17" s="7">
        <v>4.43</v>
      </c>
      <c r="F17" s="7">
        <v>4.9000000000000004</v>
      </c>
      <c r="G17" s="7">
        <v>5.32</v>
      </c>
      <c r="H17" s="7">
        <v>3.75</v>
      </c>
      <c r="I17" s="7">
        <v>4.0199999999999996</v>
      </c>
      <c r="J17" s="7">
        <v>3.28</v>
      </c>
      <c r="K17" s="7">
        <v>2.94</v>
      </c>
    </row>
    <row r="18" spans="1:11" x14ac:dyDescent="0.3">
      <c r="A18" t="s">
        <v>105</v>
      </c>
      <c r="B18" t="s">
        <v>106</v>
      </c>
      <c r="D18" s="7">
        <v>46.41</v>
      </c>
      <c r="E18" s="7">
        <v>16.27</v>
      </c>
      <c r="F18" s="7">
        <v>18.61</v>
      </c>
      <c r="G18" s="7">
        <v>31.51</v>
      </c>
      <c r="H18" s="7">
        <v>3.57</v>
      </c>
      <c r="I18" s="7">
        <v>28.24</v>
      </c>
      <c r="J18" s="7">
        <v>24.89</v>
      </c>
      <c r="K18" s="7">
        <v>28.94</v>
      </c>
    </row>
    <row r="19" spans="1:11" x14ac:dyDescent="0.3">
      <c r="A19" t="s">
        <v>107</v>
      </c>
      <c r="B19" t="s">
        <v>108</v>
      </c>
      <c r="D19" s="7">
        <v>27.03</v>
      </c>
      <c r="E19" s="7">
        <v>28.22</v>
      </c>
      <c r="F19" s="7">
        <v>20.13</v>
      </c>
      <c r="G19" s="7">
        <v>20.14</v>
      </c>
      <c r="H19" s="7">
        <v>18.28</v>
      </c>
      <c r="I19" s="7">
        <v>27.79</v>
      </c>
      <c r="J19" s="7">
        <v>26.57</v>
      </c>
      <c r="K19" s="7">
        <v>25.8</v>
      </c>
    </row>
    <row r="20" spans="1:11" x14ac:dyDescent="0.3">
      <c r="A20" t="s">
        <v>109</v>
      </c>
      <c r="B20" t="s">
        <v>110</v>
      </c>
      <c r="D20" s="7">
        <v>7.54</v>
      </c>
      <c r="E20" s="7">
        <v>7.04</v>
      </c>
      <c r="F20" s="7">
        <v>7.59</v>
      </c>
      <c r="G20" s="7">
        <v>17.86</v>
      </c>
      <c r="H20" s="7">
        <v>115.49291556861766</v>
      </c>
      <c r="I20" s="7">
        <v>105.53738389008126</v>
      </c>
      <c r="J20" s="7">
        <v>102.63912927224079</v>
      </c>
      <c r="K20" s="7">
        <v>101.83</v>
      </c>
    </row>
    <row r="21" spans="1:11" x14ac:dyDescent="0.3">
      <c r="A21" t="s">
        <v>111</v>
      </c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t="s">
        <v>112</v>
      </c>
      <c r="B22" t="s">
        <v>113</v>
      </c>
      <c r="D22" s="7">
        <v>3.49</v>
      </c>
      <c r="E22" s="7">
        <v>3.2</v>
      </c>
      <c r="F22" s="7">
        <v>5.49</v>
      </c>
      <c r="G22" s="7">
        <v>6.55</v>
      </c>
      <c r="H22" s="7">
        <v>3.86</v>
      </c>
      <c r="I22" s="7">
        <v>5.0199999999999996</v>
      </c>
      <c r="J22" s="7">
        <v>6.08</v>
      </c>
      <c r="K22" s="7">
        <v>5.9</v>
      </c>
    </row>
    <row r="23" spans="1:11" x14ac:dyDescent="0.3">
      <c r="A23" t="s">
        <v>114</v>
      </c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t="s">
        <v>115</v>
      </c>
      <c r="B24" t="s">
        <v>116</v>
      </c>
      <c r="D24" s="7">
        <v>0.47</v>
      </c>
      <c r="E24" s="7">
        <v>0.4</v>
      </c>
      <c r="F24" s="7">
        <v>0.46</v>
      </c>
      <c r="G24" s="7">
        <v>0.35</v>
      </c>
      <c r="H24" s="7">
        <v>0.35</v>
      </c>
      <c r="I24" s="7">
        <v>0.35</v>
      </c>
      <c r="J24" s="7">
        <v>0.33</v>
      </c>
      <c r="K24" s="7">
        <v>0.36</v>
      </c>
    </row>
    <row r="25" spans="1:11" x14ac:dyDescent="0.3">
      <c r="A25" t="s">
        <v>117</v>
      </c>
      <c r="B25" t="s">
        <v>118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3">
      <c r="A26" t="s">
        <v>119</v>
      </c>
      <c r="B26" t="s">
        <v>120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</row>
    <row r="27" spans="1:11" x14ac:dyDescent="0.3">
      <c r="A27" t="s">
        <v>121</v>
      </c>
      <c r="D27" s="7"/>
      <c r="E27" s="7"/>
      <c r="F27" s="7"/>
      <c r="G27" s="7"/>
      <c r="H27" s="7"/>
      <c r="I27" s="7"/>
      <c r="J27" s="7"/>
      <c r="K27" s="7"/>
    </row>
    <row r="28" spans="1:11" x14ac:dyDescent="0.3">
      <c r="A28" t="s">
        <v>122</v>
      </c>
      <c r="B28" t="s">
        <v>123</v>
      </c>
      <c r="D28" s="7">
        <v>17.600000000000001</v>
      </c>
      <c r="E28" s="7">
        <v>18.68</v>
      </c>
      <c r="F28" s="7">
        <v>22.23</v>
      </c>
      <c r="G28" s="7">
        <v>15.82</v>
      </c>
      <c r="H28" s="7">
        <v>21.27</v>
      </c>
      <c r="I28" s="7">
        <v>17.5</v>
      </c>
      <c r="J28" s="7">
        <v>18.309999999999999</v>
      </c>
      <c r="K28" s="7">
        <v>16.7</v>
      </c>
    </row>
    <row r="29" spans="1:11" x14ac:dyDescent="0.3">
      <c r="A29" t="s">
        <v>124</v>
      </c>
      <c r="B29" t="s">
        <v>125</v>
      </c>
      <c r="D29" s="7">
        <v>36.350502450485799</v>
      </c>
      <c r="E29" s="7">
        <v>85.34</v>
      </c>
      <c r="F29" s="7">
        <v>33.33</v>
      </c>
      <c r="G29" s="7">
        <v>36.26</v>
      </c>
      <c r="H29" s="7">
        <v>49.08</v>
      </c>
      <c r="I29" s="7">
        <v>22.13</v>
      </c>
      <c r="J29" s="7">
        <v>14.97</v>
      </c>
      <c r="K29" s="7">
        <v>23.58</v>
      </c>
    </row>
    <row r="30" spans="1:11" x14ac:dyDescent="0.3">
      <c r="A30" t="s">
        <v>126</v>
      </c>
      <c r="B30" t="s">
        <v>127</v>
      </c>
      <c r="D30" s="7">
        <v>500.78259093469404</v>
      </c>
      <c r="E30" s="7">
        <v>530.54</v>
      </c>
      <c r="F30" s="7">
        <v>725.13</v>
      </c>
      <c r="G30" s="7">
        <v>488.29</v>
      </c>
      <c r="H30" s="7">
        <v>757.24</v>
      </c>
      <c r="I30" s="7">
        <v>596.98</v>
      </c>
      <c r="J30" s="7">
        <v>698.45</v>
      </c>
      <c r="K30" s="7">
        <v>691.87</v>
      </c>
    </row>
    <row r="31" spans="1:11" x14ac:dyDescent="0.3">
      <c r="A31" t="s">
        <v>128</v>
      </c>
      <c r="B31" t="s">
        <v>129</v>
      </c>
      <c r="D31" s="7">
        <v>537.1330933851799</v>
      </c>
      <c r="E31" s="7">
        <v>615.88</v>
      </c>
      <c r="F31" s="7">
        <v>758.46</v>
      </c>
      <c r="G31" s="7">
        <v>524.54999999999995</v>
      </c>
      <c r="H31" s="7">
        <v>806.32</v>
      </c>
      <c r="I31" s="7">
        <v>619.12</v>
      </c>
      <c r="J31" s="7">
        <v>713.42</v>
      </c>
      <c r="K31" s="7">
        <v>715.45</v>
      </c>
    </row>
    <row r="32" spans="1:11" x14ac:dyDescent="0.3">
      <c r="A32" t="s">
        <v>130</v>
      </c>
      <c r="B32" t="s">
        <v>131</v>
      </c>
      <c r="D32" s="7">
        <v>684.23</v>
      </c>
      <c r="E32" s="7">
        <v>18.190000000000001</v>
      </c>
      <c r="F32" s="7">
        <v>18.829999999999998</v>
      </c>
      <c r="G32" s="7">
        <v>25.36</v>
      </c>
      <c r="H32" s="7">
        <v>23.69</v>
      </c>
      <c r="I32" s="7">
        <v>22.17</v>
      </c>
      <c r="J32" s="7">
        <v>31.12</v>
      </c>
      <c r="K32" s="7">
        <v>23.31</v>
      </c>
    </row>
    <row r="33" spans="1:11" x14ac:dyDescent="0.3">
      <c r="A33" t="s">
        <v>132</v>
      </c>
      <c r="B33" t="s">
        <v>133</v>
      </c>
      <c r="D33" s="7">
        <v>18.63</v>
      </c>
      <c r="E33" s="7">
        <v>-0.13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3">
      <c r="A34" t="s">
        <v>134</v>
      </c>
      <c r="B34" t="s">
        <v>135</v>
      </c>
      <c r="D34" s="7">
        <v>0</v>
      </c>
      <c r="E34" s="7">
        <v>6.65</v>
      </c>
      <c r="F34" s="7">
        <v>2.72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</row>
    <row r="35" spans="1:11" x14ac:dyDescent="0.3">
      <c r="A35" t="s">
        <v>136</v>
      </c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t="s">
        <v>137</v>
      </c>
      <c r="B36" t="s">
        <v>138</v>
      </c>
      <c r="D36" s="7">
        <v>77.355999999999995</v>
      </c>
      <c r="E36" s="7">
        <v>79.55</v>
      </c>
      <c r="F36" s="7">
        <v>62.88</v>
      </c>
      <c r="G36" s="7">
        <v>69.45</v>
      </c>
      <c r="H36" s="7">
        <v>69.180000000000007</v>
      </c>
      <c r="I36" s="7">
        <v>69.819999999999993</v>
      </c>
      <c r="J36" s="7">
        <v>72.62</v>
      </c>
      <c r="K36" s="7">
        <v>58</v>
      </c>
    </row>
    <row r="37" spans="1:11" x14ac:dyDescent="0.3">
      <c r="A37" t="s">
        <v>139</v>
      </c>
      <c r="B37" t="s">
        <v>140</v>
      </c>
      <c r="D37" s="7">
        <v>50.48</v>
      </c>
      <c r="E37" s="7">
        <v>50.86</v>
      </c>
      <c r="F37" s="7">
        <v>54.56</v>
      </c>
      <c r="G37" s="7">
        <v>33.020000000000003</v>
      </c>
      <c r="H37" s="7">
        <v>49.55</v>
      </c>
      <c r="I37" s="7">
        <v>32.03</v>
      </c>
      <c r="J37" s="7">
        <v>36.450000000000003</v>
      </c>
      <c r="K37" s="7">
        <v>24.74</v>
      </c>
    </row>
    <row r="38" spans="1:11" x14ac:dyDescent="0.3">
      <c r="A38" t="s">
        <v>141</v>
      </c>
      <c r="B38" t="s">
        <v>142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</row>
    <row r="39" spans="1:11" x14ac:dyDescent="0.3">
      <c r="A39" t="s">
        <v>143</v>
      </c>
      <c r="B39" t="s">
        <v>144</v>
      </c>
      <c r="D39" s="7">
        <v>35.86</v>
      </c>
      <c r="E39" s="7">
        <v>59.39</v>
      </c>
      <c r="F39" s="7">
        <v>57.81</v>
      </c>
      <c r="G39" s="7">
        <v>52.49</v>
      </c>
      <c r="H39" s="7">
        <v>53.76</v>
      </c>
      <c r="I39" s="7">
        <v>53.61</v>
      </c>
      <c r="J39" s="7">
        <v>39.24</v>
      </c>
      <c r="K39" s="7">
        <v>52.6</v>
      </c>
    </row>
    <row r="40" spans="1:11" x14ac:dyDescent="0.3">
      <c r="A40" t="s">
        <v>145</v>
      </c>
      <c r="B40" t="s">
        <v>146</v>
      </c>
      <c r="D40" s="7">
        <v>23.46</v>
      </c>
      <c r="E40" s="7">
        <v>51.1</v>
      </c>
      <c r="F40" s="7">
        <v>62.26</v>
      </c>
      <c r="G40" s="7">
        <v>37.380000000000003</v>
      </c>
      <c r="H40" s="7">
        <v>27.3</v>
      </c>
      <c r="I40" s="7">
        <v>26.34</v>
      </c>
      <c r="J40" s="7">
        <v>30.16</v>
      </c>
      <c r="K40" s="7">
        <v>22.94</v>
      </c>
    </row>
    <row r="41" spans="1:11" x14ac:dyDescent="0.3">
      <c r="A41" t="s">
        <v>147</v>
      </c>
      <c r="B41" t="s">
        <v>148</v>
      </c>
      <c r="D41" s="7">
        <v>21.33</v>
      </c>
      <c r="E41" s="7">
        <v>52.93</v>
      </c>
      <c r="F41" s="7">
        <v>100</v>
      </c>
      <c r="G41" s="7">
        <v>100</v>
      </c>
      <c r="H41" s="7">
        <v>82.81</v>
      </c>
      <c r="I41" s="7">
        <v>56.62</v>
      </c>
      <c r="J41" s="7">
        <v>29.69</v>
      </c>
      <c r="K41" s="7">
        <v>50.2</v>
      </c>
    </row>
    <row r="42" spans="1:11" x14ac:dyDescent="0.3">
      <c r="A42" t="s">
        <v>149</v>
      </c>
      <c r="D42" s="7"/>
      <c r="E42" s="7"/>
      <c r="F42" s="7"/>
      <c r="G42" s="7"/>
      <c r="H42" s="7"/>
      <c r="I42" s="7"/>
      <c r="J42" s="7"/>
      <c r="K42" s="7"/>
    </row>
    <row r="43" spans="1:11" x14ac:dyDescent="0.3">
      <c r="A43" t="s">
        <v>150</v>
      </c>
      <c r="B43" t="s">
        <v>151</v>
      </c>
      <c r="D43" s="7">
        <v>90.71</v>
      </c>
      <c r="E43" s="7">
        <v>88.3</v>
      </c>
      <c r="F43" s="7">
        <v>92.49</v>
      </c>
      <c r="G43" s="7">
        <v>89.04</v>
      </c>
      <c r="H43" s="7">
        <v>71.19</v>
      </c>
      <c r="I43" s="7">
        <v>79.42</v>
      </c>
      <c r="J43" s="7">
        <v>77.36</v>
      </c>
      <c r="K43" s="7">
        <v>84.28</v>
      </c>
    </row>
    <row r="44" spans="1:11" x14ac:dyDescent="0.3">
      <c r="A44" t="s">
        <v>152</v>
      </c>
      <c r="B44" t="s">
        <v>153</v>
      </c>
      <c r="D44" s="7">
        <v>90.86</v>
      </c>
      <c r="E44" s="7">
        <v>56.71</v>
      </c>
      <c r="F44" s="7">
        <v>77.260000000000005</v>
      </c>
      <c r="G44" s="7">
        <v>61.35</v>
      </c>
      <c r="H44" s="7">
        <v>71.58</v>
      </c>
      <c r="I44" s="7">
        <v>52.71</v>
      </c>
      <c r="J44" s="7">
        <v>67.709999999999994</v>
      </c>
      <c r="K44" s="7">
        <v>71.489999999999995</v>
      </c>
    </row>
    <row r="45" spans="1:11" x14ac:dyDescent="0.3">
      <c r="A45" t="s">
        <v>154</v>
      </c>
      <c r="B45" t="s">
        <v>155</v>
      </c>
      <c r="D45" s="7">
        <v>90.34</v>
      </c>
      <c r="E45" s="7">
        <v>86.61</v>
      </c>
      <c r="F45" s="7">
        <v>88.31</v>
      </c>
      <c r="G45" s="7">
        <v>88.89</v>
      </c>
      <c r="H45" s="7">
        <v>86.99</v>
      </c>
      <c r="I45" s="7">
        <v>90.93</v>
      </c>
      <c r="J45" s="7">
        <v>83.78</v>
      </c>
      <c r="K45" s="7">
        <v>91.55</v>
      </c>
    </row>
    <row r="46" spans="1:11" x14ac:dyDescent="0.3">
      <c r="A46" t="s">
        <v>156</v>
      </c>
      <c r="B46" t="s">
        <v>157</v>
      </c>
      <c r="D46" s="7">
        <v>67.48</v>
      </c>
      <c r="E46" s="7">
        <v>39.79</v>
      </c>
      <c r="F46" s="7">
        <v>49.67</v>
      </c>
      <c r="G46" s="7">
        <v>31.82</v>
      </c>
      <c r="H46" s="7">
        <v>38.950000000000003</v>
      </c>
      <c r="I46" s="7">
        <v>26.34</v>
      </c>
      <c r="J46" s="7">
        <v>23.62</v>
      </c>
      <c r="K46" s="7">
        <v>29.04</v>
      </c>
    </row>
    <row r="47" spans="1:11" x14ac:dyDescent="0.3">
      <c r="A47" t="s">
        <v>158</v>
      </c>
      <c r="B47" t="s">
        <v>159</v>
      </c>
      <c r="D47" s="7">
        <v>108.66</v>
      </c>
      <c r="E47" s="7">
        <v>134.87</v>
      </c>
      <c r="F47" s="7">
        <v>122.77</v>
      </c>
      <c r="G47" s="7">
        <v>88.37</v>
      </c>
      <c r="H47" s="7">
        <v>75</v>
      </c>
      <c r="I47" s="7">
        <v>39.57</v>
      </c>
      <c r="J47" s="7">
        <v>11.1</v>
      </c>
      <c r="K47" s="7">
        <v>13.66</v>
      </c>
    </row>
    <row r="48" spans="1:11" x14ac:dyDescent="0.3">
      <c r="A48" t="s">
        <v>160</v>
      </c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t="s">
        <v>161</v>
      </c>
      <c r="B49" t="s">
        <v>162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</row>
    <row r="50" spans="1:11" x14ac:dyDescent="0.3">
      <c r="A50" t="s">
        <v>163</v>
      </c>
      <c r="B50" t="s">
        <v>164</v>
      </c>
      <c r="D50" s="7">
        <v>7.02</v>
      </c>
      <c r="E50" s="7">
        <v>8.91</v>
      </c>
      <c r="F50" s="7">
        <v>8.1199999999999992</v>
      </c>
      <c r="G50" s="7">
        <v>6.69</v>
      </c>
      <c r="H50" s="7">
        <v>1.8</v>
      </c>
      <c r="I50" s="7">
        <v>1.74</v>
      </c>
      <c r="J50" s="7">
        <v>2.13</v>
      </c>
      <c r="K50" s="7">
        <v>1.94</v>
      </c>
    </row>
    <row r="51" spans="1:11" x14ac:dyDescent="0.3">
      <c r="A51" s="8" t="s">
        <v>165</v>
      </c>
      <c r="B51" s="8" t="s">
        <v>166</v>
      </c>
      <c r="C51" s="9">
        <v>16</v>
      </c>
      <c r="D51" s="7">
        <v>3.27</v>
      </c>
      <c r="E51" s="7">
        <v>3.4</v>
      </c>
      <c r="F51" s="7">
        <v>3.68</v>
      </c>
      <c r="G51" s="7">
        <v>3.2</v>
      </c>
      <c r="H51" s="7">
        <v>1.21</v>
      </c>
      <c r="I51" s="7">
        <v>1.37</v>
      </c>
      <c r="J51" s="7">
        <v>1.41</v>
      </c>
      <c r="K51" s="7">
        <v>1.29</v>
      </c>
    </row>
    <row r="52" spans="1:11" x14ac:dyDescent="0.3">
      <c r="A52" t="s">
        <v>167</v>
      </c>
      <c r="B52" t="s">
        <v>168</v>
      </c>
      <c r="D52" s="7">
        <v>922.94791146314969</v>
      </c>
      <c r="E52" s="7">
        <v>1099.0433884940987</v>
      </c>
      <c r="F52" s="7">
        <v>1221.8</v>
      </c>
      <c r="G52" s="7">
        <v>1504.21</v>
      </c>
      <c r="H52" s="7">
        <v>1835.71</v>
      </c>
      <c r="I52" s="7">
        <v>1817.01</v>
      </c>
      <c r="J52" s="7">
        <v>1822.47</v>
      </c>
      <c r="K52" s="7">
        <v>515.94000000000005</v>
      </c>
    </row>
    <row r="53" spans="1:11" x14ac:dyDescent="0.3">
      <c r="A53" t="s">
        <v>169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</row>
    <row r="54" spans="1:11" x14ac:dyDescent="0.3">
      <c r="A54" t="s">
        <v>170</v>
      </c>
      <c r="B54" t="s">
        <v>171</v>
      </c>
      <c r="D54" s="7">
        <v>0</v>
      </c>
      <c r="E54" s="7">
        <v>-8.3621011000352574</v>
      </c>
      <c r="F54" s="7">
        <v>-7.3969444665826281</v>
      </c>
      <c r="G54" s="7">
        <v>-10.833703759197109</v>
      </c>
      <c r="H54" s="7">
        <v>-9.4117821615953048</v>
      </c>
      <c r="I54" s="7">
        <v>-10.313127701129398</v>
      </c>
      <c r="J54" s="7">
        <v>-1.5286185610278782</v>
      </c>
      <c r="K54" s="7">
        <v>-6.897962353632861E-2</v>
      </c>
    </row>
    <row r="55" spans="1:11" x14ac:dyDescent="0.3">
      <c r="A55" t="s">
        <v>172</v>
      </c>
      <c r="B55" t="s">
        <v>173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</row>
    <row r="56" spans="1:11" x14ac:dyDescent="0.3">
      <c r="A56" t="s">
        <v>174</v>
      </c>
      <c r="B56" t="s">
        <v>175</v>
      </c>
      <c r="D56" s="7">
        <v>0</v>
      </c>
      <c r="E56" s="7">
        <v>15.548800645102068</v>
      </c>
      <c r="F56" s="7">
        <v>15.039566609943227</v>
      </c>
      <c r="G56" s="7">
        <v>14.965418834208496</v>
      </c>
      <c r="H56" s="7">
        <v>13.255406798613123</v>
      </c>
      <c r="I56" s="7">
        <v>15.189477760424111</v>
      </c>
      <c r="J56" s="7">
        <v>14.163170300978079</v>
      </c>
      <c r="K56" s="7">
        <v>21.257727598882433</v>
      </c>
    </row>
    <row r="57" spans="1:11" x14ac:dyDescent="0.3">
      <c r="A57" t="s">
        <v>176</v>
      </c>
      <c r="B57" t="s">
        <v>177</v>
      </c>
      <c r="D57" s="7">
        <v>0</v>
      </c>
      <c r="E57" s="7">
        <v>92.813300454933184</v>
      </c>
      <c r="F57" s="7">
        <v>92.357377856639403</v>
      </c>
      <c r="G57" s="7">
        <v>95.868284924988615</v>
      </c>
      <c r="H57" s="7">
        <v>96.156375362982189</v>
      </c>
      <c r="I57" s="7">
        <v>95.123649940705292</v>
      </c>
      <c r="J57" s="7">
        <v>87.365448260049789</v>
      </c>
      <c r="K57" s="7">
        <v>78.811252024653882</v>
      </c>
    </row>
    <row r="58" spans="1:11" x14ac:dyDescent="0.3">
      <c r="A58" t="s">
        <v>178</v>
      </c>
      <c r="D58" s="7"/>
      <c r="E58" s="7"/>
      <c r="F58" s="7"/>
      <c r="G58" s="7"/>
      <c r="H58" s="7"/>
      <c r="I58" s="7"/>
      <c r="J58" s="7"/>
      <c r="K58" s="7"/>
    </row>
    <row r="59" spans="1:11" x14ac:dyDescent="0.3">
      <c r="A59" t="s">
        <v>179</v>
      </c>
      <c r="B59" t="s">
        <v>180</v>
      </c>
      <c r="D59" s="7">
        <v>0</v>
      </c>
      <c r="E59" s="7">
        <v>0</v>
      </c>
      <c r="F59" s="7">
        <v>5.7101319620147581</v>
      </c>
      <c r="G59" s="7">
        <v>-65.529085415949552</v>
      </c>
      <c r="H59" s="7">
        <v>-34.021514586076471</v>
      </c>
      <c r="I59" s="7">
        <v>-2.2026484034873435</v>
      </c>
      <c r="J59" s="7">
        <v>81.984877662409943</v>
      </c>
      <c r="K59" s="7">
        <v>95.689795513829111</v>
      </c>
    </row>
    <row r="60" spans="1:11" x14ac:dyDescent="0.3">
      <c r="A60" t="s">
        <v>181</v>
      </c>
      <c r="B60" t="s">
        <v>182</v>
      </c>
      <c r="D60" s="7"/>
      <c r="E60" s="7"/>
      <c r="F60" s="7">
        <v>-5.7101319620147581</v>
      </c>
      <c r="G60" s="7">
        <v>65.529085415949552</v>
      </c>
      <c r="H60" s="7">
        <v>34.021514586076471</v>
      </c>
      <c r="I60" s="7">
        <v>2.2026484034873435</v>
      </c>
      <c r="J60" s="7">
        <v>-81.984877662409943</v>
      </c>
      <c r="K60" s="7">
        <v>-95.689795513829111</v>
      </c>
    </row>
    <row r="61" spans="1:11" x14ac:dyDescent="0.3">
      <c r="A61" t="s">
        <v>183</v>
      </c>
      <c r="B61" t="s">
        <v>184</v>
      </c>
      <c r="D61" s="7">
        <v>0</v>
      </c>
      <c r="E61" s="7">
        <v>7.6664492756295815</v>
      </c>
      <c r="F61" s="7">
        <v>6.9184470034693444</v>
      </c>
      <c r="G61" s="7">
        <v>10.76231416517693</v>
      </c>
      <c r="H61" s="7">
        <v>8.6575749878560213</v>
      </c>
      <c r="I61" s="7">
        <v>7.6238134347561992</v>
      </c>
      <c r="J61" s="7">
        <v>1.1083462317218618</v>
      </c>
      <c r="K61" s="7">
        <v>4.5217393560871059E-2</v>
      </c>
    </row>
    <row r="62" spans="1:11" x14ac:dyDescent="0.3">
      <c r="A62" s="8" t="s">
        <v>185</v>
      </c>
      <c r="B62" s="8" t="s">
        <v>186</v>
      </c>
      <c r="C62" s="9">
        <v>1.2</v>
      </c>
      <c r="D62" s="7">
        <v>0</v>
      </c>
      <c r="E62" s="7">
        <v>0</v>
      </c>
      <c r="F62" s="7">
        <v>1.5</v>
      </c>
      <c r="G62" s="7">
        <v>1.36</v>
      </c>
      <c r="H62" s="7">
        <v>0.24</v>
      </c>
      <c r="I62" s="7">
        <v>0.18</v>
      </c>
      <c r="J62" s="7">
        <v>2.4700000000000002</v>
      </c>
      <c r="K62" s="7">
        <v>0.42</v>
      </c>
    </row>
    <row r="63" spans="1:11" x14ac:dyDescent="0.3">
      <c r="A63" t="s">
        <v>353</v>
      </c>
      <c r="B63" t="s">
        <v>354</v>
      </c>
      <c r="C63" s="7"/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</row>
    <row r="64" spans="1:11" x14ac:dyDescent="0.3">
      <c r="A64" t="s">
        <v>187</v>
      </c>
      <c r="D64" s="7"/>
      <c r="E64" s="7"/>
      <c r="F64" s="7"/>
      <c r="G64" s="7"/>
      <c r="H64" s="7"/>
      <c r="I64" s="7"/>
      <c r="J64" s="7"/>
      <c r="K64" s="7"/>
    </row>
    <row r="65" spans="1:11" x14ac:dyDescent="0.3">
      <c r="A65" s="8" t="s">
        <v>188</v>
      </c>
      <c r="B65" s="8" t="s">
        <v>189</v>
      </c>
      <c r="C65" s="9">
        <v>1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</row>
    <row r="66" spans="1:11" x14ac:dyDescent="0.3">
      <c r="A66" s="8" t="s">
        <v>190</v>
      </c>
      <c r="B66" s="8" t="s">
        <v>191</v>
      </c>
      <c r="C66" s="9"/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</row>
    <row r="67" spans="1:11" x14ac:dyDescent="0.3">
      <c r="A67" s="8" t="s">
        <v>192</v>
      </c>
      <c r="B67" s="8" t="s">
        <v>193</v>
      </c>
      <c r="C67" s="9">
        <v>0.6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x14ac:dyDescent="0.3">
      <c r="A68" t="s">
        <v>194</v>
      </c>
      <c r="D68" s="7"/>
      <c r="E68" s="7"/>
      <c r="F68" s="7"/>
      <c r="G68" s="7"/>
      <c r="H68" s="7"/>
      <c r="I68" s="7"/>
      <c r="J68" s="7"/>
      <c r="K68" s="7"/>
    </row>
    <row r="69" spans="1:11" x14ac:dyDescent="0.3">
      <c r="A69" t="s">
        <v>195</v>
      </c>
      <c r="B69" t="s">
        <v>196</v>
      </c>
      <c r="D69" s="7">
        <v>45.33</v>
      </c>
      <c r="E69" s="7">
        <v>30.34</v>
      </c>
      <c r="F69" s="30">
        <v>24.48</v>
      </c>
      <c r="G69" s="30">
        <v>27.44</v>
      </c>
      <c r="H69" s="30">
        <v>24.53</v>
      </c>
      <c r="I69" s="30">
        <v>23.85</v>
      </c>
      <c r="J69" s="30">
        <v>19.39</v>
      </c>
      <c r="K69" s="30">
        <v>25.65</v>
      </c>
    </row>
    <row r="70" spans="1:11" x14ac:dyDescent="0.3">
      <c r="A70" t="s">
        <v>197</v>
      </c>
      <c r="D70" s="7"/>
      <c r="E70" s="7"/>
      <c r="F70" s="7"/>
      <c r="G70" s="7"/>
      <c r="H70" s="7"/>
      <c r="I70" s="7"/>
      <c r="J70" s="7"/>
      <c r="K70" s="7"/>
    </row>
    <row r="71" spans="1:11" x14ac:dyDescent="0.3">
      <c r="A71" t="s">
        <v>198</v>
      </c>
      <c r="B71" t="s">
        <v>199</v>
      </c>
      <c r="D71" s="7">
        <v>1.39</v>
      </c>
      <c r="E71" s="30">
        <v>0.59</v>
      </c>
      <c r="F71" s="7">
        <v>0.03</v>
      </c>
      <c r="G71" s="7">
        <v>0.04</v>
      </c>
      <c r="H71" s="7">
        <v>0.08</v>
      </c>
      <c r="I71" s="7">
        <v>0.02</v>
      </c>
      <c r="J71" s="7">
        <v>0.06</v>
      </c>
      <c r="K71" s="7">
        <v>0.06</v>
      </c>
    </row>
    <row r="72" spans="1:11" x14ac:dyDescent="0.3">
      <c r="A72" t="s">
        <v>200</v>
      </c>
      <c r="B72" t="s">
        <v>201</v>
      </c>
      <c r="D72" s="7">
        <v>5</v>
      </c>
      <c r="E72" s="30">
        <v>2.4700000000000002</v>
      </c>
      <c r="F72" s="7">
        <v>2.86</v>
      </c>
      <c r="G72" s="7">
        <v>2.91</v>
      </c>
      <c r="H72" s="7">
        <v>2.2200000000000002</v>
      </c>
      <c r="I72" s="7">
        <v>2.14</v>
      </c>
      <c r="J72" s="7">
        <v>2.2000000000000002</v>
      </c>
      <c r="K72" s="7">
        <v>1.98</v>
      </c>
    </row>
    <row r="73" spans="1:11" x14ac:dyDescent="0.3">
      <c r="A73" t="s">
        <v>304</v>
      </c>
      <c r="D73" s="7"/>
      <c r="E73" s="7"/>
      <c r="F73" s="7"/>
      <c r="G73" s="7"/>
      <c r="H73" s="7"/>
      <c r="I73" s="7"/>
      <c r="J73" s="7"/>
      <c r="K73" s="7"/>
    </row>
    <row r="74" spans="1:11" x14ac:dyDescent="0.3">
      <c r="B74" t="s">
        <v>202</v>
      </c>
      <c r="D74" s="7">
        <v>88.893488705243044</v>
      </c>
      <c r="E74" s="7">
        <v>87.955887649613913</v>
      </c>
      <c r="F74" s="7">
        <v>82.525047333315285</v>
      </c>
      <c r="G74" s="7">
        <v>72.025097751414052</v>
      </c>
      <c r="H74" s="7">
        <v>76.824034851460539</v>
      </c>
      <c r="I74" s="7">
        <v>84.757102892110609</v>
      </c>
      <c r="J74" s="7">
        <v>89.139593155105075</v>
      </c>
      <c r="K74" s="7">
        <v>88.974454170469613</v>
      </c>
    </row>
    <row r="75" spans="1:11" x14ac:dyDescent="0.3">
      <c r="B75" t="s">
        <v>203</v>
      </c>
      <c r="D75" s="7">
        <v>94.863021880272314</v>
      </c>
      <c r="E75" s="7">
        <v>89.193018604677562</v>
      </c>
      <c r="F75" s="7">
        <v>87.296927343595129</v>
      </c>
      <c r="G75" s="7">
        <v>80.190796913220751</v>
      </c>
      <c r="H75" s="7">
        <v>80.140395886906092</v>
      </c>
      <c r="I75" s="7">
        <v>88.505245069392274</v>
      </c>
      <c r="J75" s="7">
        <v>95.454694368477774</v>
      </c>
      <c r="K75" s="7">
        <v>91.769067818382695</v>
      </c>
    </row>
    <row r="76" spans="1:11" x14ac:dyDescent="0.3">
      <c r="B76" t="s">
        <v>204</v>
      </c>
      <c r="D76" s="7">
        <v>33.046501057854542</v>
      </c>
      <c r="E76" s="7">
        <v>77.859273629459679</v>
      </c>
      <c r="F76" s="7">
        <v>48.368334815715642</v>
      </c>
      <c r="G76" s="7">
        <v>28.084996113052274</v>
      </c>
      <c r="H76" s="7">
        <v>66.342585513814626</v>
      </c>
      <c r="I76" s="7">
        <v>72.784760791038934</v>
      </c>
      <c r="J76" s="7">
        <v>55.36615216717459</v>
      </c>
      <c r="K76" s="7">
        <v>66.465500838394263</v>
      </c>
    </row>
    <row r="77" spans="1:11" x14ac:dyDescent="0.3">
      <c r="A77" s="8" t="s">
        <v>36</v>
      </c>
      <c r="B77" s="8"/>
      <c r="C77" s="9">
        <v>47</v>
      </c>
      <c r="D77" s="7">
        <v>63.565860078197375</v>
      </c>
      <c r="E77" s="7">
        <v>69.589610724473246</v>
      </c>
      <c r="F77" s="30">
        <v>59.277558121475728</v>
      </c>
      <c r="G77" s="30">
        <v>56.0888020646101</v>
      </c>
      <c r="H77" s="30">
        <v>59.254644879798526</v>
      </c>
      <c r="I77" s="30">
        <v>64.186634502440725</v>
      </c>
      <c r="J77" s="30">
        <v>60.456338097643936</v>
      </c>
      <c r="K77" s="30">
        <v>58.789060410671425</v>
      </c>
    </row>
    <row r="78" spans="1:11" x14ac:dyDescent="0.3">
      <c r="A78" s="31" t="s">
        <v>334</v>
      </c>
      <c r="B78" s="31"/>
      <c r="C78" s="63"/>
      <c r="D78" s="30">
        <v>61.996628532651869</v>
      </c>
      <c r="E78" s="30">
        <v>68.687862544762439</v>
      </c>
      <c r="F78" s="30">
        <v>57.995559122569759</v>
      </c>
      <c r="G78" s="30">
        <v>53.869801212418224</v>
      </c>
      <c r="H78" s="30">
        <v>57.488511282937225</v>
      </c>
      <c r="I78" s="30">
        <v>63.182846090417009</v>
      </c>
      <c r="J78" s="30">
        <v>59.419953669258305</v>
      </c>
      <c r="K78" s="30">
        <v>57.332134952665861</v>
      </c>
    </row>
    <row r="79" spans="1:11" x14ac:dyDescent="0.3">
      <c r="A79" t="s">
        <v>267</v>
      </c>
      <c r="D79" s="7"/>
      <c r="E79" s="7"/>
      <c r="F79" s="7"/>
      <c r="G79" s="7"/>
      <c r="H79" s="7"/>
      <c r="I79" s="7"/>
      <c r="J79" s="7"/>
      <c r="K79" s="7"/>
    </row>
    <row r="80" spans="1:11" x14ac:dyDescent="0.3">
      <c r="A80">
        <v>4</v>
      </c>
      <c r="B80" t="s">
        <v>205</v>
      </c>
      <c r="D80" s="7">
        <v>1.6747765078646597</v>
      </c>
      <c r="E80" s="7">
        <v>1.8329718004338393</v>
      </c>
      <c r="F80" s="30">
        <v>1.2530791474777765</v>
      </c>
      <c r="G80" s="30">
        <v>1.2065372381265769</v>
      </c>
      <c r="H80" s="30">
        <v>1.7593397046046917</v>
      </c>
      <c r="I80" s="30">
        <v>0.92229407399554764</v>
      </c>
      <c r="J80" s="30">
        <v>1.0087212356835136</v>
      </c>
      <c r="K80" s="30">
        <v>0.88926529748041494</v>
      </c>
    </row>
    <row r="81" spans="1:11" x14ac:dyDescent="0.3">
      <c r="A81">
        <v>9</v>
      </c>
      <c r="B81" t="s">
        <v>346</v>
      </c>
      <c r="D81" s="7">
        <v>8.0457168722417105</v>
      </c>
      <c r="E81" s="7">
        <v>8.2537960954446863</v>
      </c>
      <c r="F81" s="30">
        <v>7.5506051194173711</v>
      </c>
      <c r="G81" s="30">
        <v>8.4896347482724579</v>
      </c>
      <c r="H81" s="30">
        <v>8.5143353605560392</v>
      </c>
      <c r="I81" s="30">
        <v>7.5161666489981975</v>
      </c>
      <c r="J81" s="30">
        <v>8.006724808237891</v>
      </c>
      <c r="K81" s="30">
        <v>8.0669066271437639</v>
      </c>
    </row>
    <row r="82" spans="1:11" x14ac:dyDescent="0.3">
      <c r="A82">
        <v>10</v>
      </c>
      <c r="B82" t="s">
        <v>206</v>
      </c>
      <c r="D82" s="7">
        <v>7.3441213081362449</v>
      </c>
      <c r="E82" s="7">
        <v>7.7982646420824295</v>
      </c>
      <c r="F82" s="30">
        <v>12.01670772196637</v>
      </c>
      <c r="G82" s="30">
        <v>8.6322255127783265</v>
      </c>
      <c r="H82" s="30">
        <v>9.8609904430929625</v>
      </c>
      <c r="I82" s="30">
        <v>10.102830488709849</v>
      </c>
      <c r="J82" s="30">
        <v>12.588000420300515</v>
      </c>
      <c r="K82" s="30">
        <v>8.8185475333474503</v>
      </c>
    </row>
    <row r="83" spans="1:11" x14ac:dyDescent="0.3">
      <c r="A83">
        <v>12</v>
      </c>
      <c r="B83" t="s">
        <v>207</v>
      </c>
      <c r="D83" s="7">
        <v>1.8105691976915244</v>
      </c>
      <c r="E83" s="7">
        <v>2.8741865509761388</v>
      </c>
      <c r="F83" s="30">
        <v>2.6346792331584017</v>
      </c>
      <c r="G83" s="30">
        <v>3.0602171767028628</v>
      </c>
      <c r="H83" s="30">
        <v>3.8227628149435278</v>
      </c>
      <c r="I83" s="30">
        <v>2.6608714088837062</v>
      </c>
      <c r="J83" s="30">
        <v>2.66890826941263</v>
      </c>
      <c r="K83" s="30">
        <v>2.3396146517044256</v>
      </c>
    </row>
    <row r="84" spans="1:11" x14ac:dyDescent="0.3">
      <c r="A84">
        <v>13</v>
      </c>
      <c r="B84" t="s">
        <v>355</v>
      </c>
      <c r="D84" s="7">
        <v>53.864433631322854</v>
      </c>
      <c r="E84" s="7">
        <v>51.117136659436014</v>
      </c>
      <c r="F84" s="30">
        <v>47.691978151440509</v>
      </c>
      <c r="G84" s="30">
        <v>44.301853679938574</v>
      </c>
      <c r="H84" s="30">
        <v>44.048653344917469</v>
      </c>
      <c r="I84" s="30">
        <v>47.842679953355244</v>
      </c>
      <c r="J84" s="30">
        <v>50.131343910896284</v>
      </c>
      <c r="K84" s="30">
        <v>43.637518526360367</v>
      </c>
    </row>
    <row r="85" spans="1:11" x14ac:dyDescent="0.3">
      <c r="A85" t="s">
        <v>208</v>
      </c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>
        <v>4</v>
      </c>
      <c r="B86" t="s">
        <v>205</v>
      </c>
      <c r="D86" s="7">
        <v>97.344698912002087</v>
      </c>
      <c r="E86" s="7">
        <v>87.756859298833461</v>
      </c>
      <c r="F86" s="7">
        <v>77.175854222798762</v>
      </c>
      <c r="G86" s="7">
        <v>81.508410627050168</v>
      </c>
      <c r="H86" s="7">
        <v>81.204807121255243</v>
      </c>
      <c r="I86" s="7">
        <v>90.077305384844536</v>
      </c>
      <c r="J86" s="7">
        <v>73.480225912522741</v>
      </c>
      <c r="K86" s="7">
        <v>82.443747947484752</v>
      </c>
    </row>
    <row r="87" spans="1:11" x14ac:dyDescent="0.3">
      <c r="A87">
        <v>9</v>
      </c>
      <c r="B87" t="s">
        <v>346</v>
      </c>
      <c r="D87" s="7">
        <v>87.075250883131801</v>
      </c>
      <c r="E87" s="7">
        <v>76.44875884651411</v>
      </c>
      <c r="F87" s="7">
        <v>69.777356870006784</v>
      </c>
      <c r="G87" s="7">
        <v>68.548547350052687</v>
      </c>
      <c r="H87" s="7">
        <v>52.964056165435544</v>
      </c>
      <c r="I87" s="7">
        <v>53.651268895224334</v>
      </c>
      <c r="J87" s="7">
        <v>61.706245704557659</v>
      </c>
      <c r="K87" s="7">
        <v>67.928834406038092</v>
      </c>
    </row>
    <row r="88" spans="1:11" x14ac:dyDescent="0.3">
      <c r="A88">
        <v>10</v>
      </c>
      <c r="B88" t="s">
        <v>206</v>
      </c>
      <c r="D88" s="7">
        <v>92.308539738697874</v>
      </c>
      <c r="E88" s="7">
        <v>91.040477799032146</v>
      </c>
      <c r="F88" s="7">
        <v>93.476458528507493</v>
      </c>
      <c r="G88" s="7">
        <v>87.935482229436033</v>
      </c>
      <c r="H88" s="7">
        <v>90.0078054612068</v>
      </c>
      <c r="I88" s="7">
        <v>83.86833684896493</v>
      </c>
      <c r="J88" s="7">
        <v>84.819627607001848</v>
      </c>
      <c r="K88" s="7">
        <v>87.408516662567223</v>
      </c>
    </row>
    <row r="89" spans="1:11" x14ac:dyDescent="0.3">
      <c r="A89">
        <v>12</v>
      </c>
      <c r="B89" t="s">
        <v>207</v>
      </c>
      <c r="D89" s="7">
        <v>89.456592701655993</v>
      </c>
      <c r="E89" s="7">
        <v>70.876253013799555</v>
      </c>
      <c r="F89" s="7">
        <v>67.842690370350994</v>
      </c>
      <c r="G89" s="7">
        <v>66.368681113618393</v>
      </c>
      <c r="H89" s="7">
        <v>57.09001762920699</v>
      </c>
      <c r="I89" s="7">
        <v>62.602091585923269</v>
      </c>
      <c r="J89" s="7">
        <v>72.036655849408604</v>
      </c>
      <c r="K89" s="7">
        <v>71.122259647953697</v>
      </c>
    </row>
    <row r="90" spans="1:11" x14ac:dyDescent="0.3">
      <c r="A90">
        <v>13</v>
      </c>
      <c r="B90" t="s">
        <v>355</v>
      </c>
      <c r="D90" s="7">
        <v>86.375143590463907</v>
      </c>
      <c r="E90" s="7">
        <v>81.528573617179873</v>
      </c>
      <c r="F90" s="7">
        <v>84.35748368990734</v>
      </c>
      <c r="G90" s="7">
        <v>82.459544265644752</v>
      </c>
      <c r="H90" s="7">
        <v>85.250184274965875</v>
      </c>
      <c r="I90" s="7">
        <v>85.683477737976418</v>
      </c>
      <c r="J90" s="7">
        <v>77.281087642466488</v>
      </c>
      <c r="K90" s="7">
        <v>79.409878800743812</v>
      </c>
    </row>
    <row r="91" spans="1:11" x14ac:dyDescent="0.3">
      <c r="B91" s="68" t="s">
        <v>358</v>
      </c>
      <c r="D91" s="7"/>
      <c r="E91" s="7"/>
      <c r="F91" s="7"/>
      <c r="G91" s="7"/>
      <c r="H91" s="7"/>
      <c r="I91" s="7"/>
      <c r="J91" s="7"/>
      <c r="K91" s="7"/>
    </row>
    <row r="92" spans="1:11" x14ac:dyDescent="0.3">
      <c r="B92" t="s">
        <v>110</v>
      </c>
      <c r="D92" s="7">
        <v>87.416717844487621</v>
      </c>
      <c r="E92" s="7">
        <v>86.603571686417567</v>
      </c>
      <c r="F92" s="7">
        <v>89.651891141899938</v>
      </c>
      <c r="G92" s="7">
        <v>92.4384780906976</v>
      </c>
      <c r="H92" s="30">
        <v>89.229130529417745</v>
      </c>
      <c r="I92" s="30">
        <v>89.641110609822391</v>
      </c>
      <c r="J92" s="30">
        <v>93.265299188975249</v>
      </c>
      <c r="K92" s="30">
        <v>98.079318135109489</v>
      </c>
    </row>
    <row r="93" spans="1:11" x14ac:dyDescent="0.3">
      <c r="B93" t="s">
        <v>129</v>
      </c>
      <c r="D93" s="7">
        <v>240.60704064615851</v>
      </c>
      <c r="E93" s="7">
        <v>229.99227812319813</v>
      </c>
      <c r="F93" s="7">
        <v>245.46181531546947</v>
      </c>
      <c r="G93" s="7">
        <v>256.89929597572234</v>
      </c>
      <c r="H93" s="30">
        <v>271.74341879498382</v>
      </c>
      <c r="I93" s="30">
        <v>242.54698034747759</v>
      </c>
      <c r="J93" s="30">
        <v>342.08316171623733</v>
      </c>
      <c r="K93" s="30">
        <v>390.98185883089599</v>
      </c>
    </row>
    <row r="94" spans="1:11" x14ac:dyDescent="0.3">
      <c r="B94" t="s">
        <v>159</v>
      </c>
      <c r="D94" s="7">
        <v>25.973499999999994</v>
      </c>
      <c r="E94" s="7">
        <v>7.3942857142857141</v>
      </c>
      <c r="F94" s="7">
        <v>8.6366666666666649</v>
      </c>
      <c r="G94" s="7">
        <v>4.303809523809524</v>
      </c>
      <c r="H94" s="30">
        <v>1.8009523809523793</v>
      </c>
      <c r="I94" s="30">
        <v>-6.2214285714285733</v>
      </c>
      <c r="J94" s="30">
        <v>-3.8928571428571428</v>
      </c>
      <c r="K94" s="30">
        <v>-2.8428571428571443</v>
      </c>
    </row>
    <row r="95" spans="1:11" x14ac:dyDescent="0.3">
      <c r="B95" t="s">
        <v>168</v>
      </c>
      <c r="D95" s="7">
        <v>1487.8265292558735</v>
      </c>
      <c r="E95" s="7">
        <v>1454.4140655223978</v>
      </c>
      <c r="F95" s="7">
        <v>1477.1917407830958</v>
      </c>
      <c r="G95" s="7">
        <v>1407.183489070514</v>
      </c>
      <c r="H95" s="116">
        <v>1321.1294634811929</v>
      </c>
      <c r="I95" s="116">
        <v>1105.098207694675</v>
      </c>
      <c r="J95" s="116">
        <v>1056.3366075055262</v>
      </c>
      <c r="K95" s="116">
        <v>1020.6314837158122</v>
      </c>
    </row>
    <row r="96" spans="1:11" x14ac:dyDescent="0.3">
      <c r="D96" s="7"/>
      <c r="E96" s="7"/>
      <c r="F96" s="7"/>
      <c r="G96" s="7"/>
      <c r="H96" s="30"/>
      <c r="I96" s="30"/>
      <c r="J96" s="30"/>
      <c r="K96" s="30"/>
    </row>
    <row r="97" spans="2:11" x14ac:dyDescent="0.3">
      <c r="B97" s="39" t="s">
        <v>302</v>
      </c>
      <c r="D97" s="7"/>
      <c r="E97" s="7"/>
      <c r="F97" s="7"/>
      <c r="G97" s="7"/>
      <c r="H97" s="7"/>
      <c r="I97" s="7"/>
      <c r="J97" s="7"/>
      <c r="K97" s="7"/>
    </row>
    <row r="98" spans="2:11" x14ac:dyDescent="0.3">
      <c r="D98" s="7"/>
      <c r="E98" s="7"/>
      <c r="F98" s="7"/>
      <c r="G98" s="7"/>
      <c r="H98" s="7"/>
      <c r="I98" s="7"/>
      <c r="J98" s="7"/>
      <c r="K98" s="7"/>
    </row>
    <row r="99" spans="2:11" x14ac:dyDescent="0.3">
      <c r="D99" s="7"/>
      <c r="E99" s="7"/>
      <c r="F99" s="7"/>
      <c r="G99" s="7"/>
      <c r="H99" s="7"/>
      <c r="I99" s="7"/>
      <c r="J99" s="7"/>
      <c r="K99" s="7"/>
    </row>
    <row r="100" spans="2:11" x14ac:dyDescent="0.3">
      <c r="D100" s="7"/>
      <c r="E100" s="7"/>
      <c r="F100" s="7"/>
      <c r="G100" s="7"/>
      <c r="H100" s="7"/>
      <c r="I100" s="7"/>
      <c r="J100" s="7"/>
      <c r="K100" s="7"/>
    </row>
    <row r="101" spans="2:11" x14ac:dyDescent="0.3">
      <c r="D101" s="7"/>
      <c r="E101" s="7"/>
      <c r="F101" s="7"/>
      <c r="G101" s="7"/>
      <c r="H101" s="7"/>
      <c r="I101" s="7"/>
      <c r="J101" s="7"/>
      <c r="K101" s="7"/>
    </row>
    <row r="102" spans="2:11" x14ac:dyDescent="0.3">
      <c r="D102" s="7"/>
      <c r="E102" s="7"/>
      <c r="F102" s="7"/>
      <c r="G102" s="7"/>
      <c r="H102" s="7"/>
      <c r="I102" s="7"/>
      <c r="J102" s="7"/>
      <c r="K102" s="7"/>
    </row>
    <row r="103" spans="2:11" x14ac:dyDescent="0.3">
      <c r="D103" s="7"/>
      <c r="E103" s="7"/>
      <c r="F103" s="7"/>
      <c r="G103" s="7"/>
      <c r="H103" s="7"/>
      <c r="I103" s="7"/>
      <c r="J103" s="7"/>
      <c r="K103" s="7"/>
    </row>
    <row r="104" spans="2:11" x14ac:dyDescent="0.3">
      <c r="D104" s="7"/>
      <c r="E104" s="7"/>
      <c r="F104" s="7"/>
      <c r="G104" s="7"/>
      <c r="H104" s="7"/>
      <c r="I104" s="7"/>
      <c r="J104" s="7"/>
      <c r="K104" s="7"/>
    </row>
    <row r="105" spans="2:11" x14ac:dyDescent="0.3">
      <c r="D105" s="7"/>
      <c r="E105" s="7"/>
      <c r="F105" s="7"/>
      <c r="G105" s="7"/>
      <c r="H105" s="7"/>
      <c r="I105" s="7"/>
      <c r="J105" s="7"/>
      <c r="K105" s="7"/>
    </row>
    <row r="106" spans="2:11" x14ac:dyDescent="0.3">
      <c r="D106" s="7"/>
      <c r="E106" s="7"/>
      <c r="F106" s="7"/>
      <c r="G106" s="7"/>
      <c r="H106" s="7"/>
      <c r="I106" s="7"/>
      <c r="J106" s="7"/>
      <c r="K106" s="7"/>
    </row>
    <row r="107" spans="2:11" x14ac:dyDescent="0.3">
      <c r="D107" s="7"/>
      <c r="E107" s="7"/>
      <c r="F107" s="7"/>
      <c r="G107" s="7"/>
      <c r="H107" s="7"/>
      <c r="I107" s="7"/>
      <c r="J107" s="7"/>
      <c r="K107" s="7"/>
    </row>
    <row r="108" spans="2:11" x14ac:dyDescent="0.3">
      <c r="D108" s="7"/>
      <c r="E108" s="7"/>
      <c r="F108" s="7"/>
      <c r="G108" s="7"/>
      <c r="H108" s="7"/>
      <c r="I108" s="7"/>
      <c r="J108" s="7"/>
      <c r="K108" s="7"/>
    </row>
    <row r="109" spans="2:11" x14ac:dyDescent="0.3">
      <c r="D109" s="7"/>
      <c r="E109" s="7"/>
      <c r="F109" s="7"/>
      <c r="G109" s="7"/>
      <c r="H109" s="7"/>
      <c r="I109" s="7"/>
      <c r="J109" s="7"/>
      <c r="K109" s="7"/>
    </row>
    <row r="110" spans="2:11" x14ac:dyDescent="0.3">
      <c r="D110" s="7"/>
      <c r="E110" s="7"/>
      <c r="F110" s="7"/>
      <c r="G110" s="7"/>
      <c r="H110" s="7"/>
      <c r="I110" s="7"/>
      <c r="J110" s="7"/>
      <c r="K110" s="7"/>
    </row>
    <row r="111" spans="2:11" x14ac:dyDescent="0.3">
      <c r="D111" s="7"/>
      <c r="E111" s="7"/>
      <c r="F111" s="7"/>
      <c r="G111" s="7"/>
      <c r="H111" s="7"/>
      <c r="I111" s="7"/>
      <c r="J111" s="7"/>
      <c r="K111" s="7"/>
    </row>
    <row r="112" spans="2:11" x14ac:dyDescent="0.3">
      <c r="D112" s="7"/>
      <c r="E112" s="7"/>
      <c r="F112" s="7"/>
      <c r="G112" s="7"/>
      <c r="H112" s="7"/>
      <c r="I112" s="7"/>
      <c r="J112" s="7"/>
      <c r="K112" s="7"/>
    </row>
    <row r="113" spans="2:11" x14ac:dyDescent="0.3">
      <c r="D113" s="7"/>
      <c r="E113" s="7"/>
      <c r="F113" s="7"/>
      <c r="G113" s="7"/>
      <c r="H113" s="7"/>
      <c r="I113" s="7"/>
      <c r="J113" s="7"/>
      <c r="K113" s="7"/>
    </row>
    <row r="114" spans="2:11" x14ac:dyDescent="0.3">
      <c r="D114" s="7"/>
      <c r="E114" s="7"/>
      <c r="F114" s="7"/>
      <c r="G114" s="7"/>
      <c r="H114" s="7"/>
      <c r="I114" s="7"/>
      <c r="J114" s="7"/>
      <c r="K114" s="7"/>
    </row>
    <row r="115" spans="2:11" x14ac:dyDescent="0.3">
      <c r="D115" s="7"/>
      <c r="E115" s="7"/>
      <c r="F115" s="7"/>
      <c r="G115" s="7"/>
      <c r="H115" s="7"/>
      <c r="I115" s="7"/>
      <c r="J115" s="7"/>
      <c r="K115" s="7"/>
    </row>
    <row r="116" spans="2:11" x14ac:dyDescent="0.3">
      <c r="D116" s="7"/>
      <c r="E116" s="7"/>
      <c r="F116" s="7"/>
      <c r="G116" s="7"/>
      <c r="H116" s="7"/>
      <c r="I116" s="7"/>
      <c r="J116" s="7"/>
      <c r="K116" s="7"/>
    </row>
    <row r="117" spans="2:11" x14ac:dyDescent="0.3">
      <c r="D117" s="7"/>
      <c r="E117" s="7"/>
      <c r="F117" s="7"/>
      <c r="G117" s="7"/>
      <c r="H117" s="7"/>
      <c r="I117" s="7"/>
      <c r="J117" s="7"/>
      <c r="K117" s="7"/>
    </row>
    <row r="118" spans="2:11" x14ac:dyDescent="0.3">
      <c r="B118" s="39" t="s">
        <v>303</v>
      </c>
      <c r="D118" s="7"/>
      <c r="E118" s="7"/>
      <c r="F118" s="7"/>
      <c r="G118" s="7"/>
      <c r="H118" s="7"/>
      <c r="I118" s="7"/>
      <c r="J118" s="7"/>
      <c r="K118" s="7"/>
    </row>
    <row r="119" spans="2:11" x14ac:dyDescent="0.3">
      <c r="D119" s="7"/>
      <c r="E119" s="7"/>
      <c r="F119" s="7"/>
      <c r="G119" s="7"/>
      <c r="H119" s="7"/>
      <c r="I119" s="7"/>
      <c r="J119" s="7"/>
      <c r="K119" s="7"/>
    </row>
    <row r="120" spans="2:11" x14ac:dyDescent="0.3">
      <c r="D120" s="7"/>
      <c r="E120" s="7"/>
      <c r="F120" s="7"/>
      <c r="G120" s="7"/>
      <c r="H120" s="7"/>
      <c r="I120" s="7"/>
      <c r="J120" s="7"/>
      <c r="K120" s="7"/>
    </row>
    <row r="121" spans="2:11" x14ac:dyDescent="0.3">
      <c r="D121" s="7"/>
      <c r="E121" s="7"/>
      <c r="F121" s="7"/>
      <c r="G121" s="7"/>
      <c r="H121" s="7"/>
      <c r="I121" s="7"/>
      <c r="J121" s="7"/>
      <c r="K121" s="7"/>
    </row>
    <row r="122" spans="2:11" x14ac:dyDescent="0.3">
      <c r="D122" s="7"/>
      <c r="E122" s="7"/>
      <c r="F122" s="7"/>
      <c r="G122" s="7"/>
      <c r="H122" s="7"/>
      <c r="I122" s="7"/>
      <c r="J122" s="7"/>
      <c r="K122" s="7"/>
    </row>
    <row r="123" spans="2:11" x14ac:dyDescent="0.3">
      <c r="D123" s="7"/>
      <c r="E123" s="7"/>
      <c r="F123" s="7"/>
      <c r="G123" s="7"/>
      <c r="H123" s="7"/>
      <c r="I123" s="7"/>
      <c r="J123" s="7"/>
      <c r="K123" s="7"/>
    </row>
    <row r="124" spans="2:11" x14ac:dyDescent="0.3">
      <c r="D124" s="7"/>
      <c r="E124" s="7"/>
      <c r="F124" s="7"/>
      <c r="G124" s="7"/>
      <c r="H124" s="7"/>
      <c r="I124" s="7"/>
      <c r="J124" s="7"/>
      <c r="K124" s="7"/>
    </row>
    <row r="125" spans="2:11" x14ac:dyDescent="0.3">
      <c r="D125" s="7"/>
      <c r="E125" s="7"/>
      <c r="F125" s="7"/>
      <c r="G125" s="7"/>
      <c r="H125" s="7"/>
      <c r="I125" s="7"/>
      <c r="J125" s="7"/>
      <c r="K125" s="7"/>
    </row>
    <row r="126" spans="2:11" x14ac:dyDescent="0.3">
      <c r="D126" s="7"/>
      <c r="E126" s="7"/>
      <c r="F126" s="7"/>
      <c r="G126" s="7"/>
      <c r="H126" s="7"/>
      <c r="I126" s="7"/>
      <c r="J126" s="7"/>
      <c r="K126" s="7"/>
    </row>
    <row r="127" spans="2:11" x14ac:dyDescent="0.3">
      <c r="D127" s="7"/>
      <c r="E127" s="7"/>
      <c r="F127" s="7"/>
      <c r="G127" s="7"/>
      <c r="H127" s="7"/>
      <c r="I127" s="7"/>
      <c r="J127" s="7"/>
      <c r="K127" s="7"/>
    </row>
    <row r="128" spans="2:11" x14ac:dyDescent="0.3">
      <c r="D128" s="7"/>
      <c r="E128" s="7"/>
      <c r="F128" s="7"/>
      <c r="G128" s="7"/>
      <c r="H128" s="7"/>
      <c r="I128" s="7"/>
      <c r="J128" s="7"/>
      <c r="K128" s="7"/>
    </row>
    <row r="129" spans="2:11" x14ac:dyDescent="0.3">
      <c r="D129" s="7"/>
      <c r="E129" s="7"/>
      <c r="F129" s="7"/>
      <c r="G129" s="7"/>
      <c r="H129" s="7"/>
      <c r="I129" s="7"/>
      <c r="J129" s="7"/>
      <c r="K129" s="7"/>
    </row>
    <row r="130" spans="2:11" x14ac:dyDescent="0.3">
      <c r="D130" s="7"/>
      <c r="E130" s="7"/>
      <c r="F130" s="7"/>
      <c r="G130" s="7"/>
      <c r="H130" s="7"/>
      <c r="I130" s="7"/>
      <c r="J130" s="7"/>
      <c r="K130" s="7"/>
    </row>
    <row r="131" spans="2:11" x14ac:dyDescent="0.3">
      <c r="D131" s="7"/>
      <c r="E131" s="7"/>
      <c r="F131" s="7"/>
      <c r="G131" s="7"/>
      <c r="H131" s="7"/>
      <c r="I131" s="7"/>
      <c r="J131" s="7"/>
      <c r="K131" s="7"/>
    </row>
    <row r="132" spans="2:11" x14ac:dyDescent="0.3">
      <c r="D132" s="7"/>
      <c r="E132" s="7"/>
      <c r="F132" s="7"/>
      <c r="G132" s="7"/>
      <c r="H132" s="7"/>
      <c r="I132" s="7"/>
      <c r="J132" s="7"/>
      <c r="K132" s="7"/>
    </row>
    <row r="133" spans="2:11" x14ac:dyDescent="0.3">
      <c r="D133" s="7"/>
      <c r="E133" s="7"/>
      <c r="F133" s="7"/>
      <c r="G133" s="7"/>
      <c r="H133" s="7"/>
      <c r="I133" s="7"/>
      <c r="J133" s="7"/>
      <c r="K133" s="7"/>
    </row>
    <row r="134" spans="2:11" x14ac:dyDescent="0.3">
      <c r="D134" s="7"/>
      <c r="E134" s="7"/>
      <c r="F134" s="7"/>
      <c r="G134" s="7"/>
      <c r="H134" s="7"/>
      <c r="I134" s="7"/>
      <c r="J134" s="7"/>
      <c r="K134" s="7"/>
    </row>
    <row r="135" spans="2:11" x14ac:dyDescent="0.3">
      <c r="D135" s="7"/>
      <c r="E135" s="7"/>
      <c r="F135" s="7"/>
      <c r="G135" s="7"/>
      <c r="H135" s="7"/>
      <c r="I135" s="7"/>
      <c r="J135" s="7"/>
      <c r="K135" s="7"/>
    </row>
    <row r="136" spans="2:11" x14ac:dyDescent="0.3">
      <c r="D136" s="7"/>
      <c r="E136" s="7"/>
      <c r="F136" s="7"/>
      <c r="G136" s="7"/>
      <c r="H136" s="7"/>
      <c r="I136" s="7"/>
      <c r="J136" s="7"/>
      <c r="K136" s="7"/>
    </row>
    <row r="137" spans="2:11" x14ac:dyDescent="0.3">
      <c r="D137" s="7"/>
      <c r="E137" s="7"/>
      <c r="F137" s="7"/>
      <c r="G137" s="7"/>
      <c r="H137" s="7"/>
      <c r="I137" s="7"/>
      <c r="J137" s="7"/>
      <c r="K137" s="7"/>
    </row>
    <row r="138" spans="2:11" x14ac:dyDescent="0.3">
      <c r="D138" s="7"/>
      <c r="E138" s="7"/>
      <c r="F138" s="7"/>
      <c r="G138" s="7"/>
      <c r="H138" s="7"/>
      <c r="I138" s="7"/>
      <c r="J138" s="7"/>
      <c r="K138" s="7"/>
    </row>
    <row r="139" spans="2:11" x14ac:dyDescent="0.3">
      <c r="B139" s="39" t="s">
        <v>159</v>
      </c>
      <c r="D139" s="7"/>
      <c r="E139" s="7"/>
      <c r="F139" s="7"/>
      <c r="G139" s="7"/>
      <c r="H139" s="7"/>
      <c r="I139" s="7"/>
      <c r="J139" s="7"/>
      <c r="K139" s="7"/>
    </row>
    <row r="140" spans="2:11" x14ac:dyDescent="0.3">
      <c r="D140" s="7"/>
      <c r="E140" s="7"/>
      <c r="F140" s="7"/>
      <c r="G140" s="7"/>
      <c r="H140" s="7"/>
      <c r="I140" s="7"/>
      <c r="J140" s="7"/>
      <c r="K140" s="7"/>
    </row>
    <row r="141" spans="2:11" x14ac:dyDescent="0.3">
      <c r="D141" s="7"/>
      <c r="E141" s="7"/>
      <c r="F141" s="7"/>
      <c r="G141" s="7"/>
      <c r="H141" s="7"/>
      <c r="I141" s="7"/>
      <c r="J141" s="7"/>
      <c r="K141" s="7"/>
    </row>
    <row r="142" spans="2:11" x14ac:dyDescent="0.3">
      <c r="D142" s="7"/>
      <c r="E142" s="7"/>
      <c r="F142" s="7"/>
      <c r="G142" s="7"/>
      <c r="H142" s="7"/>
      <c r="I142" s="7"/>
      <c r="J142" s="7"/>
      <c r="K142" s="7"/>
    </row>
    <row r="143" spans="2:11" x14ac:dyDescent="0.3">
      <c r="D143" s="7"/>
      <c r="E143" s="7"/>
      <c r="F143" s="7"/>
      <c r="G143" s="7"/>
      <c r="H143" s="7"/>
      <c r="I143" s="7"/>
      <c r="J143" s="7"/>
      <c r="K143" s="7"/>
    </row>
    <row r="144" spans="2:11" x14ac:dyDescent="0.3">
      <c r="D144" s="7"/>
      <c r="E144" s="7"/>
      <c r="F144" s="7"/>
      <c r="G144" s="7"/>
      <c r="H144" s="7"/>
      <c r="I144" s="7"/>
      <c r="J144" s="7"/>
      <c r="K144" s="7"/>
    </row>
    <row r="145" spans="2:11" x14ac:dyDescent="0.3">
      <c r="D145" s="7"/>
      <c r="E145" s="7"/>
      <c r="F145" s="7"/>
      <c r="G145" s="7"/>
      <c r="H145" s="7"/>
      <c r="I145" s="7"/>
      <c r="J145" s="7"/>
      <c r="K145" s="7"/>
    </row>
    <row r="146" spans="2:11" x14ac:dyDescent="0.3">
      <c r="D146" s="7"/>
      <c r="E146" s="7"/>
      <c r="F146" s="7"/>
      <c r="G146" s="7"/>
      <c r="H146" s="7"/>
      <c r="I146" s="7"/>
      <c r="J146" s="7"/>
      <c r="K146" s="7"/>
    </row>
    <row r="147" spans="2:11" x14ac:dyDescent="0.3">
      <c r="D147" s="7"/>
      <c r="E147" s="7"/>
      <c r="F147" s="7"/>
      <c r="G147" s="7"/>
      <c r="H147" s="7"/>
      <c r="I147" s="7"/>
      <c r="J147" s="7"/>
      <c r="K147" s="7"/>
    </row>
    <row r="148" spans="2:11" x14ac:dyDescent="0.3">
      <c r="D148" s="7"/>
      <c r="E148" s="7"/>
      <c r="F148" s="7"/>
      <c r="G148" s="7"/>
      <c r="H148" s="7"/>
      <c r="I148" s="7"/>
      <c r="J148" s="7"/>
      <c r="K148" s="7"/>
    </row>
    <row r="149" spans="2:11" x14ac:dyDescent="0.3">
      <c r="D149" s="7"/>
      <c r="E149" s="7"/>
      <c r="F149" s="7"/>
      <c r="G149" s="7"/>
      <c r="H149" s="7"/>
      <c r="I149" s="7"/>
      <c r="J149" s="7"/>
      <c r="K149" s="7"/>
    </row>
    <row r="150" spans="2:11" x14ac:dyDescent="0.3">
      <c r="D150" s="7"/>
      <c r="E150" s="7"/>
      <c r="F150" s="7"/>
      <c r="G150" s="7"/>
      <c r="H150" s="7"/>
      <c r="I150" s="7"/>
      <c r="J150" s="7"/>
      <c r="K150" s="7"/>
    </row>
    <row r="151" spans="2:11" x14ac:dyDescent="0.3">
      <c r="D151" s="7"/>
      <c r="E151" s="7"/>
      <c r="F151" s="7"/>
      <c r="G151" s="7"/>
      <c r="H151" s="7"/>
      <c r="I151" s="7"/>
      <c r="J151" s="7"/>
      <c r="K151" s="7"/>
    </row>
    <row r="152" spans="2:11" x14ac:dyDescent="0.3">
      <c r="D152" s="7"/>
      <c r="E152" s="7"/>
      <c r="F152" s="7"/>
      <c r="G152" s="7"/>
      <c r="H152" s="7"/>
      <c r="I152" s="7"/>
      <c r="J152" s="7"/>
      <c r="K152" s="7"/>
    </row>
    <row r="153" spans="2:11" x14ac:dyDescent="0.3">
      <c r="D153" s="7"/>
      <c r="E153" s="7"/>
      <c r="F153" s="7"/>
      <c r="G153" s="7"/>
      <c r="H153" s="7"/>
      <c r="I153" s="7"/>
      <c r="J153" s="7"/>
      <c r="K153" s="7"/>
    </row>
    <row r="154" spans="2:11" x14ac:dyDescent="0.3">
      <c r="D154" s="7"/>
      <c r="E154" s="7"/>
      <c r="F154" s="7"/>
      <c r="G154" s="7"/>
      <c r="H154" s="7"/>
      <c r="I154" s="7"/>
      <c r="J154" s="7"/>
      <c r="K154" s="7"/>
    </row>
    <row r="155" spans="2:11" x14ac:dyDescent="0.3">
      <c r="D155" s="7"/>
      <c r="E155" s="7"/>
      <c r="F155" s="7"/>
      <c r="G155" s="7"/>
      <c r="H155" s="7"/>
      <c r="I155" s="7"/>
      <c r="J155" s="7"/>
      <c r="K155" s="7"/>
    </row>
    <row r="156" spans="2:11" x14ac:dyDescent="0.3">
      <c r="D156" s="7"/>
      <c r="E156" s="7"/>
      <c r="F156" s="7"/>
      <c r="G156" s="7"/>
      <c r="H156" s="7"/>
      <c r="I156" s="7"/>
      <c r="J156" s="7"/>
      <c r="K156" s="7"/>
    </row>
    <row r="157" spans="2:11" x14ac:dyDescent="0.3">
      <c r="D157" s="7"/>
      <c r="E157" s="7"/>
      <c r="F157" s="7"/>
      <c r="G157" s="7"/>
      <c r="H157" s="7"/>
      <c r="I157" s="7"/>
      <c r="J157" s="7"/>
      <c r="K157" s="7"/>
    </row>
    <row r="158" spans="2:11" x14ac:dyDescent="0.3">
      <c r="D158" s="7"/>
      <c r="E158" s="7"/>
      <c r="F158" s="7"/>
      <c r="G158" s="7"/>
      <c r="H158" s="7"/>
      <c r="I158" s="7"/>
      <c r="J158" s="7"/>
      <c r="K158" s="7"/>
    </row>
    <row r="159" spans="2:11" x14ac:dyDescent="0.3">
      <c r="D159" s="7"/>
      <c r="E159" s="7"/>
      <c r="F159" s="7"/>
      <c r="G159" s="7"/>
      <c r="H159" s="7"/>
      <c r="I159" s="7"/>
      <c r="J159" s="7"/>
      <c r="K159" s="7"/>
    </row>
    <row r="160" spans="2:11" x14ac:dyDescent="0.3">
      <c r="B160" s="39" t="s">
        <v>168</v>
      </c>
      <c r="D160" s="7"/>
      <c r="E160" s="7"/>
      <c r="F160" s="7"/>
      <c r="G160" s="7"/>
      <c r="H160" s="7"/>
      <c r="I160" s="7"/>
      <c r="J160" s="7"/>
      <c r="K160" s="7"/>
    </row>
    <row r="161" spans="4:11" x14ac:dyDescent="0.3">
      <c r="D161" s="7"/>
      <c r="E161" s="7"/>
      <c r="F161" s="7"/>
      <c r="G161" s="7"/>
      <c r="H161" s="7"/>
      <c r="I161" s="7"/>
      <c r="J161" s="7"/>
      <c r="K161" s="7"/>
    </row>
    <row r="162" spans="4:11" x14ac:dyDescent="0.3">
      <c r="D162" s="7"/>
      <c r="E162" s="7"/>
      <c r="F162" s="7"/>
      <c r="G162" s="7"/>
      <c r="H162" s="7"/>
      <c r="I162" s="7"/>
      <c r="J162" s="7"/>
      <c r="K162" s="7"/>
    </row>
    <row r="163" spans="4:11" x14ac:dyDescent="0.3">
      <c r="D163" s="7"/>
      <c r="E163" s="7"/>
      <c r="F163" s="7"/>
      <c r="G163" s="7"/>
      <c r="H163" s="7"/>
      <c r="I163" s="7"/>
      <c r="J163" s="7"/>
      <c r="K163" s="7"/>
    </row>
    <row r="164" spans="4:11" x14ac:dyDescent="0.3">
      <c r="D164" s="7"/>
      <c r="E164" s="7"/>
      <c r="F164" s="7"/>
      <c r="G164" s="7"/>
      <c r="H164" s="7"/>
      <c r="I164" s="7"/>
      <c r="J164" s="7"/>
      <c r="K164" s="7"/>
    </row>
    <row r="165" spans="4:11" x14ac:dyDescent="0.3">
      <c r="D165" s="7"/>
      <c r="E165" s="7"/>
      <c r="F165" s="7"/>
      <c r="G165" s="7"/>
      <c r="H165" s="7"/>
      <c r="I165" s="7"/>
      <c r="J165" s="7"/>
      <c r="K165" s="7"/>
    </row>
    <row r="166" spans="4:11" x14ac:dyDescent="0.3">
      <c r="D166" s="7"/>
      <c r="E166" s="7"/>
      <c r="F166" s="7"/>
      <c r="G166" s="7"/>
      <c r="H166" s="7"/>
      <c r="I166" s="7"/>
      <c r="J166" s="7"/>
      <c r="K166" s="7"/>
    </row>
    <row r="167" spans="4:11" x14ac:dyDescent="0.3">
      <c r="D167" s="7"/>
      <c r="E167" s="7"/>
      <c r="F167" s="7"/>
      <c r="G167" s="7"/>
      <c r="H167" s="7"/>
      <c r="I167" s="7"/>
      <c r="J167" s="7"/>
      <c r="K167" s="7"/>
    </row>
    <row r="168" spans="4:11" x14ac:dyDescent="0.3">
      <c r="D168" s="7"/>
      <c r="E168" s="7"/>
      <c r="F168" s="7"/>
      <c r="G168" s="7"/>
      <c r="H168" s="7"/>
      <c r="I168" s="7"/>
      <c r="J168" s="7"/>
      <c r="K168" s="7"/>
    </row>
    <row r="169" spans="4:11" x14ac:dyDescent="0.3">
      <c r="D169" s="7"/>
      <c r="E169" s="7"/>
      <c r="F169" s="7"/>
      <c r="G169" s="7"/>
      <c r="H169" s="7"/>
      <c r="I169" s="7"/>
      <c r="J169" s="7"/>
      <c r="K169" s="7"/>
    </row>
    <row r="170" spans="4:11" x14ac:dyDescent="0.3">
      <c r="D170" s="7"/>
      <c r="E170" s="7"/>
      <c r="F170" s="7"/>
      <c r="G170" s="7"/>
      <c r="H170" s="7"/>
      <c r="I170" s="7"/>
      <c r="J170" s="7"/>
      <c r="K170" s="7"/>
    </row>
    <row r="171" spans="4:11" x14ac:dyDescent="0.3">
      <c r="D171" s="7"/>
      <c r="E171" s="7"/>
      <c r="F171" s="7"/>
      <c r="G171" s="7"/>
      <c r="H171" s="7"/>
      <c r="I171" s="7"/>
      <c r="J171" s="7"/>
      <c r="K171" s="7"/>
    </row>
    <row r="172" spans="4:11" x14ac:dyDescent="0.3">
      <c r="D172" s="7"/>
      <c r="E172" s="7"/>
      <c r="F172" s="7"/>
      <c r="G172" s="7"/>
      <c r="H172" s="7"/>
      <c r="I172" s="7"/>
      <c r="J172" s="7"/>
      <c r="K172" s="7"/>
    </row>
    <row r="173" spans="4:11" x14ac:dyDescent="0.3">
      <c r="D173" s="7"/>
      <c r="E173" s="7"/>
      <c r="F173" s="7"/>
      <c r="G173" s="7"/>
      <c r="H173" s="7"/>
      <c r="I173" s="7"/>
      <c r="J173" s="7"/>
      <c r="K173" s="7"/>
    </row>
    <row r="174" spans="4:11" x14ac:dyDescent="0.3">
      <c r="D174" s="7"/>
      <c r="E174" s="7"/>
      <c r="F174" s="7"/>
      <c r="G174" s="7"/>
      <c r="H174" s="7"/>
      <c r="I174" s="7"/>
      <c r="J174" s="7"/>
      <c r="K174" s="7"/>
    </row>
    <row r="175" spans="4:11" x14ac:dyDescent="0.3">
      <c r="D175" s="7"/>
      <c r="E175" s="7"/>
      <c r="F175" s="7"/>
      <c r="G175" s="7"/>
      <c r="H175" s="7"/>
      <c r="I175" s="7"/>
      <c r="J175" s="7"/>
      <c r="K175" s="7"/>
    </row>
    <row r="176" spans="4:11" x14ac:dyDescent="0.3">
      <c r="D176" s="7"/>
      <c r="E176" s="7"/>
      <c r="F176" s="7"/>
      <c r="G176" s="7"/>
      <c r="H176" s="7"/>
      <c r="I176" s="7"/>
      <c r="J176" s="7"/>
      <c r="K176" s="7"/>
    </row>
    <row r="177" spans="2:11" x14ac:dyDescent="0.3">
      <c r="D177" s="7"/>
      <c r="E177" s="7"/>
      <c r="F177" s="7"/>
      <c r="G177" s="7"/>
      <c r="H177" s="7"/>
      <c r="I177" s="7"/>
      <c r="J177" s="7"/>
      <c r="K177" s="7"/>
    </row>
    <row r="178" spans="2:11" x14ac:dyDescent="0.3">
      <c r="D178" s="7"/>
      <c r="E178" s="7"/>
      <c r="F178" s="7"/>
      <c r="G178" s="7"/>
      <c r="H178" s="7"/>
      <c r="I178" s="7"/>
      <c r="J178" s="7"/>
      <c r="K178" s="7"/>
    </row>
    <row r="179" spans="2:11" x14ac:dyDescent="0.3">
      <c r="D179" s="7"/>
      <c r="E179" s="7"/>
      <c r="F179" s="7"/>
      <c r="G179" s="7"/>
      <c r="H179" s="7"/>
      <c r="I179" s="7"/>
      <c r="J179" s="7"/>
      <c r="K179" s="7"/>
    </row>
    <row r="180" spans="2:11" x14ac:dyDescent="0.3">
      <c r="D180" s="7"/>
      <c r="E180" s="7"/>
      <c r="F180" s="7"/>
      <c r="G180" s="7"/>
      <c r="H180" s="7"/>
      <c r="I180" s="7"/>
      <c r="J180" s="7"/>
      <c r="K180" s="7"/>
    </row>
    <row r="181" spans="2:11" x14ac:dyDescent="0.3">
      <c r="B181" s="39" t="s">
        <v>301</v>
      </c>
    </row>
    <row r="182" spans="2:11" x14ac:dyDescent="0.3">
      <c r="E182" s="31"/>
    </row>
    <row r="202" spans="2:2" x14ac:dyDescent="0.3">
      <c r="B202" s="39" t="s">
        <v>267</v>
      </c>
    </row>
    <row r="221" spans="2:2" x14ac:dyDescent="0.3">
      <c r="B221" s="39" t="s">
        <v>208</v>
      </c>
    </row>
  </sheetData>
  <mergeCells count="1">
    <mergeCell ref="A1:B1"/>
  </mergeCells>
  <conditionalFormatting sqref="D3">
    <cfRule type="cellIs" dxfId="107" priority="73" operator="greaterThan">
      <formula>$C3</formula>
    </cfRule>
  </conditionalFormatting>
  <conditionalFormatting sqref="D12">
    <cfRule type="cellIs" dxfId="106" priority="71" operator="lessThan">
      <formula>$C12</formula>
    </cfRule>
  </conditionalFormatting>
  <conditionalFormatting sqref="D15:E15 K15">
    <cfRule type="cellIs" dxfId="105" priority="69" operator="greaterThan">
      <formula>$C$15</formula>
    </cfRule>
  </conditionalFormatting>
  <conditionalFormatting sqref="E3 K3">
    <cfRule type="cellIs" dxfId="104" priority="65" operator="greaterThan">
      <formula>$C3</formula>
    </cfRule>
  </conditionalFormatting>
  <conditionalFormatting sqref="D51:E51 K51">
    <cfRule type="cellIs" dxfId="103" priority="64" operator="greaterThan">
      <formula>$C51</formula>
    </cfRule>
  </conditionalFormatting>
  <conditionalFormatting sqref="D62:E63 K62:K63">
    <cfRule type="cellIs" dxfId="102" priority="63" operator="greaterThan">
      <formula>$C62</formula>
    </cfRule>
  </conditionalFormatting>
  <conditionalFormatting sqref="D65:E65 K65">
    <cfRule type="cellIs" dxfId="101" priority="62" operator="greaterThan">
      <formula>$C65</formula>
    </cfRule>
  </conditionalFormatting>
  <conditionalFormatting sqref="E12 K12">
    <cfRule type="cellIs" dxfId="100" priority="61" operator="lessThan">
      <formula>$C12</formula>
    </cfRule>
  </conditionalFormatting>
  <conditionalFormatting sqref="D77:E78">
    <cfRule type="cellIs" dxfId="99" priority="60" operator="lessThan">
      <formula>$C77</formula>
    </cfRule>
  </conditionalFormatting>
  <conditionalFormatting sqref="E77:E78 K77:K78">
    <cfRule type="cellIs" dxfId="98" priority="59" operator="lessThan">
      <formula>$C77</formula>
    </cfRule>
  </conditionalFormatting>
  <conditionalFormatting sqref="D66">
    <cfRule type="expression" dxfId="97" priority="50">
      <formula>D$66+D$67&gt;=$C$67</formula>
    </cfRule>
  </conditionalFormatting>
  <conditionalFormatting sqref="E66 K66">
    <cfRule type="expression" dxfId="96" priority="49">
      <formula>E$66+E$67&gt;=$C$67</formula>
    </cfRule>
  </conditionalFormatting>
  <conditionalFormatting sqref="D67">
    <cfRule type="expression" dxfId="95" priority="48">
      <formula>D$66+D$67&gt;=$C$67</formula>
    </cfRule>
  </conditionalFormatting>
  <conditionalFormatting sqref="E67 K67">
    <cfRule type="expression" dxfId="94" priority="47">
      <formula>E$66+E$67&gt;=$C$67</formula>
    </cfRule>
  </conditionalFormatting>
  <conditionalFormatting sqref="C63">
    <cfRule type="cellIs" dxfId="93" priority="46" operator="greaterThan">
      <formula>$C63</formula>
    </cfRule>
  </conditionalFormatting>
  <conditionalFormatting sqref="F15">
    <cfRule type="cellIs" dxfId="92" priority="45" operator="greaterThan">
      <formula>$C$15</formula>
    </cfRule>
  </conditionalFormatting>
  <conditionalFormatting sqref="F3">
    <cfRule type="cellIs" dxfId="91" priority="44" operator="greaterThan">
      <formula>$C3</formula>
    </cfRule>
  </conditionalFormatting>
  <conditionalFormatting sqref="F51">
    <cfRule type="cellIs" dxfId="90" priority="43" operator="greaterThan">
      <formula>$C51</formula>
    </cfRule>
  </conditionalFormatting>
  <conditionalFormatting sqref="F62:F63">
    <cfRule type="cellIs" dxfId="89" priority="42" operator="greaterThan">
      <formula>$C62</formula>
    </cfRule>
  </conditionalFormatting>
  <conditionalFormatting sqref="F65">
    <cfRule type="cellIs" dxfId="88" priority="41" operator="greaterThan">
      <formula>$C65</formula>
    </cfRule>
  </conditionalFormatting>
  <conditionalFormatting sqref="F12">
    <cfRule type="cellIs" dxfId="87" priority="40" operator="lessThan">
      <formula>$C12</formula>
    </cfRule>
  </conditionalFormatting>
  <conditionalFormatting sqref="F77:F78">
    <cfRule type="cellIs" dxfId="86" priority="39" operator="lessThan">
      <formula>$C77</formula>
    </cfRule>
  </conditionalFormatting>
  <conditionalFormatting sqref="F66">
    <cfRule type="expression" dxfId="85" priority="38">
      <formula>F$66+F$67&gt;=$C$67</formula>
    </cfRule>
  </conditionalFormatting>
  <conditionalFormatting sqref="F67">
    <cfRule type="expression" dxfId="84" priority="37">
      <formula>F$66+F$67&gt;=$C$67</formula>
    </cfRule>
  </conditionalFormatting>
  <conditionalFormatting sqref="G15">
    <cfRule type="cellIs" dxfId="83" priority="36" operator="greaterThan">
      <formula>$C$15</formula>
    </cfRule>
  </conditionalFormatting>
  <conditionalFormatting sqref="G3">
    <cfRule type="cellIs" dxfId="82" priority="35" operator="greaterThan">
      <formula>$C3</formula>
    </cfRule>
  </conditionalFormatting>
  <conditionalFormatting sqref="G51">
    <cfRule type="cellIs" dxfId="81" priority="34" operator="greaterThan">
      <formula>$C51</formula>
    </cfRule>
  </conditionalFormatting>
  <conditionalFormatting sqref="G62:G63">
    <cfRule type="cellIs" dxfId="80" priority="33" operator="greaterThan">
      <formula>$C62</formula>
    </cfRule>
  </conditionalFormatting>
  <conditionalFormatting sqref="G65">
    <cfRule type="cellIs" dxfId="79" priority="32" operator="greaterThan">
      <formula>$C65</formula>
    </cfRule>
  </conditionalFormatting>
  <conditionalFormatting sqref="G12">
    <cfRule type="cellIs" dxfId="78" priority="31" operator="lessThan">
      <formula>$C12</formula>
    </cfRule>
  </conditionalFormatting>
  <conditionalFormatting sqref="G77:G78">
    <cfRule type="cellIs" dxfId="77" priority="30" operator="lessThan">
      <formula>$C77</formula>
    </cfRule>
  </conditionalFormatting>
  <conditionalFormatting sqref="G66">
    <cfRule type="expression" dxfId="76" priority="29">
      <formula>G$66+G$67&gt;=$C$67</formula>
    </cfRule>
  </conditionalFormatting>
  <conditionalFormatting sqref="G67">
    <cfRule type="expression" dxfId="75" priority="28">
      <formula>G$66+G$67&gt;=$C$67</formula>
    </cfRule>
  </conditionalFormatting>
  <conditionalFormatting sqref="H15">
    <cfRule type="cellIs" dxfId="74" priority="27" operator="greaterThan">
      <formula>$C$15</formula>
    </cfRule>
  </conditionalFormatting>
  <conditionalFormatting sqref="H3">
    <cfRule type="cellIs" dxfId="73" priority="26" operator="greaterThan">
      <formula>$C3</formula>
    </cfRule>
  </conditionalFormatting>
  <conditionalFormatting sqref="H51">
    <cfRule type="cellIs" dxfId="72" priority="25" operator="greaterThan">
      <formula>$C51</formula>
    </cfRule>
  </conditionalFormatting>
  <conditionalFormatting sqref="H62:H63">
    <cfRule type="cellIs" dxfId="71" priority="24" operator="greaterThan">
      <formula>$C62</formula>
    </cfRule>
  </conditionalFormatting>
  <conditionalFormatting sqref="H65">
    <cfRule type="cellIs" dxfId="70" priority="23" operator="greaterThan">
      <formula>$C65</formula>
    </cfRule>
  </conditionalFormatting>
  <conditionalFormatting sqref="H12">
    <cfRule type="cellIs" dxfId="69" priority="22" operator="lessThan">
      <formula>$C12</formula>
    </cfRule>
  </conditionalFormatting>
  <conditionalFormatting sqref="H77:H78">
    <cfRule type="cellIs" dxfId="68" priority="21" operator="lessThan">
      <formula>$C77</formula>
    </cfRule>
  </conditionalFormatting>
  <conditionalFormatting sqref="H66">
    <cfRule type="expression" dxfId="67" priority="20">
      <formula>H$66+H$67&gt;=$C$67</formula>
    </cfRule>
  </conditionalFormatting>
  <conditionalFormatting sqref="H67">
    <cfRule type="expression" dxfId="66" priority="19">
      <formula>H$66+H$67&gt;=$C$67</formula>
    </cfRule>
  </conditionalFormatting>
  <conditionalFormatting sqref="I15">
    <cfRule type="cellIs" dxfId="65" priority="18" operator="greaterThan">
      <formula>$C$15</formula>
    </cfRule>
  </conditionalFormatting>
  <conditionalFormatting sqref="I3">
    <cfRule type="cellIs" dxfId="64" priority="17" operator="greaterThan">
      <formula>$C3</formula>
    </cfRule>
  </conditionalFormatting>
  <conditionalFormatting sqref="I51">
    <cfRule type="cellIs" dxfId="63" priority="16" operator="greaterThan">
      <formula>$C51</formula>
    </cfRule>
  </conditionalFormatting>
  <conditionalFormatting sqref="I62:I63">
    <cfRule type="cellIs" dxfId="62" priority="15" operator="greaterThan">
      <formula>$C62</formula>
    </cfRule>
  </conditionalFormatting>
  <conditionalFormatting sqref="I65">
    <cfRule type="cellIs" dxfId="61" priority="14" operator="greaterThan">
      <formula>$C65</formula>
    </cfRule>
  </conditionalFormatting>
  <conditionalFormatting sqref="I12">
    <cfRule type="cellIs" dxfId="60" priority="13" operator="lessThan">
      <formula>$C12</formula>
    </cfRule>
  </conditionalFormatting>
  <conditionalFormatting sqref="I77:I78">
    <cfRule type="cellIs" dxfId="59" priority="12" operator="lessThan">
      <formula>$C77</formula>
    </cfRule>
  </conditionalFormatting>
  <conditionalFormatting sqref="I66">
    <cfRule type="expression" dxfId="58" priority="11">
      <formula>I$66+I$67&gt;=$C$67</formula>
    </cfRule>
  </conditionalFormatting>
  <conditionalFormatting sqref="I67">
    <cfRule type="expression" dxfId="57" priority="10">
      <formula>I$66+I$67&gt;=$C$67</formula>
    </cfRule>
  </conditionalFormatting>
  <conditionalFormatting sqref="J15">
    <cfRule type="cellIs" dxfId="56" priority="9" operator="greaterThan">
      <formula>$C$15</formula>
    </cfRule>
  </conditionalFormatting>
  <conditionalFormatting sqref="J3">
    <cfRule type="cellIs" dxfId="55" priority="8" operator="greaterThan">
      <formula>$C3</formula>
    </cfRule>
  </conditionalFormatting>
  <conditionalFormatting sqref="J51">
    <cfRule type="cellIs" dxfId="54" priority="7" operator="greaterThan">
      <formula>$C51</formula>
    </cfRule>
  </conditionalFormatting>
  <conditionalFormatting sqref="J62:J63">
    <cfRule type="cellIs" dxfId="53" priority="6" operator="greaterThan">
      <formula>$C62</formula>
    </cfRule>
  </conditionalFormatting>
  <conditionalFormatting sqref="J65">
    <cfRule type="cellIs" dxfId="52" priority="5" operator="greaterThan">
      <formula>$C65</formula>
    </cfRule>
  </conditionalFormatting>
  <conditionalFormatting sqref="J12">
    <cfRule type="cellIs" dxfId="51" priority="4" operator="lessThan">
      <formula>$C12</formula>
    </cfRule>
  </conditionalFormatting>
  <conditionalFormatting sqref="J77:J78">
    <cfRule type="cellIs" dxfId="50" priority="3" operator="lessThan">
      <formula>$C77</formula>
    </cfRule>
  </conditionalFormatting>
  <conditionalFormatting sqref="J66">
    <cfRule type="expression" dxfId="49" priority="2">
      <formula>J$66+J$67&gt;=$C$67</formula>
    </cfRule>
  </conditionalFormatting>
  <conditionalFormatting sqref="J67">
    <cfRule type="expression" dxfId="48" priority="1">
      <formula>J$66+J$67&gt;=$C$67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workbookViewId="0">
      <selection activeCell="C17" sqref="C17"/>
    </sheetView>
  </sheetViews>
  <sheetFormatPr defaultRowHeight="14.4" x14ac:dyDescent="0.3"/>
  <cols>
    <col min="1" max="2" width="10.33203125" bestFit="1" customWidth="1"/>
    <col min="3" max="3" width="50.6640625" bestFit="1" customWidth="1"/>
    <col min="4" max="4" width="7.44140625" customWidth="1"/>
    <col min="5" max="12" width="7.5546875" customWidth="1"/>
  </cols>
  <sheetData>
    <row r="1" spans="1:12" ht="23.25" customHeight="1" x14ac:dyDescent="0.3">
      <c r="A1" s="74" t="s">
        <v>309</v>
      </c>
      <c r="B1" s="74" t="s">
        <v>310</v>
      </c>
      <c r="C1" s="74" t="s">
        <v>320</v>
      </c>
      <c r="D1" s="42" t="s">
        <v>211</v>
      </c>
      <c r="E1" s="42">
        <v>2016</v>
      </c>
      <c r="F1" s="42">
        <v>2017</v>
      </c>
      <c r="G1" s="42">
        <v>2018</v>
      </c>
      <c r="H1" s="42">
        <v>2019</v>
      </c>
      <c r="I1" s="42">
        <v>2020</v>
      </c>
      <c r="J1" s="42">
        <v>2021</v>
      </c>
      <c r="K1" s="42">
        <v>2022</v>
      </c>
      <c r="L1" s="42">
        <v>2023</v>
      </c>
    </row>
    <row r="2" spans="1:12" ht="29.25" customHeight="1" x14ac:dyDescent="0.3">
      <c r="A2" s="75" t="s">
        <v>311</v>
      </c>
      <c r="B2" s="75" t="s">
        <v>78</v>
      </c>
      <c r="C2" s="77" t="s">
        <v>319</v>
      </c>
      <c r="D2" s="89" t="s">
        <v>326</v>
      </c>
      <c r="E2" s="82">
        <f>Piano_indicatori!D3</f>
        <v>7.88</v>
      </c>
      <c r="F2" s="82">
        <f>Piano_indicatori!E3</f>
        <v>9.61</v>
      </c>
      <c r="G2" s="82">
        <f>Piano_indicatori!F3</f>
        <v>9.7799999999999994</v>
      </c>
      <c r="H2" s="82">
        <f>Piano_indicatori!G3</f>
        <v>9.44</v>
      </c>
      <c r="I2" s="82">
        <f>Piano_indicatori!H3</f>
        <v>5.26</v>
      </c>
      <c r="J2" s="82">
        <f>Piano_indicatori!I3</f>
        <v>5.67</v>
      </c>
      <c r="K2" s="82">
        <f>Piano_indicatori!J3</f>
        <v>7.16</v>
      </c>
      <c r="L2" s="82">
        <f>Piano_indicatori!K3</f>
        <v>4.75</v>
      </c>
    </row>
    <row r="3" spans="1:12" ht="29.25" customHeight="1" x14ac:dyDescent="0.3">
      <c r="A3" s="76" t="s">
        <v>312</v>
      </c>
      <c r="B3" s="76" t="s">
        <v>95</v>
      </c>
      <c r="C3" s="78" t="s">
        <v>96</v>
      </c>
      <c r="D3" s="90" t="s">
        <v>327</v>
      </c>
      <c r="E3" s="83">
        <f>Piano_indicatori!D12</f>
        <v>88.17</v>
      </c>
      <c r="F3" s="83">
        <f>Piano_indicatori!E12</f>
        <v>72.61</v>
      </c>
      <c r="G3" s="83">
        <f>Piano_indicatori!F12</f>
        <v>63.17</v>
      </c>
      <c r="H3" s="83">
        <f>Piano_indicatori!G12</f>
        <v>57.24</v>
      </c>
      <c r="I3" s="83">
        <f>Piano_indicatori!H12</f>
        <v>62.47</v>
      </c>
      <c r="J3" s="83">
        <f>Piano_indicatori!I12</f>
        <v>70.19</v>
      </c>
      <c r="K3" s="83">
        <f>Piano_indicatori!J12</f>
        <v>63.52</v>
      </c>
      <c r="L3" s="83">
        <f>Piano_indicatori!K12</f>
        <v>57.2</v>
      </c>
    </row>
    <row r="4" spans="1:12" ht="29.25" customHeight="1" x14ac:dyDescent="0.3">
      <c r="A4" s="75" t="s">
        <v>313</v>
      </c>
      <c r="B4" s="75" t="s">
        <v>100</v>
      </c>
      <c r="C4" s="79" t="s">
        <v>322</v>
      </c>
      <c r="D4" s="89" t="s">
        <v>328</v>
      </c>
      <c r="E4" s="84">
        <f>Piano_indicatori!D15</f>
        <v>0</v>
      </c>
      <c r="F4" s="84">
        <f>Piano_indicatori!E15</f>
        <v>0</v>
      </c>
      <c r="G4" s="84">
        <f>Piano_indicatori!F15</f>
        <v>0</v>
      </c>
      <c r="H4" s="84">
        <f>Piano_indicatori!G15</f>
        <v>0</v>
      </c>
      <c r="I4" s="84">
        <f>Piano_indicatori!H15</f>
        <v>0</v>
      </c>
      <c r="J4" s="84">
        <f>Piano_indicatori!I15</f>
        <v>0</v>
      </c>
      <c r="K4" s="84">
        <f>Piano_indicatori!J15</f>
        <v>0</v>
      </c>
      <c r="L4" s="84">
        <f>Piano_indicatori!K15</f>
        <v>0</v>
      </c>
    </row>
    <row r="5" spans="1:12" ht="29.25" customHeight="1" x14ac:dyDescent="0.3">
      <c r="A5" s="76" t="s">
        <v>314</v>
      </c>
      <c r="B5" s="76" t="s">
        <v>165</v>
      </c>
      <c r="C5" s="80" t="s">
        <v>323</v>
      </c>
      <c r="D5" s="91" t="s">
        <v>329</v>
      </c>
      <c r="E5" s="85">
        <f>Piano_indicatori!D51</f>
        <v>3.27</v>
      </c>
      <c r="F5" s="85">
        <f>Piano_indicatori!E51</f>
        <v>3.4</v>
      </c>
      <c r="G5" s="85">
        <f>Piano_indicatori!F51</f>
        <v>3.68</v>
      </c>
      <c r="H5" s="85">
        <f>Piano_indicatori!G51</f>
        <v>3.2</v>
      </c>
      <c r="I5" s="85">
        <f>Piano_indicatori!H51</f>
        <v>1.21</v>
      </c>
      <c r="J5" s="85">
        <f>Piano_indicatori!I51</f>
        <v>1.37</v>
      </c>
      <c r="K5" s="85">
        <f>Piano_indicatori!J51</f>
        <v>1.41</v>
      </c>
      <c r="L5" s="85">
        <f>Piano_indicatori!K51</f>
        <v>1.29</v>
      </c>
    </row>
    <row r="6" spans="1:12" ht="29.25" customHeight="1" x14ac:dyDescent="0.3">
      <c r="A6" s="75" t="s">
        <v>315</v>
      </c>
      <c r="B6" s="75" t="s">
        <v>185</v>
      </c>
      <c r="C6" s="93" t="s">
        <v>186</v>
      </c>
      <c r="D6" s="92" t="s">
        <v>330</v>
      </c>
      <c r="E6" s="86">
        <f>Piano_indicatori!D62</f>
        <v>0</v>
      </c>
      <c r="F6" s="86">
        <f>Piano_indicatori!E62</f>
        <v>0</v>
      </c>
      <c r="G6" s="86">
        <f>Piano_indicatori!F62</f>
        <v>1.5</v>
      </c>
      <c r="H6" s="86">
        <f>Piano_indicatori!G62</f>
        <v>1.36</v>
      </c>
      <c r="I6" s="86">
        <f>Piano_indicatori!H62</f>
        <v>0.24</v>
      </c>
      <c r="J6" s="86">
        <f>Piano_indicatori!I62</f>
        <v>0.18</v>
      </c>
      <c r="K6" s="86">
        <f>Piano_indicatori!J62</f>
        <v>2.4700000000000002</v>
      </c>
      <c r="L6" s="86">
        <f>Piano_indicatori!K62</f>
        <v>0.42</v>
      </c>
    </row>
    <row r="7" spans="1:12" ht="29.25" customHeight="1" x14ac:dyDescent="0.3">
      <c r="A7" s="76" t="s">
        <v>316</v>
      </c>
      <c r="B7" s="76" t="s">
        <v>188</v>
      </c>
      <c r="C7" s="80" t="s">
        <v>189</v>
      </c>
      <c r="D7" s="90" t="s">
        <v>331</v>
      </c>
      <c r="E7" s="87">
        <f>Piano_indicatori!D65</f>
        <v>0</v>
      </c>
      <c r="F7" s="87">
        <f>Piano_indicatori!E65</f>
        <v>0</v>
      </c>
      <c r="G7" s="87">
        <f>Piano_indicatori!F65</f>
        <v>0</v>
      </c>
      <c r="H7" s="87">
        <f>Piano_indicatori!G65</f>
        <v>0</v>
      </c>
      <c r="I7" s="87">
        <f>Piano_indicatori!H65</f>
        <v>0</v>
      </c>
      <c r="J7" s="87">
        <f>Piano_indicatori!I65</f>
        <v>0</v>
      </c>
      <c r="K7" s="87">
        <f>Piano_indicatori!J65</f>
        <v>0</v>
      </c>
      <c r="L7" s="87">
        <f>Piano_indicatori!K65</f>
        <v>0</v>
      </c>
    </row>
    <row r="8" spans="1:12" ht="29.25" customHeight="1" x14ac:dyDescent="0.3">
      <c r="A8" s="75" t="s">
        <v>317</v>
      </c>
      <c r="B8" s="75" t="s">
        <v>321</v>
      </c>
      <c r="C8" s="79" t="s">
        <v>324</v>
      </c>
      <c r="D8" s="89" t="s">
        <v>332</v>
      </c>
      <c r="E8" s="84">
        <f>Piano_indicatori!D66+Piano_indicatori!D67</f>
        <v>0</v>
      </c>
      <c r="F8" s="84">
        <f>Piano_indicatori!E66+Piano_indicatori!E67</f>
        <v>0</v>
      </c>
      <c r="G8" s="84">
        <f>Piano_indicatori!F66+Piano_indicatori!F67</f>
        <v>0</v>
      </c>
      <c r="H8" s="84">
        <f>Piano_indicatori!G66+Piano_indicatori!G67</f>
        <v>0</v>
      </c>
      <c r="I8" s="84">
        <f>Piano_indicatori!H66+Piano_indicatori!H67</f>
        <v>0</v>
      </c>
      <c r="J8" s="84">
        <f>Piano_indicatori!I66+Piano_indicatori!I67</f>
        <v>0</v>
      </c>
      <c r="K8" s="84">
        <f>Piano_indicatori!J66+Piano_indicatori!J67</f>
        <v>0</v>
      </c>
      <c r="L8" s="84">
        <f>Piano_indicatori!K66+Piano_indicatori!K67</f>
        <v>0</v>
      </c>
    </row>
    <row r="9" spans="1:12" ht="29.25" customHeight="1" x14ac:dyDescent="0.3">
      <c r="A9" s="76" t="s">
        <v>318</v>
      </c>
      <c r="B9" s="76"/>
      <c r="C9" s="81" t="s">
        <v>325</v>
      </c>
      <c r="D9" s="91" t="s">
        <v>333</v>
      </c>
      <c r="E9" s="88">
        <f>Piano_indicatori!D77</f>
        <v>63.565860078197375</v>
      </c>
      <c r="F9" s="88">
        <f>Piano_indicatori!E77</f>
        <v>69.589610724473246</v>
      </c>
      <c r="G9" s="88">
        <f>Piano_indicatori!F77</f>
        <v>59.277558121475728</v>
      </c>
      <c r="H9" s="88">
        <f>Piano_indicatori!G77</f>
        <v>56.0888020646101</v>
      </c>
      <c r="I9" s="88">
        <f>Piano_indicatori!H77</f>
        <v>59.254644879798526</v>
      </c>
      <c r="J9" s="88">
        <f>Piano_indicatori!I77</f>
        <v>64.186634502440725</v>
      </c>
      <c r="K9" s="88">
        <f>Piano_indicatori!J77</f>
        <v>60.456338097643936</v>
      </c>
      <c r="L9" s="88">
        <f>Piano_indicatori!K77</f>
        <v>58.789060410671425</v>
      </c>
    </row>
  </sheetData>
  <conditionalFormatting sqref="E2:F2 L2">
    <cfRule type="cellIs" dxfId="47" priority="48" operator="greaterThan">
      <formula>48</formula>
    </cfRule>
  </conditionalFormatting>
  <conditionalFormatting sqref="E3:F3 L3">
    <cfRule type="cellIs" dxfId="46" priority="47" operator="lessThan">
      <formula>22</formula>
    </cfRule>
  </conditionalFormatting>
  <conditionalFormatting sqref="E4:F4 L4">
    <cfRule type="cellIs" dxfId="45" priority="46" operator="greaterThan">
      <formula>0</formula>
    </cfRule>
  </conditionalFormatting>
  <conditionalFormatting sqref="E5:F5 L5">
    <cfRule type="cellIs" dxfId="44" priority="45" operator="greaterThan">
      <formula>16</formula>
    </cfRule>
  </conditionalFormatting>
  <conditionalFormatting sqref="E6:F6 L6">
    <cfRule type="cellIs" dxfId="43" priority="44" operator="greaterThan">
      <formula>1.2</formula>
    </cfRule>
  </conditionalFormatting>
  <conditionalFormatting sqref="E7:F7 L7">
    <cfRule type="cellIs" dxfId="42" priority="43" operator="greaterThan">
      <formula>1</formula>
    </cfRule>
  </conditionalFormatting>
  <conditionalFormatting sqref="E8:F8 L8">
    <cfRule type="cellIs" dxfId="41" priority="42" operator="greaterThan">
      <formula>0.6</formula>
    </cfRule>
  </conditionalFormatting>
  <conditionalFormatting sqref="E9:F9 L9">
    <cfRule type="cellIs" dxfId="40" priority="41" operator="lessThan">
      <formula>47</formula>
    </cfRule>
  </conditionalFormatting>
  <conditionalFormatting sqref="G2">
    <cfRule type="cellIs" dxfId="39" priority="40" operator="greaterThan">
      <formula>48</formula>
    </cfRule>
  </conditionalFormatting>
  <conditionalFormatting sqref="G3">
    <cfRule type="cellIs" dxfId="38" priority="39" operator="lessThan">
      <formula>22</formula>
    </cfRule>
  </conditionalFormatting>
  <conditionalFormatting sqref="G4">
    <cfRule type="cellIs" dxfId="37" priority="38" operator="greaterThan">
      <formula>0</formula>
    </cfRule>
  </conditionalFormatting>
  <conditionalFormatting sqref="G5">
    <cfRule type="cellIs" dxfId="36" priority="37" operator="greaterThan">
      <formula>16</formula>
    </cfRule>
  </conditionalFormatting>
  <conditionalFormatting sqref="G6">
    <cfRule type="cellIs" dxfId="35" priority="36" operator="greaterThan">
      <formula>1.2</formula>
    </cfRule>
  </conditionalFormatting>
  <conditionalFormatting sqref="G7">
    <cfRule type="cellIs" dxfId="34" priority="35" operator="greaterThan">
      <formula>1</formula>
    </cfRule>
  </conditionalFormatting>
  <conditionalFormatting sqref="G8">
    <cfRule type="cellIs" dxfId="33" priority="34" operator="greaterThan">
      <formula>0.6</formula>
    </cfRule>
  </conditionalFormatting>
  <conditionalFormatting sqref="G9">
    <cfRule type="cellIs" dxfId="32" priority="33" operator="lessThan">
      <formula>47</formula>
    </cfRule>
  </conditionalFormatting>
  <conditionalFormatting sqref="H2">
    <cfRule type="cellIs" dxfId="31" priority="32" operator="greaterThan">
      <formula>48</formula>
    </cfRule>
  </conditionalFormatting>
  <conditionalFormatting sqref="H3">
    <cfRule type="cellIs" dxfId="30" priority="31" operator="lessThan">
      <formula>22</formula>
    </cfRule>
  </conditionalFormatting>
  <conditionalFormatting sqref="H4">
    <cfRule type="cellIs" dxfId="29" priority="30" operator="greaterThan">
      <formula>0</formula>
    </cfRule>
  </conditionalFormatting>
  <conditionalFormatting sqref="H5">
    <cfRule type="cellIs" dxfId="28" priority="29" operator="greaterThan">
      <formula>16</formula>
    </cfRule>
  </conditionalFormatting>
  <conditionalFormatting sqref="H6">
    <cfRule type="cellIs" dxfId="27" priority="28" operator="greaterThan">
      <formula>1.2</formula>
    </cfRule>
  </conditionalFormatting>
  <conditionalFormatting sqref="H7">
    <cfRule type="cellIs" dxfId="26" priority="27" operator="greaterThan">
      <formula>1</formula>
    </cfRule>
  </conditionalFormatting>
  <conditionalFormatting sqref="H8">
    <cfRule type="cellIs" dxfId="25" priority="26" operator="greaterThan">
      <formula>0.6</formula>
    </cfRule>
  </conditionalFormatting>
  <conditionalFormatting sqref="H9">
    <cfRule type="cellIs" dxfId="24" priority="25" operator="lessThan">
      <formula>47</formula>
    </cfRule>
  </conditionalFormatting>
  <conditionalFormatting sqref="I2">
    <cfRule type="cellIs" dxfId="23" priority="24" operator="greaterThan">
      <formula>48</formula>
    </cfRule>
  </conditionalFormatting>
  <conditionalFormatting sqref="I3">
    <cfRule type="cellIs" dxfId="22" priority="23" operator="lessThan">
      <formula>22</formula>
    </cfRule>
  </conditionalFormatting>
  <conditionalFormatting sqref="I4">
    <cfRule type="cellIs" dxfId="21" priority="22" operator="greaterThan">
      <formula>0</formula>
    </cfRule>
  </conditionalFormatting>
  <conditionalFormatting sqref="I5">
    <cfRule type="cellIs" dxfId="20" priority="21" operator="greaterThan">
      <formula>16</formula>
    </cfRule>
  </conditionalFormatting>
  <conditionalFormatting sqref="I6">
    <cfRule type="cellIs" dxfId="19" priority="20" operator="greaterThan">
      <formula>1.2</formula>
    </cfRule>
  </conditionalFormatting>
  <conditionalFormatting sqref="I7">
    <cfRule type="cellIs" dxfId="18" priority="19" operator="greaterThan">
      <formula>1</formula>
    </cfRule>
  </conditionalFormatting>
  <conditionalFormatting sqref="I8">
    <cfRule type="cellIs" dxfId="17" priority="18" operator="greaterThan">
      <formula>0.6</formula>
    </cfRule>
  </conditionalFormatting>
  <conditionalFormatting sqref="I9">
    <cfRule type="cellIs" dxfId="16" priority="17" operator="lessThan">
      <formula>47</formula>
    </cfRule>
  </conditionalFormatting>
  <conditionalFormatting sqref="J2">
    <cfRule type="cellIs" dxfId="15" priority="16" operator="greaterThan">
      <formula>48</formula>
    </cfRule>
  </conditionalFormatting>
  <conditionalFormatting sqref="J3">
    <cfRule type="cellIs" dxfId="14" priority="15" operator="lessThan">
      <formula>22</formula>
    </cfRule>
  </conditionalFormatting>
  <conditionalFormatting sqref="J4">
    <cfRule type="cellIs" dxfId="13" priority="14" operator="greaterThan">
      <formula>0</formula>
    </cfRule>
  </conditionalFormatting>
  <conditionalFormatting sqref="J5">
    <cfRule type="cellIs" dxfId="12" priority="13" operator="greaterThan">
      <formula>16</formula>
    </cfRule>
  </conditionalFormatting>
  <conditionalFormatting sqref="J6">
    <cfRule type="cellIs" dxfId="11" priority="12" operator="greaterThan">
      <formula>1.2</formula>
    </cfRule>
  </conditionalFormatting>
  <conditionalFormatting sqref="J7">
    <cfRule type="cellIs" dxfId="10" priority="11" operator="greaterThan">
      <formula>1</formula>
    </cfRule>
  </conditionalFormatting>
  <conditionalFormatting sqref="J8">
    <cfRule type="cellIs" dxfId="9" priority="10" operator="greaterThan">
      <formula>0.6</formula>
    </cfRule>
  </conditionalFormatting>
  <conditionalFormatting sqref="J9">
    <cfRule type="cellIs" dxfId="8" priority="9" operator="lessThan">
      <formula>47</formula>
    </cfRule>
  </conditionalFormatting>
  <conditionalFormatting sqref="K2">
    <cfRule type="cellIs" dxfId="7" priority="8" operator="greaterThan">
      <formula>48</formula>
    </cfRule>
  </conditionalFormatting>
  <conditionalFormatting sqref="K3">
    <cfRule type="cellIs" dxfId="6" priority="7" operator="lessThan">
      <formula>22</formula>
    </cfRule>
  </conditionalFormatting>
  <conditionalFormatting sqref="K4">
    <cfRule type="cellIs" dxfId="5" priority="6" operator="greaterThan">
      <formula>0</formula>
    </cfRule>
  </conditionalFormatting>
  <conditionalFormatting sqref="K5">
    <cfRule type="cellIs" dxfId="4" priority="5" operator="greaterThan">
      <formula>16</formula>
    </cfRule>
  </conditionalFormatting>
  <conditionalFormatting sqref="K6">
    <cfRule type="cellIs" dxfId="3" priority="4" operator="greaterThan">
      <formula>1.2</formula>
    </cfRule>
  </conditionalFormatting>
  <conditionalFormatting sqref="K7">
    <cfRule type="cellIs" dxfId="2" priority="3" operator="greaterThan">
      <formula>1</formula>
    </cfRule>
  </conditionalFormatting>
  <conditionalFormatting sqref="K8">
    <cfRule type="cellIs" dxfId="1" priority="2" operator="greaterThan">
      <formula>0.6</formula>
    </cfRule>
  </conditionalFormatting>
  <conditionalFormatting sqref="K9">
    <cfRule type="cellIs" dxfId="0" priority="1" operator="lessThan">
      <formula>47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4" sqref="B4"/>
    </sheetView>
  </sheetViews>
  <sheetFormatPr defaultRowHeight="14.4" x14ac:dyDescent="0.3"/>
  <cols>
    <col min="2" max="2" width="12.33203125" bestFit="1" customWidth="1"/>
    <col min="5" max="6" width="10.33203125" customWidth="1"/>
  </cols>
  <sheetData>
    <row r="1" spans="1:7" ht="28.8" x14ac:dyDescent="0.3">
      <c r="A1" s="100" t="s">
        <v>364</v>
      </c>
      <c r="B1" s="100" t="s">
        <v>365</v>
      </c>
      <c r="C1" s="100" t="s">
        <v>233</v>
      </c>
      <c r="D1" s="100" t="s">
        <v>347</v>
      </c>
      <c r="E1" s="106" t="s">
        <v>348</v>
      </c>
      <c r="F1" s="106" t="s">
        <v>368</v>
      </c>
      <c r="G1" s="106" t="s">
        <v>349</v>
      </c>
    </row>
    <row r="2" spans="1:7" x14ac:dyDescent="0.3">
      <c r="A2">
        <v>2025</v>
      </c>
      <c r="B2" s="95">
        <v>529897</v>
      </c>
      <c r="C2" s="101">
        <f t="shared" ref="C2:C6" si="0">B2/B3*100-100</f>
        <v>-0.6256176943287528</v>
      </c>
    </row>
    <row r="3" spans="1:7" x14ac:dyDescent="0.3">
      <c r="A3">
        <v>2024</v>
      </c>
      <c r="B3" s="95">
        <v>533233</v>
      </c>
      <c r="C3" s="101">
        <f t="shared" si="0"/>
        <v>-0.80807028574511719</v>
      </c>
      <c r="D3" s="95">
        <v>-3142</v>
      </c>
      <c r="E3" s="108">
        <f>-2678+2484</f>
        <v>-194</v>
      </c>
      <c r="F3" s="1">
        <v>0</v>
      </c>
      <c r="G3" s="34">
        <f t="shared" ref="G3:G11" si="1">B2-B3-D3-E3-F3</f>
        <v>0</v>
      </c>
    </row>
    <row r="4" spans="1:7" x14ac:dyDescent="0.3">
      <c r="A4">
        <v>2023</v>
      </c>
      <c r="B4" s="95">
        <v>537577</v>
      </c>
      <c r="C4" s="101">
        <f t="shared" si="0"/>
        <v>-0.66356473405670613</v>
      </c>
      <c r="D4" s="95">
        <v>-3536</v>
      </c>
      <c r="E4" s="108">
        <f>-3282+2928</f>
        <v>-354</v>
      </c>
      <c r="F4" s="1">
        <v>-454</v>
      </c>
      <c r="G4" s="34">
        <f t="shared" si="1"/>
        <v>0</v>
      </c>
    </row>
    <row r="5" spans="1:7" x14ac:dyDescent="0.3">
      <c r="A5">
        <v>2022</v>
      </c>
      <c r="B5" s="95">
        <v>541168</v>
      </c>
      <c r="C5" s="101">
        <f t="shared" si="0"/>
        <v>-0.72679911213839432</v>
      </c>
      <c r="D5" s="95">
        <v>-3905</v>
      </c>
      <c r="E5" s="108">
        <f>-2848+3153</f>
        <v>305</v>
      </c>
      <c r="F5" s="1">
        <v>9</v>
      </c>
      <c r="G5" s="34">
        <f t="shared" si="1"/>
        <v>0</v>
      </c>
    </row>
    <row r="6" spans="1:7" x14ac:dyDescent="0.3">
      <c r="A6">
        <v>2021</v>
      </c>
      <c r="B6" s="95">
        <v>545130</v>
      </c>
      <c r="C6" s="101">
        <f t="shared" si="0"/>
        <v>-1.4684033011961901</v>
      </c>
      <c r="D6" s="95">
        <v>-3508</v>
      </c>
      <c r="E6" s="108">
        <v>-1550</v>
      </c>
      <c r="F6" s="1">
        <v>1096</v>
      </c>
      <c r="G6" s="34">
        <f t="shared" si="1"/>
        <v>0</v>
      </c>
    </row>
    <row r="7" spans="1:7" x14ac:dyDescent="0.3">
      <c r="A7">
        <v>2020</v>
      </c>
      <c r="B7" s="95">
        <v>553254</v>
      </c>
      <c r="C7" s="101">
        <f>B7/B8*100-100</f>
        <v>-0.95473041800113378</v>
      </c>
      <c r="D7" s="95">
        <v>-3188</v>
      </c>
      <c r="E7" s="108">
        <v>-2278</v>
      </c>
      <c r="F7" s="1">
        <v>-2658</v>
      </c>
      <c r="G7" s="34">
        <f t="shared" si="1"/>
        <v>0</v>
      </c>
    </row>
    <row r="8" spans="1:7" x14ac:dyDescent="0.3">
      <c r="A8" s="105">
        <v>2019</v>
      </c>
      <c r="B8" s="95">
        <v>558587</v>
      </c>
      <c r="C8" s="101">
        <f>B8/B9*100-100</f>
        <v>-0.77819698455328989</v>
      </c>
      <c r="D8" s="95">
        <f>3672-6508</f>
        <v>-2836</v>
      </c>
      <c r="E8" s="108">
        <v>-2636</v>
      </c>
      <c r="F8" s="1">
        <v>139</v>
      </c>
      <c r="G8" s="34">
        <f t="shared" si="1"/>
        <v>0</v>
      </c>
    </row>
    <row r="9" spans="1:7" x14ac:dyDescent="0.3">
      <c r="A9" s="31">
        <v>2018</v>
      </c>
      <c r="B9" s="95">
        <v>562968</v>
      </c>
      <c r="C9" s="101">
        <f t="shared" ref="C9:C11" si="2">B9/B10*100-100</f>
        <v>-0.60680961502811215</v>
      </c>
      <c r="D9" s="95">
        <f>3717-6251</f>
        <v>-2534</v>
      </c>
      <c r="E9" s="108">
        <f>B8-B9-D9</f>
        <v>-1847</v>
      </c>
      <c r="F9" s="1"/>
      <c r="G9" s="34">
        <f t="shared" si="1"/>
        <v>0</v>
      </c>
    </row>
    <row r="10" spans="1:7" x14ac:dyDescent="0.3">
      <c r="A10" s="31">
        <v>2017</v>
      </c>
      <c r="B10" s="95">
        <v>566405</v>
      </c>
      <c r="C10" s="101">
        <f t="shared" si="2"/>
        <v>-0.61099832071973026</v>
      </c>
      <c r="D10" s="95">
        <f>4007-6495</f>
        <v>-2488</v>
      </c>
      <c r="E10" s="108">
        <f>B9-B10-D10</f>
        <v>-949</v>
      </c>
      <c r="F10" s="1"/>
      <c r="G10" s="34">
        <f t="shared" si="1"/>
        <v>0</v>
      </c>
    </row>
    <row r="11" spans="1:7" x14ac:dyDescent="0.3">
      <c r="A11" s="31">
        <v>2016</v>
      </c>
      <c r="B11" s="95">
        <v>569887</v>
      </c>
      <c r="C11" s="101">
        <f t="shared" si="2"/>
        <v>-0.58422708971522752</v>
      </c>
      <c r="D11" s="95">
        <f>4017-6203</f>
        <v>-2186</v>
      </c>
      <c r="E11" s="108">
        <f>B10-B11-D11</f>
        <v>-1296</v>
      </c>
      <c r="F11" s="1"/>
      <c r="G11" s="34">
        <f t="shared" si="1"/>
        <v>0</v>
      </c>
    </row>
    <row r="12" spans="1:7" x14ac:dyDescent="0.3">
      <c r="A12" s="102">
        <v>2015</v>
      </c>
      <c r="B12" s="103">
        <v>573236</v>
      </c>
      <c r="C12" s="103"/>
      <c r="D12" s="103">
        <f>4122-6414</f>
        <v>-2292</v>
      </c>
      <c r="E12" s="103">
        <f>B11-B12-D12</f>
        <v>-1057</v>
      </c>
      <c r="F12" s="113"/>
      <c r="G12" s="113">
        <f>B11-B12-D12-E12-F12</f>
        <v>0</v>
      </c>
    </row>
    <row r="13" spans="1:7" x14ac:dyDescent="0.3">
      <c r="A13" t="s">
        <v>366</v>
      </c>
    </row>
    <row r="38" spans="2:12" x14ac:dyDescent="0.3">
      <c r="B38" s="109"/>
      <c r="C38" s="110"/>
      <c r="D38" s="110"/>
      <c r="E38" s="110"/>
      <c r="H38" s="110"/>
      <c r="I38" s="110"/>
      <c r="J38" s="110"/>
      <c r="K38" s="110"/>
      <c r="L38" s="110"/>
    </row>
    <row r="39" spans="2:12" x14ac:dyDescent="0.3">
      <c r="B39" s="109"/>
      <c r="C39" s="110"/>
      <c r="D39" s="110"/>
      <c r="E39" s="110"/>
      <c r="H39" s="110"/>
      <c r="I39" s="110"/>
      <c r="J39" s="110"/>
      <c r="K39" s="110"/>
      <c r="L39" s="110"/>
    </row>
    <row r="40" spans="2:12" x14ac:dyDescent="0.3">
      <c r="B40" s="109"/>
      <c r="C40" s="110"/>
      <c r="D40" s="110"/>
      <c r="E40" s="110"/>
      <c r="H40" s="110"/>
      <c r="I40" s="110"/>
      <c r="J40" s="110"/>
      <c r="K40" s="110"/>
      <c r="L40" s="110"/>
    </row>
    <row r="41" spans="2:12" x14ac:dyDescent="0.3">
      <c r="B41" s="109"/>
      <c r="C41" s="110"/>
      <c r="D41" s="110"/>
      <c r="E41" s="110"/>
      <c r="H41" s="110"/>
      <c r="I41" s="110"/>
      <c r="J41" s="110"/>
      <c r="K41" s="110"/>
      <c r="L41" s="110"/>
    </row>
    <row r="42" spans="2:12" x14ac:dyDescent="0.3">
      <c r="B42" s="109"/>
      <c r="C42" s="110"/>
      <c r="D42" s="110"/>
      <c r="E42" s="110"/>
      <c r="H42" s="110"/>
      <c r="I42" s="110"/>
      <c r="J42" s="110"/>
      <c r="K42" s="110"/>
      <c r="L42" s="110"/>
    </row>
    <row r="43" spans="2:12" x14ac:dyDescent="0.3">
      <c r="B43" s="109"/>
      <c r="C43" s="110"/>
      <c r="D43" s="110"/>
      <c r="E43" s="110"/>
      <c r="H43" s="110"/>
      <c r="I43" s="110"/>
      <c r="J43" s="110"/>
      <c r="K43" s="110"/>
      <c r="L43" s="110"/>
    </row>
    <row r="44" spans="2:12" x14ac:dyDescent="0.3">
      <c r="B44" s="109"/>
      <c r="C44" s="110"/>
      <c r="D44" s="110"/>
      <c r="E44" s="110"/>
      <c r="H44" s="110"/>
      <c r="I44" s="110"/>
      <c r="J44" s="110"/>
      <c r="K44" s="110"/>
      <c r="L44" s="110"/>
    </row>
    <row r="45" spans="2:12" x14ac:dyDescent="0.3">
      <c r="B45" s="109"/>
      <c r="C45" s="110"/>
      <c r="D45" s="110"/>
      <c r="E45" s="110"/>
      <c r="H45" s="110"/>
      <c r="I45" s="110"/>
      <c r="J45" s="110"/>
      <c r="K45" s="110"/>
      <c r="L45" s="110"/>
    </row>
    <row r="46" spans="2:12" x14ac:dyDescent="0.3">
      <c r="B46" s="109"/>
      <c r="C46" s="110"/>
      <c r="D46" s="110"/>
      <c r="E46" s="110"/>
      <c r="H46" s="110"/>
      <c r="I46" s="110"/>
      <c r="J46" s="110"/>
      <c r="K46" s="110"/>
      <c r="L46" s="110"/>
    </row>
    <row r="47" spans="2:12" x14ac:dyDescent="0.3">
      <c r="B47" s="109"/>
      <c r="C47" s="110"/>
      <c r="D47" s="110"/>
      <c r="E47" s="110"/>
      <c r="H47" s="110"/>
      <c r="I47" s="110"/>
      <c r="J47" s="110"/>
      <c r="K47" s="110"/>
      <c r="L47" s="110"/>
    </row>
    <row r="48" spans="2:12" x14ac:dyDescent="0.3">
      <c r="B48" s="109"/>
      <c r="C48" s="110"/>
      <c r="D48" s="110"/>
      <c r="E48" s="110"/>
      <c r="H48" s="110"/>
      <c r="I48" s="110"/>
      <c r="J48" s="110"/>
      <c r="K48" s="110"/>
      <c r="L48" s="110"/>
    </row>
    <row r="49" spans="2:12" x14ac:dyDescent="0.3">
      <c r="B49" s="109"/>
      <c r="C49" s="110"/>
      <c r="D49" s="110"/>
      <c r="E49" s="110"/>
      <c r="H49" s="110"/>
      <c r="I49" s="110"/>
      <c r="J49" s="110"/>
      <c r="K49" s="110"/>
      <c r="L49" s="110"/>
    </row>
  </sheetData>
  <sortState ref="A2:B6">
    <sortCondition descending="1" ref="A2:A6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Entrate_Uscite</vt:lpstr>
      <vt:lpstr>Tav_Entrate</vt:lpstr>
      <vt:lpstr>Tav_Uscite</vt:lpstr>
      <vt:lpstr>Tav_Saldi</vt:lpstr>
      <vt:lpstr>Risultato_amministrazione</vt:lpstr>
      <vt:lpstr>Conto_economico</vt:lpstr>
      <vt:lpstr>Tav_contoeconomico</vt:lpstr>
      <vt:lpstr>Stato_patrimoniale</vt:lpstr>
      <vt:lpstr>Piano_indicatori</vt:lpstr>
      <vt:lpstr>Tav_indicatori</vt:lpstr>
      <vt:lpstr>Popolazione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</dc:creator>
  <cp:lastModifiedBy>Franco</cp:lastModifiedBy>
  <dcterms:created xsi:type="dcterms:W3CDTF">2019-02-06T21:02:13Z</dcterms:created>
  <dcterms:modified xsi:type="dcterms:W3CDTF">2025-09-19T08:46:48Z</dcterms:modified>
</cp:coreProperties>
</file>