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6" activeTab="10"/>
  </bookViews>
  <sheets>
    <sheet name="Entrate_Uscite" sheetId="2" r:id="rId1"/>
    <sheet name="Tav_Entrate" sheetId="7" r:id="rId2"/>
    <sheet name="Tav_Uscite" sheetId="8" r:id="rId3"/>
    <sheet name="Tav_Saldi" sheetId="9" r:id="rId4"/>
    <sheet name="Missione12_Programmi" sheetId="14" r:id="rId5"/>
    <sheet name="Missione12_Macroaggregati" sheetId="15" r:id="rId6"/>
    <sheet name="Risultato_amministrazione" sheetId="1" r:id="rId7"/>
    <sheet name="Conto_economico" sheetId="6" r:id="rId8"/>
    <sheet name="Tav_contoeconomico" sheetId="10" r:id="rId9"/>
    <sheet name="Stato_patrimoniale" sheetId="5" r:id="rId10"/>
    <sheet name="Piano_indicatori" sheetId="4" r:id="rId11"/>
    <sheet name="Tav_indicatori" sheetId="12" r:id="rId12"/>
    <sheet name="Popolazione" sheetId="13" r:id="rId13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J6" i="9"/>
  <c r="J5" i="9"/>
  <c r="J4" i="9"/>
  <c r="J3" i="9"/>
  <c r="J2" i="9"/>
  <c r="H6" i="9"/>
  <c r="H5" i="9"/>
  <c r="H4" i="9"/>
  <c r="H3" i="9"/>
  <c r="H2" i="9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H29" i="8"/>
  <c r="H28" i="8"/>
  <c r="H26" i="8"/>
  <c r="H25" i="8"/>
  <c r="H24" i="8"/>
  <c r="H23" i="8"/>
  <c r="H22" i="8"/>
  <c r="H19" i="8"/>
  <c r="H18" i="8"/>
  <c r="H17" i="8"/>
  <c r="H16" i="8"/>
  <c r="H14" i="8"/>
  <c r="H13" i="8"/>
  <c r="H12" i="8"/>
  <c r="H11" i="8"/>
  <c r="H9" i="8"/>
  <c r="H8" i="8"/>
  <c r="H7" i="8"/>
  <c r="H6" i="8"/>
  <c r="H5" i="8"/>
  <c r="H4" i="8"/>
  <c r="H3" i="8"/>
  <c r="H2" i="8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H19" i="7"/>
  <c r="H18" i="7"/>
  <c r="H17" i="7"/>
  <c r="H14" i="7"/>
  <c r="H13" i="7"/>
  <c r="H12" i="7"/>
  <c r="H10" i="7"/>
  <c r="H9" i="7"/>
  <c r="H8" i="7"/>
  <c r="H7" i="7"/>
  <c r="H6" i="7"/>
  <c r="H4" i="7"/>
  <c r="H3" i="7"/>
  <c r="H5" i="7" s="1"/>
  <c r="H2" i="7"/>
  <c r="W53" i="2"/>
  <c r="X52" i="2"/>
  <c r="W52" i="2"/>
  <c r="X51" i="2"/>
  <c r="AA51" i="2" s="1"/>
  <c r="W51" i="2"/>
  <c r="X50" i="2"/>
  <c r="W50" i="2"/>
  <c r="X49" i="2"/>
  <c r="W49" i="2"/>
  <c r="X48" i="2"/>
  <c r="X54" i="2" s="1"/>
  <c r="W48" i="2"/>
  <c r="W54" i="2" s="1"/>
  <c r="X16" i="2"/>
  <c r="W16" i="2"/>
  <c r="X15" i="2"/>
  <c r="AA15" i="2" s="1"/>
  <c r="W15" i="2"/>
  <c r="W20" i="2" s="1"/>
  <c r="X14" i="2"/>
  <c r="X20" i="2" s="1"/>
  <c r="W14" i="2"/>
  <c r="Z57" i="2"/>
  <c r="AA53" i="2"/>
  <c r="Z53" i="2"/>
  <c r="AA52" i="2"/>
  <c r="Z52" i="2"/>
  <c r="Z51" i="2"/>
  <c r="AA50" i="2"/>
  <c r="Z50" i="2"/>
  <c r="AA49" i="2"/>
  <c r="Z49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19" i="2"/>
  <c r="Z19" i="2"/>
  <c r="AA18" i="2"/>
  <c r="Z18" i="2"/>
  <c r="AA17" i="2"/>
  <c r="Z17" i="2"/>
  <c r="AA16" i="2"/>
  <c r="Z16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5" i="8" l="1"/>
  <c r="H27" i="8"/>
  <c r="H20" i="8"/>
  <c r="H10" i="8"/>
  <c r="H30" i="8" s="1"/>
  <c r="H31" i="8" s="1"/>
  <c r="H15" i="7"/>
  <c r="H11" i="7"/>
  <c r="H20" i="7" s="1"/>
  <c r="H21" i="7" s="1"/>
  <c r="H16" i="7"/>
  <c r="W21" i="2"/>
  <c r="Z21" i="2" s="1"/>
  <c r="Z20" i="2"/>
  <c r="AA20" i="2"/>
  <c r="X21" i="2"/>
  <c r="AA21" i="2" s="1"/>
  <c r="W55" i="2"/>
  <c r="Z55" i="2" s="1"/>
  <c r="Z54" i="2"/>
  <c r="X55" i="2"/>
  <c r="AA55" i="2" s="1"/>
  <c r="AA54" i="2"/>
  <c r="AA48" i="2"/>
  <c r="H21" i="8" l="1"/>
  <c r="T53" i="2" l="1"/>
  <c r="V53" i="2" s="1"/>
  <c r="U52" i="2"/>
  <c r="T52" i="2"/>
  <c r="V52" i="2" s="1"/>
  <c r="V51" i="2"/>
  <c r="U51" i="2"/>
  <c r="T51" i="2"/>
  <c r="U50" i="2"/>
  <c r="T50" i="2"/>
  <c r="V50" i="2" s="1"/>
  <c r="U49" i="2"/>
  <c r="T49" i="2"/>
  <c r="V49" i="2" s="1"/>
  <c r="U48" i="2"/>
  <c r="U61" i="2" s="1"/>
  <c r="T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19" i="2"/>
  <c r="V18" i="2"/>
  <c r="V17" i="2"/>
  <c r="U16" i="2"/>
  <c r="T16" i="2"/>
  <c r="V16" i="2" s="1"/>
  <c r="U15" i="2"/>
  <c r="U57" i="2" s="1"/>
  <c r="T15" i="2"/>
  <c r="T57" i="2" s="1"/>
  <c r="U14" i="2"/>
  <c r="U56" i="2" s="1"/>
  <c r="T14" i="2"/>
  <c r="T56" i="2" s="1"/>
  <c r="V13" i="2"/>
  <c r="V12" i="2"/>
  <c r="V11" i="2"/>
  <c r="V10" i="2"/>
  <c r="V9" i="2"/>
  <c r="V8" i="2"/>
  <c r="V7" i="2"/>
  <c r="V6" i="2"/>
  <c r="V5" i="2"/>
  <c r="V4" i="2"/>
  <c r="V3" i="2"/>
  <c r="I27" i="5"/>
  <c r="I28" i="5" s="1"/>
  <c r="I26" i="5"/>
  <c r="I13" i="5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J15" i="10"/>
  <c r="J13" i="10"/>
  <c r="J12" i="10"/>
  <c r="J11" i="10"/>
  <c r="J9" i="10"/>
  <c r="J8" i="10"/>
  <c r="J7" i="10"/>
  <c r="J6" i="10"/>
  <c r="J5" i="10"/>
  <c r="J4" i="10"/>
  <c r="J3" i="10"/>
  <c r="J2" i="10"/>
  <c r="J10" i="10" s="1"/>
  <c r="J14" i="10" s="1"/>
  <c r="J16" i="10" s="1"/>
  <c r="M27" i="6"/>
  <c r="M26" i="6"/>
  <c r="M25" i="6"/>
  <c r="M24" i="6"/>
  <c r="M23" i="6"/>
  <c r="M22" i="6"/>
  <c r="M20" i="6"/>
  <c r="M19" i="6"/>
  <c r="M18" i="6"/>
  <c r="M17" i="6"/>
  <c r="M16" i="6"/>
  <c r="M15" i="6"/>
  <c r="M14" i="6"/>
  <c r="M13" i="6"/>
  <c r="M12" i="6"/>
  <c r="M11" i="6"/>
  <c r="M9" i="6"/>
  <c r="M8" i="6"/>
  <c r="M7" i="6"/>
  <c r="M6" i="6"/>
  <c r="M5" i="6"/>
  <c r="M4" i="6"/>
  <c r="M3" i="6"/>
  <c r="M2" i="6"/>
  <c r="K17" i="6"/>
  <c r="K21" i="6" s="1"/>
  <c r="K10" i="6"/>
  <c r="K29" i="6" s="1"/>
  <c r="I23" i="1"/>
  <c r="I19" i="1"/>
  <c r="I13" i="1"/>
  <c r="I7" i="1"/>
  <c r="I21" i="1" s="1"/>
  <c r="I17" i="15"/>
  <c r="I16" i="15"/>
  <c r="I15" i="15"/>
  <c r="J17" i="15" s="1"/>
  <c r="H112" i="14"/>
  <c r="H111" i="14"/>
  <c r="H110" i="14"/>
  <c r="H109" i="14"/>
  <c r="H108" i="14"/>
  <c r="H107" i="14"/>
  <c r="H115" i="14"/>
  <c r="H113" i="14"/>
  <c r="H114" i="14"/>
  <c r="H106" i="14"/>
  <c r="C24" i="14"/>
  <c r="B24" i="14"/>
  <c r="F25" i="14" s="1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T20" i="2" l="1"/>
  <c r="T54" i="2"/>
  <c r="V15" i="2"/>
  <c r="U20" i="2"/>
  <c r="U21" i="2" s="1"/>
  <c r="V48" i="2"/>
  <c r="U54" i="2"/>
  <c r="U55" i="2" s="1"/>
  <c r="T58" i="2"/>
  <c r="U58" i="2"/>
  <c r="V14" i="2"/>
  <c r="U60" i="2"/>
  <c r="K28" i="6"/>
  <c r="J2" i="15"/>
  <c r="J3" i="15"/>
  <c r="J4" i="15"/>
  <c r="J5" i="15"/>
  <c r="J6" i="15"/>
  <c r="J10" i="15"/>
  <c r="J11" i="15"/>
  <c r="J12" i="15"/>
  <c r="J13" i="15"/>
  <c r="J14" i="15"/>
  <c r="J15" i="15"/>
  <c r="I18" i="15"/>
  <c r="J8" i="15"/>
  <c r="J16" i="15"/>
  <c r="J7" i="15"/>
  <c r="J9" i="15"/>
  <c r="D24" i="14"/>
  <c r="E24" i="14"/>
  <c r="G3" i="13"/>
  <c r="G4" i="13"/>
  <c r="U59" i="2" l="1"/>
  <c r="V54" i="2"/>
  <c r="T55" i="2"/>
  <c r="V55" i="2" s="1"/>
  <c r="V20" i="2"/>
  <c r="T21" i="2"/>
  <c r="H17" i="15"/>
  <c r="G17" i="15"/>
  <c r="F17" i="15"/>
  <c r="E17" i="15"/>
  <c r="D17" i="15"/>
  <c r="C17" i="15"/>
  <c r="B17" i="15"/>
  <c r="H16" i="15"/>
  <c r="G16" i="15"/>
  <c r="F16" i="15"/>
  <c r="E16" i="15"/>
  <c r="E18" i="15" s="1"/>
  <c r="D16" i="15"/>
  <c r="C16" i="15"/>
  <c r="C18" i="15" s="1"/>
  <c r="B16" i="15"/>
  <c r="H15" i="15"/>
  <c r="G15" i="15"/>
  <c r="F15" i="15"/>
  <c r="E15" i="15"/>
  <c r="D15" i="15"/>
  <c r="C15" i="15"/>
  <c r="B15" i="15"/>
  <c r="I114" i="14"/>
  <c r="G114" i="14"/>
  <c r="F114" i="14"/>
  <c r="E114" i="14"/>
  <c r="D114" i="14"/>
  <c r="C114" i="14"/>
  <c r="B114" i="14"/>
  <c r="I113" i="14"/>
  <c r="G113" i="14"/>
  <c r="F113" i="14"/>
  <c r="E113" i="14"/>
  <c r="D113" i="14"/>
  <c r="C113" i="14"/>
  <c r="B113" i="14"/>
  <c r="I112" i="14"/>
  <c r="G112" i="14"/>
  <c r="F112" i="14"/>
  <c r="E112" i="14"/>
  <c r="D112" i="14"/>
  <c r="C112" i="14"/>
  <c r="B112" i="14"/>
  <c r="I111" i="14"/>
  <c r="G111" i="14"/>
  <c r="F111" i="14"/>
  <c r="E111" i="14"/>
  <c r="D111" i="14"/>
  <c r="C111" i="14"/>
  <c r="B111" i="14"/>
  <c r="I110" i="14"/>
  <c r="G110" i="14"/>
  <c r="F110" i="14"/>
  <c r="E110" i="14"/>
  <c r="D110" i="14"/>
  <c r="C110" i="14"/>
  <c r="B110" i="14"/>
  <c r="I109" i="14"/>
  <c r="G109" i="14"/>
  <c r="F109" i="14"/>
  <c r="E109" i="14"/>
  <c r="D109" i="14"/>
  <c r="C109" i="14"/>
  <c r="B109" i="14"/>
  <c r="I108" i="14"/>
  <c r="G108" i="14"/>
  <c r="F108" i="14"/>
  <c r="E108" i="14"/>
  <c r="D108" i="14"/>
  <c r="C108" i="14"/>
  <c r="B108" i="14"/>
  <c r="I107" i="14"/>
  <c r="G107" i="14"/>
  <c r="F107" i="14"/>
  <c r="E107" i="14"/>
  <c r="D107" i="14"/>
  <c r="C107" i="14"/>
  <c r="B107" i="14"/>
  <c r="I106" i="14"/>
  <c r="G106" i="14"/>
  <c r="F106" i="14"/>
  <c r="E106" i="14"/>
  <c r="D106" i="14"/>
  <c r="C106" i="14"/>
  <c r="B106" i="14"/>
  <c r="C102" i="14"/>
  <c r="B102" i="14"/>
  <c r="E102" i="14" s="1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C89" i="14"/>
  <c r="E89" i="14" s="1"/>
  <c r="B89" i="14"/>
  <c r="F88" i="14" s="1"/>
  <c r="E88" i="14"/>
  <c r="D88" i="14"/>
  <c r="F87" i="14"/>
  <c r="E87" i="14"/>
  <c r="D87" i="14"/>
  <c r="E86" i="14"/>
  <c r="D86" i="14"/>
  <c r="E85" i="14"/>
  <c r="D85" i="14"/>
  <c r="F84" i="14"/>
  <c r="E84" i="14"/>
  <c r="D84" i="14"/>
  <c r="F83" i="14"/>
  <c r="E83" i="14"/>
  <c r="D83" i="14"/>
  <c r="F82" i="14"/>
  <c r="E82" i="14"/>
  <c r="D82" i="14"/>
  <c r="E81" i="14"/>
  <c r="D81" i="14"/>
  <c r="F80" i="14"/>
  <c r="E80" i="14"/>
  <c r="D80" i="14"/>
  <c r="F77" i="14"/>
  <c r="C76" i="14"/>
  <c r="E76" i="14" s="1"/>
  <c r="B76" i="14"/>
  <c r="F76" i="14" s="1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C63" i="14"/>
  <c r="B63" i="14"/>
  <c r="F59" i="14" s="1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F51" i="14"/>
  <c r="C50" i="14"/>
  <c r="B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C37" i="14"/>
  <c r="B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C11" i="14"/>
  <c r="B11" i="14"/>
  <c r="E10" i="14"/>
  <c r="D10" i="14"/>
  <c r="E9" i="14"/>
  <c r="D9" i="14"/>
  <c r="E8" i="14"/>
  <c r="D8" i="14"/>
  <c r="F7" i="14"/>
  <c r="E7" i="14"/>
  <c r="D7" i="14"/>
  <c r="E6" i="14"/>
  <c r="D6" i="14"/>
  <c r="E5" i="14"/>
  <c r="D5" i="14"/>
  <c r="E4" i="14"/>
  <c r="D4" i="14"/>
  <c r="E3" i="14"/>
  <c r="D3" i="14"/>
  <c r="E2" i="14"/>
  <c r="D2" i="14"/>
  <c r="V21" i="2" l="1"/>
  <c r="T59" i="2"/>
  <c r="G18" i="15"/>
  <c r="F54" i="14"/>
  <c r="F57" i="14"/>
  <c r="F63" i="14"/>
  <c r="F85" i="14"/>
  <c r="F61" i="14"/>
  <c r="F58" i="14"/>
  <c r="F75" i="14"/>
  <c r="F86" i="14"/>
  <c r="F89" i="14"/>
  <c r="D115" i="14"/>
  <c r="F81" i="14"/>
  <c r="F96" i="14"/>
  <c r="F56" i="14"/>
  <c r="F62" i="14"/>
  <c r="G115" i="14"/>
  <c r="I115" i="14"/>
  <c r="F49" i="14"/>
  <c r="F16" i="14"/>
  <c r="F23" i="14"/>
  <c r="F15" i="14"/>
  <c r="F19" i="14"/>
  <c r="F21" i="14"/>
  <c r="F18" i="14"/>
  <c r="F20" i="14"/>
  <c r="F22" i="14"/>
  <c r="F17" i="14"/>
  <c r="F24" i="14"/>
  <c r="F30" i="14"/>
  <c r="F37" i="14"/>
  <c r="F38" i="14"/>
  <c r="F48" i="14"/>
  <c r="F2" i="14"/>
  <c r="F10" i="14"/>
  <c r="F33" i="14"/>
  <c r="D37" i="14"/>
  <c r="F43" i="14"/>
  <c r="E50" i="14"/>
  <c r="F50" i="14"/>
  <c r="E63" i="14"/>
  <c r="F64" i="14"/>
  <c r="D76" i="14"/>
  <c r="D89" i="14"/>
  <c r="F90" i="14"/>
  <c r="F99" i="14"/>
  <c r="C115" i="14"/>
  <c r="E115" i="14"/>
  <c r="B115" i="14"/>
  <c r="F115" i="14"/>
  <c r="B18" i="15"/>
  <c r="D18" i="15"/>
  <c r="F18" i="15"/>
  <c r="H18" i="15"/>
  <c r="F36" i="14"/>
  <c r="D11" i="14"/>
  <c r="F28" i="14"/>
  <c r="F3" i="14"/>
  <c r="F34" i="14"/>
  <c r="F102" i="14"/>
  <c r="F6" i="14"/>
  <c r="E11" i="14"/>
  <c r="F95" i="14"/>
  <c r="F9" i="14"/>
  <c r="F11" i="14"/>
  <c r="F32" i="14"/>
  <c r="E37" i="14"/>
  <c r="F42" i="14"/>
  <c r="D50" i="14"/>
  <c r="F60" i="14"/>
  <c r="F98" i="14"/>
  <c r="F44" i="14"/>
  <c r="F100" i="14"/>
  <c r="F29" i="14"/>
  <c r="F47" i="14"/>
  <c r="F103" i="14"/>
  <c r="F4" i="14"/>
  <c r="F12" i="14"/>
  <c r="F35" i="14"/>
  <c r="F45" i="14"/>
  <c r="F55" i="14"/>
  <c r="D63" i="14"/>
  <c r="F93" i="14"/>
  <c r="F101" i="14"/>
  <c r="F5" i="14"/>
  <c r="F46" i="14"/>
  <c r="F94" i="14"/>
  <c r="D102" i="14"/>
  <c r="F8" i="14"/>
  <c r="F31" i="14"/>
  <c r="F41" i="14"/>
  <c r="F97" i="14"/>
  <c r="J9" i="12"/>
  <c r="J8" i="12"/>
  <c r="J7" i="12"/>
  <c r="J6" i="12"/>
  <c r="J5" i="12"/>
  <c r="J4" i="12"/>
  <c r="J3" i="12"/>
  <c r="J2" i="12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5" i="7" l="1"/>
  <c r="G15" i="7"/>
  <c r="G10" i="8"/>
  <c r="G15" i="8"/>
  <c r="G20" i="8"/>
  <c r="G27" i="8"/>
  <c r="G11" i="7"/>
  <c r="G20" i="7" s="1"/>
  <c r="G16" i="7" l="1"/>
  <c r="G21" i="8"/>
  <c r="G21" i="7"/>
  <c r="Q53" i="2"/>
  <c r="R52" i="2"/>
  <c r="Q52" i="2"/>
  <c r="R51" i="2"/>
  <c r="Q51" i="2"/>
  <c r="R50" i="2"/>
  <c r="Q50" i="2"/>
  <c r="R49" i="2"/>
  <c r="Q49" i="2"/>
  <c r="R48" i="2"/>
  <c r="Q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R16" i="2"/>
  <c r="Q16" i="2"/>
  <c r="R15" i="2"/>
  <c r="Q15" i="2"/>
  <c r="R14" i="2"/>
  <c r="Q14" i="2"/>
  <c r="S13" i="2"/>
  <c r="S12" i="2"/>
  <c r="S11" i="2"/>
  <c r="S10" i="2"/>
  <c r="S9" i="2"/>
  <c r="S8" i="2"/>
  <c r="S7" i="2"/>
  <c r="S6" i="2"/>
  <c r="S5" i="2"/>
  <c r="S4" i="2"/>
  <c r="S3" i="2"/>
  <c r="H27" i="5"/>
  <c r="H26" i="5"/>
  <c r="H13" i="5"/>
  <c r="I15" i="10"/>
  <c r="I13" i="10"/>
  <c r="I12" i="10"/>
  <c r="I11" i="10"/>
  <c r="I8" i="10"/>
  <c r="I7" i="10"/>
  <c r="I6" i="10"/>
  <c r="I4" i="10"/>
  <c r="I3" i="10"/>
  <c r="J17" i="6"/>
  <c r="J21" i="6" s="1"/>
  <c r="I5" i="10" s="1"/>
  <c r="J10" i="6"/>
  <c r="H23" i="1"/>
  <c r="H19" i="1"/>
  <c r="H13" i="1"/>
  <c r="H21" i="1" s="1"/>
  <c r="H7" i="1"/>
  <c r="J28" i="6" l="1"/>
  <c r="J29" i="6"/>
  <c r="I9" i="10" s="1"/>
  <c r="H28" i="5"/>
  <c r="Q58" i="2"/>
  <c r="G5" i="9" s="1"/>
  <c r="S15" i="2"/>
  <c r="S16" i="2"/>
  <c r="G4" i="9"/>
  <c r="S48" i="2"/>
  <c r="Q57" i="2"/>
  <c r="S50" i="2"/>
  <c r="S51" i="2"/>
  <c r="S52" i="2"/>
  <c r="G28" i="8"/>
  <c r="S53" i="2"/>
  <c r="G29" i="8"/>
  <c r="I2" i="10"/>
  <c r="I10" i="10" s="1"/>
  <c r="R58" i="2"/>
  <c r="R57" i="2"/>
  <c r="R61" i="2"/>
  <c r="I14" i="10"/>
  <c r="I16" i="10" s="1"/>
  <c r="S14" i="2"/>
  <c r="Q20" i="2"/>
  <c r="S49" i="2"/>
  <c r="Q54" i="2"/>
  <c r="Q56" i="2"/>
  <c r="G2" i="9" s="1"/>
  <c r="R60" i="2"/>
  <c r="R20" i="2"/>
  <c r="R54" i="2"/>
  <c r="R55" i="2" s="1"/>
  <c r="R56" i="2"/>
  <c r="G11" i="13"/>
  <c r="G10" i="13"/>
  <c r="G9" i="13"/>
  <c r="G8" i="13"/>
  <c r="G7" i="13"/>
  <c r="G6" i="13"/>
  <c r="G5" i="13"/>
  <c r="G30" i="8" l="1"/>
  <c r="R21" i="2"/>
  <c r="G3" i="9"/>
  <c r="Q55" i="2"/>
  <c r="S55" i="2" s="1"/>
  <c r="S54" i="2"/>
  <c r="Q21" i="2"/>
  <c r="S20" i="2"/>
  <c r="R59" i="2"/>
  <c r="B27" i="5"/>
  <c r="C27" i="5"/>
  <c r="D27" i="5"/>
  <c r="E27" i="5"/>
  <c r="F27" i="5"/>
  <c r="G27" i="5"/>
  <c r="J27" i="5"/>
  <c r="G31" i="8" l="1"/>
  <c r="S21" i="2"/>
  <c r="Q59" i="2"/>
  <c r="G6" i="9" s="1"/>
  <c r="I9" i="12"/>
  <c r="I8" i="12"/>
  <c r="I7" i="12"/>
  <c r="I6" i="12"/>
  <c r="I5" i="12"/>
  <c r="I4" i="12"/>
  <c r="I3" i="12"/>
  <c r="I2" i="12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5" i="7" s="1"/>
  <c r="F10" i="7"/>
  <c r="F9" i="7"/>
  <c r="F8" i="7"/>
  <c r="F7" i="7"/>
  <c r="F6" i="7"/>
  <c r="F4" i="7"/>
  <c r="F3" i="7"/>
  <c r="F2" i="7"/>
  <c r="F5" i="7" s="1"/>
  <c r="F15" i="8" l="1"/>
  <c r="F10" i="8"/>
  <c r="F27" i="8"/>
  <c r="F20" i="8"/>
  <c r="F11" i="7"/>
  <c r="F20" i="7" s="1"/>
  <c r="F21" i="8" l="1"/>
  <c r="F16" i="7"/>
  <c r="F21" i="7"/>
  <c r="N53" i="2"/>
  <c r="O52" i="2"/>
  <c r="N52" i="2"/>
  <c r="O51" i="2"/>
  <c r="N51" i="2"/>
  <c r="O50" i="2"/>
  <c r="N50" i="2"/>
  <c r="O49" i="2"/>
  <c r="N49" i="2"/>
  <c r="O48" i="2"/>
  <c r="N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O15" i="2"/>
  <c r="N15" i="2"/>
  <c r="O14" i="2"/>
  <c r="N14" i="2"/>
  <c r="P13" i="2"/>
  <c r="P12" i="2"/>
  <c r="P11" i="2"/>
  <c r="P10" i="2"/>
  <c r="P9" i="2"/>
  <c r="P8" i="2"/>
  <c r="P7" i="2"/>
  <c r="P6" i="2"/>
  <c r="P5" i="2"/>
  <c r="P4" i="2"/>
  <c r="P3" i="2"/>
  <c r="G26" i="5"/>
  <c r="G28" i="5" s="1"/>
  <c r="G13" i="5"/>
  <c r="H15" i="10"/>
  <c r="H13" i="10"/>
  <c r="H12" i="10"/>
  <c r="H11" i="10"/>
  <c r="H8" i="10"/>
  <c r="H7" i="10"/>
  <c r="H6" i="10"/>
  <c r="H4" i="10"/>
  <c r="H3" i="10"/>
  <c r="I17" i="6"/>
  <c r="I21" i="6" s="1"/>
  <c r="H5" i="10" s="1"/>
  <c r="I10" i="6"/>
  <c r="G23" i="1"/>
  <c r="G19" i="1"/>
  <c r="G13" i="1"/>
  <c r="G7" i="1"/>
  <c r="G21" i="1" l="1"/>
  <c r="H2" i="10"/>
  <c r="I29" i="6"/>
  <c r="H9" i="10" s="1"/>
  <c r="H10" i="10"/>
  <c r="H14" i="10" s="1"/>
  <c r="H16" i="10" s="1"/>
  <c r="N56" i="2"/>
  <c r="F2" i="9" s="1"/>
  <c r="N57" i="2"/>
  <c r="P15" i="2"/>
  <c r="O20" i="2"/>
  <c r="P48" i="2"/>
  <c r="O54" i="2"/>
  <c r="O55" i="2" s="1"/>
  <c r="O57" i="2"/>
  <c r="O56" i="2"/>
  <c r="P16" i="2"/>
  <c r="F4" i="9"/>
  <c r="O61" i="2"/>
  <c r="P49" i="2"/>
  <c r="P50" i="2"/>
  <c r="P51" i="2"/>
  <c r="P52" i="2"/>
  <c r="F28" i="8"/>
  <c r="P53" i="2"/>
  <c r="F29" i="8"/>
  <c r="I28" i="6"/>
  <c r="N20" i="2"/>
  <c r="N54" i="2"/>
  <c r="N58" i="2"/>
  <c r="F5" i="9" s="1"/>
  <c r="O58" i="2"/>
  <c r="P14" i="2"/>
  <c r="O60" i="2"/>
  <c r="O21" i="2" l="1"/>
  <c r="O59" i="2" s="1"/>
  <c r="F30" i="8"/>
  <c r="F3" i="9"/>
  <c r="N55" i="2"/>
  <c r="P55" i="2" s="1"/>
  <c r="P54" i="2"/>
  <c r="N21" i="2"/>
  <c r="P20" i="2"/>
  <c r="H9" i="12"/>
  <c r="H8" i="12"/>
  <c r="H7" i="12"/>
  <c r="H6" i="12"/>
  <c r="H5" i="12"/>
  <c r="H4" i="12"/>
  <c r="H3" i="12"/>
  <c r="H2" i="12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F31" i="8" l="1"/>
  <c r="P21" i="2"/>
  <c r="N59" i="2"/>
  <c r="F6" i="9" s="1"/>
  <c r="E15" i="7"/>
  <c r="E15" i="8"/>
  <c r="E20" i="8"/>
  <c r="E27" i="8"/>
  <c r="E10" i="8"/>
  <c r="E5" i="7"/>
  <c r="E11" i="7"/>
  <c r="E16" i="7" l="1"/>
  <c r="E20" i="7"/>
  <c r="E21" i="8"/>
  <c r="E21" i="7" l="1"/>
  <c r="K53" i="2"/>
  <c r="L52" i="2"/>
  <c r="K52" i="2"/>
  <c r="L51" i="2"/>
  <c r="K51" i="2"/>
  <c r="L50" i="2"/>
  <c r="K50" i="2"/>
  <c r="L49" i="2"/>
  <c r="K49" i="2"/>
  <c r="L48" i="2"/>
  <c r="K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19" i="2"/>
  <c r="M18" i="2"/>
  <c r="M17" i="2"/>
  <c r="L16" i="2"/>
  <c r="K16" i="2"/>
  <c r="L15" i="2"/>
  <c r="K15" i="2"/>
  <c r="L14" i="2"/>
  <c r="K14" i="2"/>
  <c r="M13" i="2"/>
  <c r="M12" i="2"/>
  <c r="M11" i="2"/>
  <c r="M10" i="2"/>
  <c r="M9" i="2"/>
  <c r="M8" i="2"/>
  <c r="M7" i="2"/>
  <c r="M6" i="2"/>
  <c r="M5" i="2"/>
  <c r="M4" i="2"/>
  <c r="M3" i="2"/>
  <c r="J26" i="5"/>
  <c r="J28" i="5" s="1"/>
  <c r="J13" i="5"/>
  <c r="K15" i="10"/>
  <c r="K13" i="10"/>
  <c r="K12" i="10"/>
  <c r="K11" i="10"/>
  <c r="K8" i="10"/>
  <c r="K7" i="10"/>
  <c r="K6" i="10"/>
  <c r="K4" i="10"/>
  <c r="K3" i="10"/>
  <c r="L21" i="6"/>
  <c r="M21" i="6" s="1"/>
  <c r="L10" i="6"/>
  <c r="M10" i="6" s="1"/>
  <c r="J23" i="1"/>
  <c r="J19" i="1"/>
  <c r="J13" i="1"/>
  <c r="J7" i="1"/>
  <c r="L9" i="12"/>
  <c r="L8" i="12"/>
  <c r="L7" i="12"/>
  <c r="L6" i="12"/>
  <c r="L5" i="12"/>
  <c r="L4" i="12"/>
  <c r="L3" i="12"/>
  <c r="L2" i="12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L29" i="6" l="1"/>
  <c r="M29" i="6" s="1"/>
  <c r="M14" i="2"/>
  <c r="K5" i="10"/>
  <c r="K2" i="10"/>
  <c r="L60" i="2"/>
  <c r="L57" i="2"/>
  <c r="K57" i="2"/>
  <c r="K54" i="2"/>
  <c r="E29" i="8"/>
  <c r="K20" i="2"/>
  <c r="M51" i="2"/>
  <c r="M53" i="2"/>
  <c r="D5" i="7"/>
  <c r="D15" i="7"/>
  <c r="L20" i="2"/>
  <c r="M16" i="2"/>
  <c r="E4" i="9"/>
  <c r="M49" i="2"/>
  <c r="M50" i="2"/>
  <c r="M52" i="2"/>
  <c r="E28" i="8"/>
  <c r="L56" i="2"/>
  <c r="K55" i="2"/>
  <c r="L58" i="2"/>
  <c r="L61" i="2"/>
  <c r="K56" i="2"/>
  <c r="K58" i="2"/>
  <c r="M15" i="2"/>
  <c r="M48" i="2"/>
  <c r="L54" i="2"/>
  <c r="L28" i="6"/>
  <c r="M28" i="6" s="1"/>
  <c r="J21" i="1"/>
  <c r="D27" i="8"/>
  <c r="D10" i="8"/>
  <c r="D15" i="8"/>
  <c r="D20" i="8"/>
  <c r="D11" i="7"/>
  <c r="K9" i="10" l="1"/>
  <c r="M20" i="2"/>
  <c r="K10" i="10"/>
  <c r="E5" i="9"/>
  <c r="E30" i="8"/>
  <c r="E2" i="9"/>
  <c r="M54" i="2"/>
  <c r="L55" i="2"/>
  <c r="L21" i="2"/>
  <c r="K21" i="2"/>
  <c r="E3" i="9"/>
  <c r="K59" i="2"/>
  <c r="E6" i="9" s="1"/>
  <c r="M21" i="2"/>
  <c r="D16" i="7"/>
  <c r="D21" i="8"/>
  <c r="D20" i="7"/>
  <c r="K14" i="10" l="1"/>
  <c r="E31" i="8"/>
  <c r="M55" i="2"/>
  <c r="L59" i="2"/>
  <c r="D21" i="7"/>
  <c r="K16" i="10" l="1"/>
  <c r="K4" i="9"/>
  <c r="H53" i="2"/>
  <c r="I52" i="2"/>
  <c r="H52" i="2"/>
  <c r="I51" i="2"/>
  <c r="H51" i="2"/>
  <c r="I50" i="2"/>
  <c r="H50" i="2"/>
  <c r="I49" i="2"/>
  <c r="H49" i="2"/>
  <c r="I48" i="2"/>
  <c r="H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I15" i="2"/>
  <c r="H15" i="2"/>
  <c r="I14" i="2"/>
  <c r="H14" i="2"/>
  <c r="J13" i="2"/>
  <c r="J12" i="2"/>
  <c r="J11" i="2"/>
  <c r="J10" i="2"/>
  <c r="J9" i="2"/>
  <c r="J8" i="2"/>
  <c r="J7" i="2"/>
  <c r="J6" i="2"/>
  <c r="J5" i="2"/>
  <c r="J4" i="2"/>
  <c r="J3" i="2"/>
  <c r="F26" i="5"/>
  <c r="F28" i="5" s="1"/>
  <c r="F13" i="5"/>
  <c r="G15" i="10"/>
  <c r="G13" i="10"/>
  <c r="G12" i="10"/>
  <c r="G11" i="10"/>
  <c r="G8" i="10"/>
  <c r="G7" i="10"/>
  <c r="G6" i="10"/>
  <c r="G4" i="10"/>
  <c r="G3" i="10"/>
  <c r="H21" i="6"/>
  <c r="H10" i="6"/>
  <c r="H29" i="6" s="1"/>
  <c r="G9" i="10" s="1"/>
  <c r="F23" i="1"/>
  <c r="F19" i="1"/>
  <c r="F13" i="1"/>
  <c r="F7" i="1"/>
  <c r="E23" i="1"/>
  <c r="B23" i="1"/>
  <c r="C9" i="6"/>
  <c r="D9" i="6"/>
  <c r="E16" i="6"/>
  <c r="E14" i="6"/>
  <c r="E5" i="6"/>
  <c r="E4" i="6"/>
  <c r="C8" i="1"/>
  <c r="C23" i="1" s="1"/>
  <c r="J14" i="2" l="1"/>
  <c r="G2" i="10"/>
  <c r="X60" i="2"/>
  <c r="X58" i="2"/>
  <c r="AA58" i="2" s="1"/>
  <c r="X56" i="2"/>
  <c r="AA56" i="2" s="1"/>
  <c r="J15" i="2"/>
  <c r="H57" i="2"/>
  <c r="D3" i="9" s="1"/>
  <c r="H54" i="2"/>
  <c r="D29" i="8"/>
  <c r="W57" i="2"/>
  <c r="G5" i="10"/>
  <c r="H58" i="2"/>
  <c r="H56" i="2"/>
  <c r="I57" i="2"/>
  <c r="I54" i="2"/>
  <c r="I61" i="2"/>
  <c r="J51" i="2"/>
  <c r="J53" i="2"/>
  <c r="X57" i="2"/>
  <c r="X61" i="2"/>
  <c r="I60" i="2"/>
  <c r="I58" i="2"/>
  <c r="I56" i="2"/>
  <c r="J16" i="2"/>
  <c r="D4" i="9"/>
  <c r="J49" i="2"/>
  <c r="J50" i="2"/>
  <c r="J52" i="2"/>
  <c r="D28" i="8"/>
  <c r="W58" i="2"/>
  <c r="Z58" i="2" s="1"/>
  <c r="W56" i="2"/>
  <c r="Z56" i="2" s="1"/>
  <c r="I4" i="9"/>
  <c r="I20" i="2"/>
  <c r="J48" i="2"/>
  <c r="H20" i="2"/>
  <c r="H28" i="6"/>
  <c r="F21" i="1"/>
  <c r="E53" i="2"/>
  <c r="F52" i="2"/>
  <c r="E52" i="2"/>
  <c r="F51" i="2"/>
  <c r="E51" i="2"/>
  <c r="F50" i="2"/>
  <c r="E50" i="2"/>
  <c r="F49" i="2"/>
  <c r="E49" i="2"/>
  <c r="F48" i="2"/>
  <c r="E48" i="2"/>
  <c r="F16" i="2"/>
  <c r="E16" i="2"/>
  <c r="F15" i="2"/>
  <c r="E15" i="2"/>
  <c r="E57" i="2" s="1"/>
  <c r="C3" i="9" s="1"/>
  <c r="F14" i="2"/>
  <c r="E14" i="2"/>
  <c r="B53" i="2"/>
  <c r="C52" i="2"/>
  <c r="B52" i="2"/>
  <c r="C51" i="2"/>
  <c r="B51" i="2"/>
  <c r="C50" i="2"/>
  <c r="B50" i="2"/>
  <c r="C49" i="2"/>
  <c r="B49" i="2"/>
  <c r="C48" i="2"/>
  <c r="B48" i="2"/>
  <c r="C16" i="2"/>
  <c r="B16" i="2"/>
  <c r="C15" i="2"/>
  <c r="B15" i="2"/>
  <c r="C14" i="2"/>
  <c r="B14" i="2"/>
  <c r="K3" i="9" l="1"/>
  <c r="AA57" i="2"/>
  <c r="K5" i="9"/>
  <c r="I2" i="9"/>
  <c r="I5" i="9"/>
  <c r="K2" i="9"/>
  <c r="B20" i="2"/>
  <c r="B21" i="2" s="1"/>
  <c r="B57" i="2"/>
  <c r="B3" i="9" s="1"/>
  <c r="F20" i="2"/>
  <c r="F21" i="2" s="1"/>
  <c r="F60" i="2"/>
  <c r="F58" i="2"/>
  <c r="F56" i="2"/>
  <c r="D30" i="8"/>
  <c r="D5" i="9"/>
  <c r="C20" i="2"/>
  <c r="C21" i="2" s="1"/>
  <c r="C57" i="2"/>
  <c r="C61" i="2"/>
  <c r="I21" i="2"/>
  <c r="B56" i="2"/>
  <c r="B2" i="9" s="1"/>
  <c r="B58" i="2"/>
  <c r="B5" i="9" s="1"/>
  <c r="B4" i="9"/>
  <c r="F57" i="2"/>
  <c r="F61" i="2"/>
  <c r="H55" i="2"/>
  <c r="G10" i="10"/>
  <c r="C58" i="2"/>
  <c r="C56" i="2"/>
  <c r="C60" i="2"/>
  <c r="E20" i="2"/>
  <c r="E21" i="2" s="1"/>
  <c r="E58" i="2"/>
  <c r="C5" i="9" s="1"/>
  <c r="E56" i="2"/>
  <c r="C2" i="9" s="1"/>
  <c r="C4" i="9"/>
  <c r="J54" i="2"/>
  <c r="I55" i="2"/>
  <c r="D2" i="9"/>
  <c r="I3" i="9"/>
  <c r="H21" i="2"/>
  <c r="J20" i="2"/>
  <c r="D8" i="1"/>
  <c r="D23" i="1" s="1"/>
  <c r="D31" i="8" l="1"/>
  <c r="H59" i="2"/>
  <c r="D6" i="9" s="1"/>
  <c r="G14" i="10"/>
  <c r="J55" i="2"/>
  <c r="I59" i="2"/>
  <c r="J21" i="2"/>
  <c r="B13" i="1"/>
  <c r="B19" i="1"/>
  <c r="B7" i="1"/>
  <c r="G16" i="10" l="1"/>
  <c r="B21" i="1"/>
  <c r="F21" i="6" l="1"/>
  <c r="G21" i="6"/>
  <c r="E21" i="6"/>
  <c r="G10" i="6"/>
  <c r="G29" i="6" s="1"/>
  <c r="F9" i="10" s="1"/>
  <c r="F10" i="6"/>
  <c r="F29" i="6" s="1"/>
  <c r="E9" i="10" s="1"/>
  <c r="E10" i="6"/>
  <c r="E29" i="6" s="1"/>
  <c r="D9" i="10" s="1"/>
  <c r="B26" i="5" l="1"/>
  <c r="B28" i="5" s="1"/>
  <c r="B13" i="5"/>
  <c r="D19" i="1"/>
  <c r="C19" i="1"/>
  <c r="E19" i="1"/>
  <c r="C13" i="1"/>
  <c r="D13" i="1"/>
  <c r="E13" i="1"/>
  <c r="C7" i="1"/>
  <c r="D7" i="1"/>
  <c r="E7" i="1"/>
  <c r="B15" i="10" l="1"/>
  <c r="B13" i="10"/>
  <c r="B12" i="10"/>
  <c r="B11" i="10"/>
  <c r="B8" i="10"/>
  <c r="B7" i="10"/>
  <c r="B6" i="10"/>
  <c r="B4" i="10"/>
  <c r="B3" i="10"/>
  <c r="C10" i="6"/>
  <c r="C21" i="6"/>
  <c r="B5" i="10" s="1"/>
  <c r="C28" i="6"/>
  <c r="B2" i="10" l="1"/>
  <c r="C29" i="6"/>
  <c r="B9" i="10" s="1"/>
  <c r="B10" i="10"/>
  <c r="B14" i="10" s="1"/>
  <c r="B16" i="10" s="1"/>
  <c r="E26" i="5"/>
  <c r="E28" i="5" s="1"/>
  <c r="D26" i="5"/>
  <c r="D28" i="5" s="1"/>
  <c r="C26" i="5"/>
  <c r="C28" i="5" s="1"/>
  <c r="E13" i="5"/>
  <c r="D13" i="5"/>
  <c r="C13" i="5"/>
  <c r="F28" i="6"/>
  <c r="G28" i="6"/>
  <c r="E28" i="6"/>
  <c r="D10" i="6" l="1"/>
  <c r="D29" i="6" s="1"/>
  <c r="C9" i="10" s="1"/>
  <c r="C21" i="1"/>
  <c r="D21" i="1"/>
  <c r="E21" i="1"/>
  <c r="C6" i="10" l="1"/>
  <c r="D6" i="10"/>
  <c r="E6" i="10"/>
  <c r="F6" i="10"/>
  <c r="C7" i="10"/>
  <c r="D7" i="10"/>
  <c r="E7" i="10"/>
  <c r="F7" i="10"/>
  <c r="C8" i="10"/>
  <c r="D8" i="10"/>
  <c r="E8" i="10"/>
  <c r="F8" i="10"/>
  <c r="C3" i="10"/>
  <c r="D3" i="10"/>
  <c r="E3" i="10"/>
  <c r="F3" i="10"/>
  <c r="C4" i="10"/>
  <c r="D4" i="10"/>
  <c r="E4" i="10"/>
  <c r="F4" i="10"/>
  <c r="D28" i="6" l="1"/>
  <c r="D21" i="6"/>
  <c r="G6" i="12" l="1"/>
  <c r="F2" i="12"/>
  <c r="G2" i="12"/>
  <c r="F3" i="12"/>
  <c r="G3" i="12"/>
  <c r="F4" i="12"/>
  <c r="G4" i="12"/>
  <c r="F5" i="12"/>
  <c r="G5" i="12"/>
  <c r="F6" i="12"/>
  <c r="F7" i="12"/>
  <c r="G7" i="12"/>
  <c r="F8" i="12"/>
  <c r="G8" i="12"/>
  <c r="F9" i="12"/>
  <c r="G9" i="12"/>
  <c r="E9" i="12"/>
  <c r="E8" i="12"/>
  <c r="E7" i="12"/>
  <c r="E6" i="12"/>
  <c r="E5" i="12"/>
  <c r="E4" i="12"/>
  <c r="E3" i="12"/>
  <c r="E2" i="12"/>
  <c r="D11" i="10"/>
  <c r="E11" i="10"/>
  <c r="F11" i="10"/>
  <c r="D12" i="10"/>
  <c r="E12" i="10"/>
  <c r="F12" i="10"/>
  <c r="D13" i="10"/>
  <c r="E13" i="10"/>
  <c r="F13" i="10"/>
  <c r="D15" i="10"/>
  <c r="E15" i="10"/>
  <c r="F15" i="10"/>
  <c r="C15" i="10"/>
  <c r="C13" i="10"/>
  <c r="C12" i="10"/>
  <c r="C11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I23" i="8"/>
  <c r="I22" i="8"/>
  <c r="I19" i="8"/>
  <c r="I18" i="8"/>
  <c r="I17" i="8"/>
  <c r="M17" i="8" s="1"/>
  <c r="I16" i="8"/>
  <c r="I14" i="8"/>
  <c r="I13" i="8"/>
  <c r="I12" i="8"/>
  <c r="I11" i="8"/>
  <c r="I9" i="8"/>
  <c r="I8" i="8"/>
  <c r="I7" i="8"/>
  <c r="M7" i="8" s="1"/>
  <c r="I6" i="8"/>
  <c r="I5" i="8"/>
  <c r="I4" i="8"/>
  <c r="I3" i="8"/>
  <c r="I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I19" i="7"/>
  <c r="I18" i="7"/>
  <c r="I17" i="7"/>
  <c r="I14" i="7"/>
  <c r="I13" i="7"/>
  <c r="I12" i="7"/>
  <c r="I10" i="7"/>
  <c r="I9" i="7"/>
  <c r="I8" i="7"/>
  <c r="I7" i="7"/>
  <c r="I6" i="7"/>
  <c r="I4" i="7"/>
  <c r="I3" i="7"/>
  <c r="I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5" i="8" l="1"/>
  <c r="M9" i="8"/>
  <c r="M19" i="8"/>
  <c r="M13" i="8"/>
  <c r="M8" i="7"/>
  <c r="M13" i="7"/>
  <c r="M6" i="7"/>
  <c r="M18" i="8"/>
  <c r="M6" i="8"/>
  <c r="M22" i="8"/>
  <c r="L20" i="8"/>
  <c r="M10" i="7"/>
  <c r="M9" i="7"/>
  <c r="M19" i="7"/>
  <c r="L11" i="7"/>
  <c r="I15" i="8"/>
  <c r="M23" i="8"/>
  <c r="B5" i="7"/>
  <c r="M4" i="8"/>
  <c r="M8" i="8"/>
  <c r="M24" i="8"/>
  <c r="L15" i="7"/>
  <c r="M14" i="7"/>
  <c r="B11" i="7"/>
  <c r="M4" i="7"/>
  <c r="B27" i="8"/>
  <c r="B15" i="7"/>
  <c r="I27" i="8"/>
  <c r="L27" i="8"/>
  <c r="L15" i="8"/>
  <c r="C27" i="8"/>
  <c r="L10" i="8"/>
  <c r="I10" i="8"/>
  <c r="I20" i="8"/>
  <c r="C10" i="8"/>
  <c r="C15" i="8"/>
  <c r="C20" i="8"/>
  <c r="M14" i="8"/>
  <c r="M3" i="8"/>
  <c r="M12" i="8"/>
  <c r="B20" i="8"/>
  <c r="B15" i="8"/>
  <c r="B10" i="8"/>
  <c r="M2" i="8"/>
  <c r="M11" i="8"/>
  <c r="M16" i="8"/>
  <c r="M2" i="7"/>
  <c r="L5" i="7"/>
  <c r="M17" i="7"/>
  <c r="C15" i="7"/>
  <c r="C11" i="7"/>
  <c r="M7" i="7"/>
  <c r="M12" i="7"/>
  <c r="M18" i="7"/>
  <c r="I11" i="7"/>
  <c r="I5" i="7"/>
  <c r="I15" i="7"/>
  <c r="M3" i="7"/>
  <c r="C5" i="7"/>
  <c r="I21" i="8" l="1"/>
  <c r="B21" i="8"/>
  <c r="C21" i="8"/>
  <c r="L21" i="8"/>
  <c r="C16" i="7"/>
  <c r="L16" i="7"/>
  <c r="I16" i="7"/>
  <c r="B16" i="7"/>
  <c r="B20" i="7"/>
  <c r="B21" i="7" s="1"/>
  <c r="L20" i="7"/>
  <c r="L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I20" i="7"/>
  <c r="M5" i="7"/>
  <c r="I21" i="7" l="1"/>
  <c r="M21" i="8"/>
  <c r="M16" i="7"/>
  <c r="M20" i="7"/>
  <c r="L28" i="8"/>
  <c r="L30" i="8" s="1"/>
  <c r="L31" i="8" s="1"/>
  <c r="J16" i="7" l="1"/>
  <c r="J12" i="7"/>
  <c r="J2" i="7"/>
  <c r="J13" i="7"/>
  <c r="J5" i="7"/>
  <c r="J9" i="7"/>
  <c r="J10" i="7"/>
  <c r="J8" i="7"/>
  <c r="J21" i="7"/>
  <c r="M21" i="7"/>
  <c r="J4" i="7"/>
  <c r="J6" i="7"/>
  <c r="J17" i="7"/>
  <c r="J3" i="7"/>
  <c r="J15" i="7"/>
  <c r="J14" i="7"/>
  <c r="J18" i="7"/>
  <c r="J7" i="7"/>
  <c r="J11" i="7"/>
  <c r="C5" i="10"/>
  <c r="C2" i="10"/>
  <c r="C10" i="10" l="1"/>
  <c r="C14" i="10" l="1"/>
  <c r="C16" i="10" s="1"/>
  <c r="E5" i="10" l="1"/>
  <c r="F5" i="10"/>
  <c r="D5" i="10"/>
  <c r="E2" i="10"/>
  <c r="F2" i="10"/>
  <c r="D2" i="10"/>
  <c r="E10" i="10" l="1"/>
  <c r="E14" i="10" s="1"/>
  <c r="E16" i="10" s="1"/>
  <c r="D10" i="10"/>
  <c r="D14" i="10" s="1"/>
  <c r="D16" i="10" s="1"/>
  <c r="F10" i="10"/>
  <c r="E54" i="2"/>
  <c r="E55" i="2" s="1"/>
  <c r="E59" i="2" s="1"/>
  <c r="C6" i="9" s="1"/>
  <c r="F54" i="2"/>
  <c r="F55" i="2" s="1"/>
  <c r="F59" i="2" s="1"/>
  <c r="F14" i="10" l="1"/>
  <c r="F16" i="10" l="1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I28" i="8" l="1"/>
  <c r="Y53" i="2" l="1"/>
  <c r="I29" i="8"/>
  <c r="M28" i="8"/>
  <c r="Y49" i="2"/>
  <c r="Y52" i="2"/>
  <c r="Y51" i="2"/>
  <c r="Y50" i="2"/>
  <c r="Y48" i="2"/>
  <c r="Y16" i="2"/>
  <c r="Y14" i="2"/>
  <c r="Y15" i="2"/>
  <c r="I30" i="8" l="1"/>
  <c r="M29" i="8"/>
  <c r="Y21" i="2"/>
  <c r="Y20" i="2"/>
  <c r="Y54" i="2"/>
  <c r="G12" i="2"/>
  <c r="D53" i="2"/>
  <c r="D52" i="2"/>
  <c r="Y55" i="2" l="1"/>
  <c r="W59" i="2"/>
  <c r="M30" i="8"/>
  <c r="I31" i="8"/>
  <c r="X59" i="2"/>
  <c r="J28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K6" i="9" l="1"/>
  <c r="AA59" i="2"/>
  <c r="I6" i="9"/>
  <c r="Z59" i="2"/>
  <c r="J17" i="8"/>
  <c r="J2" i="8"/>
  <c r="J26" i="8"/>
  <c r="J18" i="8"/>
  <c r="J4" i="8"/>
  <c r="J31" i="8"/>
  <c r="J5" i="8"/>
  <c r="J12" i="8"/>
  <c r="J3" i="8"/>
  <c r="J20" i="8"/>
  <c r="J27" i="8"/>
  <c r="J22" i="8"/>
  <c r="J9" i="8"/>
  <c r="J13" i="8"/>
  <c r="M31" i="8"/>
  <c r="J19" i="8"/>
  <c r="J7" i="8"/>
  <c r="J6" i="8"/>
  <c r="J24" i="8"/>
  <c r="J16" i="8"/>
  <c r="J23" i="8"/>
  <c r="J10" i="8"/>
  <c r="J15" i="8"/>
  <c r="J25" i="8"/>
  <c r="J11" i="8"/>
  <c r="J8" i="8"/>
  <c r="J14" i="8"/>
  <c r="J21" i="8"/>
  <c r="G20" i="2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<sst xmlns="http://schemas.openxmlformats.org/spreadsheetml/2006/main" count="645" uniqueCount="387">
  <si>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</si>
  <si>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</si>
  <si>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</si>
  <si>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</si>
  <si>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</si>
  <si>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</si>
  <si>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</si>
  <si>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</si>
  <si>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</si>
  <si>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</si>
  <si>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</si>
  <si>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</si>
  <si>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</si>
  <si>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</si>
  <si>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</si>
  <si>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</si>
  <si>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</si>
  <si>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</si>
  <si>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</si>
  <si>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</si>
  <si>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</si>
  <si>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</si>
  <si>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</si>
  <si>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</si>
  <si>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</si>
  <si>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</si>
  <si>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</si>
  <si>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</si>
  <si>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</si>
  <si>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</si>
  <si>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</si>
  <si>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</si>
  <si>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</si>
  <si>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</si>
  <si>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</si>
  <si>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</si>
  <si>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</si>
  <si>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</si>
  <si>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</si>
  <si>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</si>
  <si>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</si>
  <si>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</si>
  <si>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</si>
  <si>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</si>
  <si>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</si>
  <si>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</si>
  <si>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</si>
  <si>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</si>
  <si>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</si>
  <si>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</si>
  <si>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</si>
  <si>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</si>
  <si>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</si>
  <si>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</si>
  <si>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</si>
  <si>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</si>
  <si>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</si>
  <si>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</si>
  <si>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</si>
  <si>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</si>
  <si>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</si>
  <si>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</si>
  <si>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</si>
  <si>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</si>
  <si>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</si>
  <si>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</si>
  <si>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</si>
  <si>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</si>
  <si>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</si>
  <si>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</si>
  <si>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</si>
  <si>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</si>
  <si>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</si>
  <si>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</si>
  <si>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</si>
  <si>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</si>
  <si>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</si>
  <si>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</si>
  <si>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</si>
  <si>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</si>
  <si>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</si>
  <si>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</si>
  <si>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</si>
  <si>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</si>
  <si>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</si>
  <si>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</si>
  <si>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</si>
  <si>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</si>
  <si>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</si>
  <si>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</si>
  <si>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</si>
  <si>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</si>
  <si>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</si>
  <si>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</si>
  <si>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</si>
  <si>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</si>
  <si>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</si>
  <si>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</si>
  <si>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</si>
  <si>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</si>
  <si>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</si>
  <si>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</si>
  <si>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</si>
  <si>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</si>
  <si>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</si>
  <si>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</si>
  <si>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</si>
  <si>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</si>
  <si>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</si>
  <si>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</si>
  <si>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</si>
  <si>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</si>
  <si>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</si>
  <si>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</si>
  <si>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</si>
  <si>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</si>
  <si>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</si>
  <si>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</si>
  <si>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</si>
  <si>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</si>
  <si>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</si>
  <si>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</si>
  <si>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</si>
  <si>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</si>
  <si>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</si>
  <si>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</si>
  <si>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</si>
  <si>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</si>
  <si>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</si>
  <si>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</si>
  <si>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</si>
  <si>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</si>
  <si>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</si>
  <si>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</si>
  <si>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</si>
  <si>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</si>
  <si>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</si>
  <si>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</si>
  <si>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</si>
  <si>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</si>
  <si>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</si>
  <si>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</si>
  <si>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</si>
  <si>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</si>
  <si>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</si>
  <si>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</si>
  <si>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</si>
  <si>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</si>
  <si>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</si>
  <si>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</si>
  <si>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</si>
  <si>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</si>
  <si>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</si>
  <si>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</si>
  <si>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</si>
  <si>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</si>
  <si>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</si>
  <si>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</si>
  <si>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</si>
  <si>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</si>
  <si>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</si>
  <si>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</si>
  <si>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</si>
  <si>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</si>
  <si>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</si>
  <si>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</si>
  <si>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</si>
  <si>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</si>
  <si>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</si>
  <si>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</si>
  <si>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</si>
  <si>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</si>
  <si>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</si>
  <si>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</si>
  <si>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</si>
  <si>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</si>
  <si>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</si>
  <si>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</si>
  <si>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</si>
  <si>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</si>
  <si>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</si>
  <si>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</si>
  <si>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</si>
  <si>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</si>
  <si>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</si>
  <si>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</si>
  <si>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</si>
  <si>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</si>
  <si>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</si>
  <si>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</si>
  <si>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</si>
  <si>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</si>
  <si>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</si>
  <si>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</si>
  <si>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</si>
  <si>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</si>
  <si>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</si>
  <si>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</si>
  <si>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</si>
  <si>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</si>
  <si>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</si>
  <si>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</si>
  <si>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</si>
  <si>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</si>
  <si>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</si>
  <si>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</si>
  <si>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</si>
  <si>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</si>
  <si>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</si>
  <si>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</si>
  <si>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</si>
  <si>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</si>
  <si>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</si>
  <si>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</si>
  <si>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</si>
  <si>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</si>
  <si>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</si>
  <si>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</si>
  <si>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</si>
  <si>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</si>
  <si>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</si>
  <si>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</si>
  <si>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</si>
  <si>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</si>
  <si>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</si>
  <si>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</si>
  <si>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</si>
  <si>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</si>
  <si>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</si>
  <si>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</si>
  <si>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</si>
  <si>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</si>
  <si>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</si>
  <si>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</si>
  <si>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</si>
  <si>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</si>
  <si>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</si>
  <si>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</si>
  <si>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</si>
  <si>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</si>
  <si>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</si>
  <si>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</si>
  <si>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</si>
  <si>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</si>
  <si>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</si>
  <si>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</si>
  <si>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</si>
  <si>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</si>
  <si>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</si>
  <si>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</si>
  <si>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</si>
  <si>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</si>
  <si>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</si>
  <si>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</si>
  <si>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</si>
  <si>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</si>
  <si>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</si>
  <si>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</si>
  <si>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</si>
  <si>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</si>
  <si>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</si>
  <si>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</si>
  <si>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</si>
  <si>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</si>
  <si>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</si>
  <si>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</si>
  <si>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</si>
  <si>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</si>
  <si>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</si>
  <si>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</si>
  <si>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</si>
  <si>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</si>
  <si>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</si>
  <si>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</si>
  <si>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</si>
  <si>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</si>
  <si>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</si>
  <si>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</si>
  <si>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</si>
  <si>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</si>
  <si>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</si>
  <si>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</si>
  <si>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</si>
  <si>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</si>
  <si>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</si>
  <si>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</si>
  <si>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</si>
  <si>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</si>
  <si>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</si>
  <si>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</si>
  <si>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</si>
  <si>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</si>
  <si>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</si>
  <si>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</si>
  <si>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</si>
  <si>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</si>
  <si>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</si>
  <si>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</si>
  <si>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</si>
  <si>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</si>
  <si>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</si>
  <si>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</si>
  <si>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</si>
  <si>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</si>
  <si>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</si>
  <si>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</si>
  <si>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</si>
  <si>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</si>
  <si>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</si>
  <si>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</si>
  <si>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</si>
  <si>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</si>
  <si>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</si>
  <si>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</si>
  <si>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</si>
  <si>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</si>
  <si>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</si>
  <si>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</si>
  <si>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</si>
  <si>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</si>
  <si>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</si>
  <si>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</si>
  <si>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</si>
  <si>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</si>
  <si>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</si>
  <si>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</si>
  <si>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</si>
  <si>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</si>
  <si>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</si>
  <si>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</si>
  <si>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</si>
  <si>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</si>
  <si>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</si>
  <si>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</si>
  <si>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</si>
  <si>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</si>
  <si>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</si>
  <si>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</si>
  <si>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</si>
  <si>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</si>
  <si>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</si>
  <si>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</si>
  <si>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</si>
  <si>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</si>
  <si>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</si>
  <si>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</si>
  <si>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</si>
  <si>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</si>
  <si>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</si>
  <si>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</si>
  <si>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</si>
  <si>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</si>
  <si>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</si>
  <si>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</si>
  <si>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</si>
  <si>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/>
  </si>
  <si>
    <t>Riaccertamento residui attivi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</si>
  <si>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</si>
  <si>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</si>
  <si>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</si>
  <si>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</si>
  <si>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</si>
  <si>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Risultato economico di esercizi precedenti (A4)</t>
  </si>
  <si>
    <t>Riserve negative per beni indisponibili (A5)</t>
  </si>
  <si>
    <t>Saldo censuario</t>
  </si>
  <si>
    <t>Impegni</t>
  </si>
  <si>
    <t>Pagamenti</t>
  </si>
  <si>
    <t>Residui</t>
  </si>
  <si>
    <t>Cap. pagamento</t>
  </si>
  <si>
    <t>Composizione spesa</t>
  </si>
  <si>
    <t>Infanzia, minori, asili nido</t>
  </si>
  <si>
    <t>Disabilità</t>
  </si>
  <si>
    <t>Anziani</t>
  </si>
  <si>
    <t>Soggetti a rischio esclusione sociale</t>
  </si>
  <si>
    <t>Famiglie</t>
  </si>
  <si>
    <t>Diritto alla casa</t>
  </si>
  <si>
    <t>Rete dei servizi sociosanitari e sociali</t>
  </si>
  <si>
    <t>Cooperazione e associazionismo</t>
  </si>
  <si>
    <t>Servizio necroscopico e cimiteriale</t>
  </si>
  <si>
    <t>Spesa finale</t>
  </si>
  <si>
    <t>Totale</t>
  </si>
  <si>
    <t>Spesa corrente</t>
  </si>
  <si>
    <t>Spesa in conto capitale</t>
  </si>
  <si>
    <t>%Spesa corrente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</si>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</sst>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_ ;\-#,##0.0\ "/>
    <numFmt numFmtId="168" formatCode="_-* #,##0.0_-;\-* #,##0.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36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3" fontId="0" fillId="0" borderId="0" xfId="0" applyNumberFormat="1" applyFill="1" applyBorder="1"/>
    <xf numFmtId="3" fontId="2" fillId="0" borderId="1" xfId="0" applyNumberFormat="1" applyFont="1" applyFill="1" applyBorder="1"/>
    <xf numFmtId="166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6" fontId="3" fillId="0" borderId="0" xfId="1" applyNumberFormat="1" applyFont="1" applyFill="1"/>
    <xf numFmtId="0" fontId="0" fillId="0" borderId="0" xfId="0" applyFill="1" applyAlignment="1">
      <alignment horizontal="center"/>
    </xf>
    <xf numFmtId="0" fontId="0" fillId="0" borderId="2" xfId="0" applyBorder="1"/>
    <xf numFmtId="0" fontId="0" fillId="0" borderId="0" xfId="0" applyFill="1" applyAlignment="1">
      <alignment horizontal="center"/>
    </xf>
    <xf numFmtId="0" fontId="0" fillId="0" borderId="0" xfId="0" applyAlignment="1"/>
    <xf numFmtId="3" fontId="0" fillId="0" borderId="0" xfId="0" applyNumberFormat="1" applyAlignment="1"/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167" fontId="9" fillId="6" borderId="0" xfId="1" applyNumberFormat="1" applyFont="1" applyFill="1" applyAlignment="1">
      <alignment horizontal="center" vertical="center"/>
    </xf>
    <xf numFmtId="165" fontId="0" fillId="0" borderId="0" xfId="0" applyNumberFormat="1" applyAlignment="1">
      <alignment horizontal="right"/>
    </xf>
    <xf numFmtId="165" fontId="1" fillId="0" borderId="0" xfId="0" applyNumberFormat="1" applyFont="1"/>
    <xf numFmtId="0" fontId="2" fillId="0" borderId="0" xfId="0" applyFont="1" applyFill="1"/>
    <xf numFmtId="3" fontId="2" fillId="0" borderId="0" xfId="0" applyNumberFormat="1" applyFont="1" applyFill="1"/>
    <xf numFmtId="0" fontId="2" fillId="0" borderId="0" xfId="0" applyFont="1"/>
    <xf numFmtId="165" fontId="2" fillId="0" borderId="0" xfId="0" applyNumberFormat="1" applyFont="1"/>
    <xf numFmtId="164" fontId="0" fillId="0" borderId="0" xfId="1" applyNumberFormat="1" applyFont="1" applyBorder="1"/>
    <xf numFmtId="3" fontId="2" fillId="0" borderId="0" xfId="0" applyNumberFormat="1" applyFont="1"/>
    <xf numFmtId="0" fontId="0" fillId="0" borderId="0" xfId="0" applyAlignment="1">
      <alignment vertical="center"/>
    </xf>
    <xf numFmtId="4" fontId="0" fillId="0" borderId="0" xfId="0" applyNumberFormat="1"/>
    <xf numFmtId="0" fontId="11" fillId="0" borderId="0" xfId="2" applyFont="1" applyFill="1" applyBorder="1" applyAlignment="1" applyProtection="1">
      <alignment vertical="center" readingOrder="1"/>
    </xf>
    <xf numFmtId="0" fontId="12" fillId="0" borderId="0" xfId="2" applyFont="1" applyFill="1" applyBorder="1" applyAlignment="1" applyProtection="1">
      <alignment vertical="center" readingOrder="1"/>
    </xf>
    <xf numFmtId="165" fontId="13" fillId="0" borderId="0" xfId="0" applyNumberFormat="1" applyFont="1"/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Fill="1" applyAlignment="1">
      <alignment horizontal="center"/>
    </xf>
    <xf numFmtId="168" fontId="0" fillId="0" borderId="0" xfId="1" applyNumberFormat="1" applyFo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110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099041597073097E-2"/>
          <c:y val="2.2460859059284258E-2"/>
          <c:w val="0.49020122484689416"/>
          <c:h val="0.97753914094071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AF-4700-BE4F-0DE62FC83B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AF-4700-BE4F-0DE62FC83BB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AF-4700-BE4F-0DE62FC83BB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6AF-4700-BE4F-0DE62FC83BB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6AF-4700-BE4F-0DE62FC83BB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6AF-4700-BE4F-0DE62FC83BBE}"/>
              </c:ext>
            </c:extLst>
          </c:dPt>
          <c:dPt>
            <c:idx val="6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6AF-4700-BE4F-0DE62FC83BB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6AF-4700-BE4F-0DE62FC83BBE}"/>
              </c:ext>
            </c:extLst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6AF-4700-BE4F-0DE62FC83BBE}"/>
              </c:ext>
            </c:extLst>
          </c:dPt>
          <c:dLbls>
            <c:dLbl>
              <c:idx val="0"/>
              <c:layout>
                <c:manualLayout>
                  <c:x val="-0.15088535357359176"/>
                  <c:y val="0.112158519247594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6AF-4700-BE4F-0DE62FC83BB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6290032556026644E-2"/>
                  <c:y val="-0.148784175415573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6AF-4700-BE4F-0DE62FC83BB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4938042600444181E-2"/>
                  <c:y val="-0.12956310148731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6AF-4700-BE4F-0DE62FC83BB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7606564203513023E-2"/>
                  <c:y val="-9.5155293088363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6AF-4700-BE4F-0DE62FC83BB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820512820512821E-3"/>
                  <c:y val="2.2040135608048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6AF-4700-BE4F-0DE62FC83BB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048076923076924E-2"/>
                  <c:y val="4.5842902449693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6AF-4700-BE4F-0DE62FC83BB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393943695739954E-2"/>
                  <c:y val="6.4826388888888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6AF-4700-BE4F-0DE62FC83BB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6AF-4700-BE4F-0DE62FC83BB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941992226933538E-3"/>
                  <c:y val="1.8296697287839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16AF-4700-BE4F-0DE62FC83BB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Missione12_Programmi!$A$2:$A$10</c:f>
              <c:strCache>
                <c:ptCount val="9"/>
                <c:pt idx="0">
                  <c:v>Infanzia, minori, asili nido</c:v>
                </c:pt>
                <c:pt idx="1">
                  <c:v>Disabilità</c:v>
                </c:pt>
                <c:pt idx="2">
                  <c:v>Anziani</c:v>
                </c:pt>
                <c:pt idx="3">
                  <c:v>Soggetti a rischio esclusione sociale</c:v>
                </c:pt>
                <c:pt idx="4">
                  <c:v>Famiglie</c:v>
                </c:pt>
                <c:pt idx="5">
                  <c:v>Diritto alla casa</c:v>
                </c:pt>
                <c:pt idx="6">
                  <c:v>Rete dei servizi sociosanitari e sociali</c:v>
                </c:pt>
                <c:pt idx="7">
                  <c:v>Cooperazione e associazionismo</c:v>
                </c:pt>
                <c:pt idx="8">
                  <c:v>Servizio necroscopico e cimiteriale</c:v>
                </c:pt>
              </c:strCache>
            </c:strRef>
          </c:cat>
          <c:val>
            <c:numRef>
              <c:f>Missione12_Programmi!$B$2:$B$10</c:f>
              <c:numCache>
                <c:formatCode>#,##0</c:formatCode>
                <c:ptCount val="9"/>
                <c:pt idx="0">
                  <c:v>29737449.969999999</c:v>
                </c:pt>
                <c:pt idx="1">
                  <c:v>12415098.220000001</c:v>
                </c:pt>
                <c:pt idx="2">
                  <c:v>7027996.0899999999</c:v>
                </c:pt>
                <c:pt idx="3">
                  <c:v>7992120.2999999998</c:v>
                </c:pt>
                <c:pt idx="4">
                  <c:v>1472328.77</c:v>
                </c:pt>
                <c:pt idx="5">
                  <c:v>16520</c:v>
                </c:pt>
                <c:pt idx="6">
                  <c:v>6019567.1900000004</c:v>
                </c:pt>
                <c:pt idx="7">
                  <c:v>425627.89</c:v>
                </c:pt>
                <c:pt idx="8">
                  <c:v>154959.31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16AF-4700-BE4F-0DE62FC83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90536268193748"/>
          <c:y val="3.1215427490599516E-2"/>
          <c:w val="0.37732227126912166"/>
          <c:h val="0.9507174936466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76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85.591069766086861</c:v>
                </c:pt>
                <c:pt idx="1">
                  <c:v>89.7</c:v>
                </c:pt>
                <c:pt idx="2">
                  <c:v>81.75</c:v>
                </c:pt>
                <c:pt idx="3">
                  <c:v>80.97</c:v>
                </c:pt>
                <c:pt idx="4">
                  <c:v>86.15</c:v>
                </c:pt>
                <c:pt idx="5">
                  <c:v>84.342745607794456</c:v>
                </c:pt>
                <c:pt idx="6">
                  <c:v>88.939817700129652</c:v>
                </c:pt>
                <c:pt idx="7">
                  <c:v>89.445340245755716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86.995478131695037</c:v>
                </c:pt>
                <c:pt idx="1">
                  <c:v>88.55</c:v>
                </c:pt>
                <c:pt idx="2">
                  <c:v>87.91</c:v>
                </c:pt>
                <c:pt idx="3">
                  <c:v>87.02</c:v>
                </c:pt>
                <c:pt idx="4">
                  <c:v>88.22</c:v>
                </c:pt>
                <c:pt idx="5">
                  <c:v>87.230152585610952</c:v>
                </c:pt>
                <c:pt idx="6">
                  <c:v>86.754939198354947</c:v>
                </c:pt>
                <c:pt idx="7">
                  <c:v>88.606470403973915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77.308548763944501</c:v>
                </c:pt>
                <c:pt idx="1">
                  <c:v>74.98</c:v>
                </c:pt>
                <c:pt idx="2">
                  <c:v>83.86</c:v>
                </c:pt>
                <c:pt idx="3">
                  <c:v>66.88</c:v>
                </c:pt>
                <c:pt idx="4">
                  <c:v>76.459999999999994</c:v>
                </c:pt>
                <c:pt idx="5">
                  <c:v>72.70696735360913</c:v>
                </c:pt>
                <c:pt idx="6">
                  <c:v>58.622803616236482</c:v>
                </c:pt>
                <c:pt idx="7">
                  <c:v>67.984398041768074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90.870015386044926</c:v>
                </c:pt>
                <c:pt idx="1">
                  <c:v>88.93</c:v>
                </c:pt>
                <c:pt idx="2">
                  <c:v>86.57</c:v>
                </c:pt>
                <c:pt idx="3">
                  <c:v>87.26</c:v>
                </c:pt>
                <c:pt idx="4">
                  <c:v>78.8</c:v>
                </c:pt>
                <c:pt idx="5">
                  <c:v>83.920801201160572</c:v>
                </c:pt>
                <c:pt idx="6">
                  <c:v>80.031734378460158</c:v>
                </c:pt>
                <c:pt idx="7">
                  <c:v>84.362485525510422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726112"/>
        <c:axId val="1657726656"/>
      </c:lineChart>
      <c:catAx>
        <c:axId val="165772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57726656"/>
        <c:crosses val="autoZero"/>
        <c:auto val="1"/>
        <c:lblAlgn val="ctr"/>
        <c:lblOffset val="100"/>
        <c:noMultiLvlLbl val="0"/>
      </c:catAx>
      <c:valAx>
        <c:axId val="1657726656"/>
        <c:scaling>
          <c:orientation val="minMax"/>
          <c:max val="92"/>
          <c:min val="5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65772611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79E-2"/>
          <c:y val="0"/>
          <c:w val="0.95679921453118599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5.7257371886630408E-3"/>
                  <c:y val="-8.8156960701811834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07-4509-B496-BAD7523FC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6342411106427328E-3"/>
                  <c:y val="-8.8156960701811834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07-4509-B496-BAD7523FC456}"/>
                </c:ext>
                <c:ext xmlns:c15="http://schemas.microsoft.com/office/drawing/2012/chart" uri="{CE6537A1-D6FC-4f65-9D91-7224C49458BB}">
                  <c15:layout>
                    <c:manualLayout>
                      <c:w val="5.2075654871798334E-2"/>
                      <c:h val="8.1130986728216961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5428953144383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07-4509-B496-BAD7523FC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7257371886630408E-3"/>
                  <c:y val="-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07-4509-B496-BAD7523FC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7257371886630408E-3"/>
                  <c:y val="-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07-4509-B496-BAD7523FC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54289531443854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07-4509-B496-BAD7523FC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818360333824395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07-4509-B496-BAD7523FC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7257371886630408E-3"/>
                  <c:y val="1.1540680900173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322.08999999999997</c:v>
                </c:pt>
                <c:pt idx="1">
                  <c:v>317.42</c:v>
                </c:pt>
                <c:pt idx="2">
                  <c:v>327.20999999999998</c:v>
                </c:pt>
                <c:pt idx="3">
                  <c:v>308.43</c:v>
                </c:pt>
                <c:pt idx="4">
                  <c:v>299.7</c:v>
                </c:pt>
                <c:pt idx="5">
                  <c:v>300.33999999999997</c:v>
                </c:pt>
                <c:pt idx="6">
                  <c:v>318.73</c:v>
                </c:pt>
                <c:pt idx="7">
                  <c:v>321.93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723392"/>
        <c:axId val="1657723936"/>
      </c:barChart>
      <c:catAx>
        <c:axId val="165772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57723936"/>
        <c:crosses val="autoZero"/>
        <c:auto val="1"/>
        <c:lblAlgn val="ctr"/>
        <c:lblOffset val="100"/>
        <c:noMultiLvlLbl val="0"/>
      </c:catAx>
      <c:valAx>
        <c:axId val="1657723936"/>
        <c:scaling>
          <c:orientation val="minMax"/>
          <c:max val="4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65772339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663497223167746E-2"/>
          <c:y val="6.4783506216368081E-2"/>
          <c:w val="0.98733650277683216"/>
          <c:h val="0.748783912109082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-7.63431625155072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151-4396-AEFD-2920D4C6897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5428953144383998E-3"/>
                  <c:y val="7.69378726678207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151-4396-AEFD-2920D4C6897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7257371886631804E-3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63431625155072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59.14</c:v>
                </c:pt>
                <c:pt idx="1">
                  <c:v>63.94</c:v>
                </c:pt>
                <c:pt idx="2">
                  <c:v>70.56</c:v>
                </c:pt>
                <c:pt idx="3">
                  <c:v>93.96</c:v>
                </c:pt>
                <c:pt idx="4">
                  <c:v>144.44999999999999</c:v>
                </c:pt>
                <c:pt idx="5">
                  <c:v>115.59</c:v>
                </c:pt>
                <c:pt idx="6">
                  <c:v>184.95</c:v>
                </c:pt>
                <c:pt idx="7">
                  <c:v>203.64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4"/>
              <c:layout>
                <c:manualLayout>
                  <c:x val="-1.3996084777210643E-16"/>
                  <c:y val="1.1540680900173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B5D-4E5E-8866-4FCDAC1FDDC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725568"/>
        <c:axId val="1657722304"/>
      </c:barChart>
      <c:catAx>
        <c:axId val="165772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57722304"/>
        <c:crosses val="autoZero"/>
        <c:auto val="1"/>
        <c:lblAlgn val="ctr"/>
        <c:lblOffset val="100"/>
        <c:noMultiLvlLbl val="0"/>
      </c:catAx>
      <c:valAx>
        <c:axId val="1657722304"/>
        <c:scaling>
          <c:orientation val="minMax"/>
          <c:max val="32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65772556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408E-2"/>
          <c:y val="0"/>
          <c:w val="0.95679921453118666"/>
          <c:h val="0.86158221912011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-23</c:v>
                </c:pt>
                <c:pt idx="1">
                  <c:v>-21</c:v>
                </c:pt>
                <c:pt idx="2">
                  <c:v>-25</c:v>
                </c:pt>
                <c:pt idx="3">
                  <c:v>-24</c:v>
                </c:pt>
                <c:pt idx="4">
                  <c:v>-23</c:v>
                </c:pt>
                <c:pt idx="5">
                  <c:v>-22</c:v>
                </c:pt>
                <c:pt idx="6">
                  <c:v>-22</c:v>
                </c:pt>
                <c:pt idx="7">
                  <c:v>-21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721760"/>
        <c:axId val="1657724480"/>
      </c:barChart>
      <c:catAx>
        <c:axId val="16577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57724480"/>
        <c:crosses val="autoZero"/>
        <c:auto val="1"/>
        <c:lblAlgn val="ctr"/>
        <c:lblOffset val="100"/>
        <c:noMultiLvlLbl val="0"/>
      </c:catAx>
      <c:valAx>
        <c:axId val="1657724480"/>
        <c:scaling>
          <c:orientation val="minMax"/>
          <c:max val="50"/>
          <c:min val="-30"/>
        </c:scaling>
        <c:delete val="1"/>
        <c:axPos val="l"/>
        <c:numFmt formatCode="0" sourceLinked="0"/>
        <c:majorTickMark val="none"/>
        <c:minorTickMark val="none"/>
        <c:tickLblPos val="none"/>
        <c:crossAx val="165772176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93E-2"/>
          <c:y val="5.2519758973790263E-2"/>
          <c:w val="0.95679921453118666"/>
          <c:h val="0.74996739492070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2902948754652163E-2"/>
                  <c:y val="3.91466040321002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29-4B49-8B21-AF6AEBEFD2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7177211565989156E-2"/>
                  <c:y val="3.91466040321002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29-4B49-8B21-AF6AEBEFD2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77211565989121E-2"/>
                  <c:y val="3.91466040320998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29-4B49-8B21-AF6AEBEFD2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1451474377326151E-2"/>
                  <c:y val="-3.58839724947128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29-4B49-8B21-AF6AEBEFD2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2686325031014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29-4B49-8B21-AF6AEBEFD2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451474377326082E-2"/>
                  <c:y val="7.829320806420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29-4B49-8B21-AF6AEBEFD2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857906288769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961-42BE-A769-BA5A2B150CC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2902948754652163E-2"/>
                  <c:y val="3.91466040321002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1434.7413127741388</c:v>
                </c:pt>
                <c:pt idx="1">
                  <c:v>1386.0826905845279</c:v>
                </c:pt>
                <c:pt idx="2">
                  <c:v>1328.9969512389466</c:v>
                </c:pt>
                <c:pt idx="3">
                  <c:v>1276.9000000000001</c:v>
                </c:pt>
                <c:pt idx="4">
                  <c:v>1252.24</c:v>
                </c:pt>
                <c:pt idx="5">
                  <c:v>1225.05</c:v>
                </c:pt>
                <c:pt idx="6">
                  <c:v>1198.8800000000001</c:v>
                </c:pt>
                <c:pt idx="7">
                  <c:v>1159.6400000000001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728832"/>
        <c:axId val="1657727200"/>
      </c:barChart>
      <c:catAx>
        <c:axId val="165772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57727200"/>
        <c:crosses val="autoZero"/>
        <c:auto val="1"/>
        <c:lblAlgn val="ctr"/>
        <c:lblOffset val="100"/>
        <c:noMultiLvlLbl val="0"/>
      </c:catAx>
      <c:valAx>
        <c:axId val="1657727200"/>
        <c:scaling>
          <c:orientation val="minMax"/>
          <c:max val="18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657728832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7944588737157492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255643</c:v>
                </c:pt>
                <c:pt idx="1">
                  <c:v>256049</c:v>
                </c:pt>
                <c:pt idx="2">
                  <c:v>255985</c:v>
                </c:pt>
                <c:pt idx="3">
                  <c:v>258031</c:v>
                </c:pt>
                <c:pt idx="4">
                  <c:v>259087</c:v>
                </c:pt>
                <c:pt idx="5">
                  <c:v>258584</c:v>
                </c:pt>
                <c:pt idx="6">
                  <c:v>257845</c:v>
                </c:pt>
                <c:pt idx="7">
                  <c:v>257702</c:v>
                </c:pt>
                <c:pt idx="8">
                  <c:v>257912</c:v>
                </c:pt>
                <c:pt idx="9">
                  <c:v>257950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727744"/>
        <c:axId val="1657728288"/>
      </c:barChart>
      <c:catAx>
        <c:axId val="1657727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657728288"/>
        <c:crosses val="autoZero"/>
        <c:auto val="1"/>
        <c:lblAlgn val="ctr"/>
        <c:lblOffset val="100"/>
        <c:noMultiLvlLbl val="0"/>
      </c:catAx>
      <c:valAx>
        <c:axId val="1657728288"/>
        <c:scaling>
          <c:orientation val="minMax"/>
          <c:max val="30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1657727744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2230057669705"/>
          <c:y val="3.8314176245210725E-2"/>
          <c:w val="0.87070933128718542"/>
          <c:h val="0.745340178872625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Missione12_Programmi!$A$106</c:f>
              <c:strCache>
                <c:ptCount val="1"/>
                <c:pt idx="0">
                  <c:v>Infanzia, minori, asili nido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Missione12_Programmi!$B$106:$I$106</c:f>
              <c:numCache>
                <c:formatCode>#,##0</c:formatCode>
                <c:ptCount val="8"/>
                <c:pt idx="0">
                  <c:v>18711343.66</c:v>
                </c:pt>
                <c:pt idx="1">
                  <c:v>18794207.859999999</c:v>
                </c:pt>
                <c:pt idx="2">
                  <c:v>18967515.07</c:v>
                </c:pt>
                <c:pt idx="3">
                  <c:v>19346446.48</c:v>
                </c:pt>
                <c:pt idx="4">
                  <c:v>20569508.75</c:v>
                </c:pt>
                <c:pt idx="5">
                  <c:v>19430373.5</c:v>
                </c:pt>
                <c:pt idx="6">
                  <c:v>26017176.140000001</c:v>
                </c:pt>
                <c:pt idx="7">
                  <c:v>29737449.969999999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8C-4EB7-9F90-5A23245247E3}"/>
            </c:ext>
          </c:extLst>
        </c:ser>
        <c:ser>
          <c:idx val="1"/>
          <c:order val="1"/>
          <c:tx>
            <c:strRef>
              <c:f>Missione12_Programmi!$A$107</c:f>
              <c:strCache>
                <c:ptCount val="1"/>
                <c:pt idx="0">
                  <c:v>Disabilità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Missione12_Programmi!$B$107:$I$107</c:f>
              <c:numCache>
                <c:formatCode>#,##0</c:formatCode>
                <c:ptCount val="8"/>
                <c:pt idx="0">
                  <c:v>9813449.5899999999</c:v>
                </c:pt>
                <c:pt idx="1">
                  <c:v>10568502.880000001</c:v>
                </c:pt>
                <c:pt idx="2">
                  <c:v>10298307.949999999</c:v>
                </c:pt>
                <c:pt idx="3">
                  <c:v>12583758.050000001</c:v>
                </c:pt>
                <c:pt idx="4">
                  <c:v>12682666.880000001</c:v>
                </c:pt>
                <c:pt idx="5">
                  <c:v>12196338.92</c:v>
                </c:pt>
                <c:pt idx="6">
                  <c:v>11380345.43</c:v>
                </c:pt>
                <c:pt idx="7">
                  <c:v>12415098.220000001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8C-4EB7-9F90-5A23245247E3}"/>
            </c:ext>
          </c:extLst>
        </c:ser>
        <c:ser>
          <c:idx val="3"/>
          <c:order val="2"/>
          <c:tx>
            <c:strRef>
              <c:f>Missione12_Programmi!$A$108</c:f>
              <c:strCache>
                <c:ptCount val="1"/>
                <c:pt idx="0">
                  <c:v>Soggetti a rischio esclusione sociale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Missione12_Programmi!$B$108:$I$108</c:f>
              <c:numCache>
                <c:formatCode>#,##0</c:formatCode>
                <c:ptCount val="8"/>
                <c:pt idx="0">
                  <c:v>2664155.11</c:v>
                </c:pt>
                <c:pt idx="1">
                  <c:v>3092985.56</c:v>
                </c:pt>
                <c:pt idx="2">
                  <c:v>5096684.42</c:v>
                </c:pt>
                <c:pt idx="3">
                  <c:v>4529465.1500000004</c:v>
                </c:pt>
                <c:pt idx="4">
                  <c:v>4774230.5199999996</c:v>
                </c:pt>
                <c:pt idx="5">
                  <c:v>7278397.3700000001</c:v>
                </c:pt>
                <c:pt idx="6">
                  <c:v>8621138.5099999998</c:v>
                </c:pt>
                <c:pt idx="7">
                  <c:v>7992120.2999999998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8C-4EB7-9F90-5A23245247E3}"/>
            </c:ext>
          </c:extLst>
        </c:ser>
        <c:ser>
          <c:idx val="6"/>
          <c:order val="3"/>
          <c:tx>
            <c:strRef>
              <c:f>Missione12_Programmi!$A$109</c:f>
              <c:strCache>
                <c:ptCount val="1"/>
                <c:pt idx="0">
                  <c:v>Rete dei servizi sociosanitari e sociali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Missione12_Programmi!$B$109:$I$109</c:f>
              <c:numCache>
                <c:formatCode>#,##0</c:formatCode>
                <c:ptCount val="8"/>
                <c:pt idx="0">
                  <c:v>6057204.7999999998</c:v>
                </c:pt>
                <c:pt idx="1">
                  <c:v>6215099.3499999996</c:v>
                </c:pt>
                <c:pt idx="2">
                  <c:v>6213088.2999999998</c:v>
                </c:pt>
                <c:pt idx="3">
                  <c:v>6205382.6799999997</c:v>
                </c:pt>
                <c:pt idx="4">
                  <c:v>5524868.2300000004</c:v>
                </c:pt>
                <c:pt idx="5">
                  <c:v>5836870</c:v>
                </c:pt>
                <c:pt idx="6">
                  <c:v>6586509.7999999998</c:v>
                </c:pt>
                <c:pt idx="7">
                  <c:v>6019567.1900000004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78C-4EB7-9F90-5A23245247E3}"/>
            </c:ext>
          </c:extLst>
        </c:ser>
        <c:ser>
          <c:idx val="2"/>
          <c:order val="4"/>
          <c:tx>
            <c:strRef>
              <c:f>Missione12_Programmi!$A$110</c:f>
              <c:strCache>
                <c:ptCount val="1"/>
                <c:pt idx="0">
                  <c:v>Anziani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Missione12_Programmi!$B$110:$I$110</c:f>
              <c:numCache>
                <c:formatCode>#,##0</c:formatCode>
                <c:ptCount val="8"/>
                <c:pt idx="0">
                  <c:v>7535423.5899999999</c:v>
                </c:pt>
                <c:pt idx="1">
                  <c:v>7530866.9299999997</c:v>
                </c:pt>
                <c:pt idx="2">
                  <c:v>6859551.54</c:v>
                </c:pt>
                <c:pt idx="3">
                  <c:v>6272634.6399999997</c:v>
                </c:pt>
                <c:pt idx="4">
                  <c:v>5620090</c:v>
                </c:pt>
                <c:pt idx="5">
                  <c:v>5823981.9299999997</c:v>
                </c:pt>
                <c:pt idx="6">
                  <c:v>6379360.3099999996</c:v>
                </c:pt>
                <c:pt idx="7">
                  <c:v>7027996.0899999999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78C-4EB7-9F90-5A23245247E3}"/>
            </c:ext>
          </c:extLst>
        </c:ser>
        <c:ser>
          <c:idx val="5"/>
          <c:order val="5"/>
          <c:tx>
            <c:strRef>
              <c:f>Missione12_Programmi!$A$111</c:f>
              <c:strCache>
                <c:ptCount val="1"/>
                <c:pt idx="0">
                  <c:v>Diritto alla casa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Missione12_Programmi!$B$111:$I$111</c:f>
              <c:numCache>
                <c:formatCode>#,##0</c:formatCode>
                <c:ptCount val="8"/>
                <c:pt idx="0">
                  <c:v>1030461.29</c:v>
                </c:pt>
                <c:pt idx="1">
                  <c:v>1246207.26</c:v>
                </c:pt>
                <c:pt idx="2">
                  <c:v>1077835.17</c:v>
                </c:pt>
                <c:pt idx="3">
                  <c:v>1185400.93</c:v>
                </c:pt>
                <c:pt idx="4">
                  <c:v>1647543.97</c:v>
                </c:pt>
                <c:pt idx="5">
                  <c:v>2285843.52</c:v>
                </c:pt>
                <c:pt idx="6">
                  <c:v>4570241.37</c:v>
                </c:pt>
                <c:pt idx="7">
                  <c:v>16520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78C-4EB7-9F90-5A23245247E3}"/>
            </c:ext>
          </c:extLst>
        </c:ser>
        <c:ser>
          <c:idx val="4"/>
          <c:order val="6"/>
          <c:tx>
            <c:strRef>
              <c:f>Missione12_Programmi!$A$112</c:f>
              <c:strCache>
                <c:ptCount val="1"/>
                <c:pt idx="0">
                  <c:v>Famiglie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Missione12_Programmi!$B$112:$I$112</c:f>
              <c:numCache>
                <c:formatCode>#,##0</c:formatCode>
                <c:ptCount val="8"/>
                <c:pt idx="0">
                  <c:v>962633.62</c:v>
                </c:pt>
                <c:pt idx="1">
                  <c:v>937962.81</c:v>
                </c:pt>
                <c:pt idx="2">
                  <c:v>2139422.9900000002</c:v>
                </c:pt>
                <c:pt idx="3">
                  <c:v>1090845.3500000001</c:v>
                </c:pt>
                <c:pt idx="4">
                  <c:v>2636872.59</c:v>
                </c:pt>
                <c:pt idx="5">
                  <c:v>2839150.49</c:v>
                </c:pt>
                <c:pt idx="6">
                  <c:v>4201324.47</c:v>
                </c:pt>
                <c:pt idx="7">
                  <c:v>1472328.77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78C-4EB7-9F90-5A23245247E3}"/>
            </c:ext>
          </c:extLst>
        </c:ser>
        <c:ser>
          <c:idx val="7"/>
          <c:order val="7"/>
          <c:tx>
            <c:strRef>
              <c:f>Missione12_Programmi!$A$113</c:f>
              <c:strCache>
                <c:ptCount val="1"/>
                <c:pt idx="0">
                  <c:v>Cooperazione e associazionismo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Missione12_Programmi!$B$113:$I$113</c:f>
              <c:numCache>
                <c:formatCode>#,##0</c:formatCode>
                <c:ptCount val="8"/>
                <c:pt idx="0">
                  <c:v>148871.71</c:v>
                </c:pt>
                <c:pt idx="1">
                  <c:v>256498.72</c:v>
                </c:pt>
                <c:pt idx="2">
                  <c:v>336397.44</c:v>
                </c:pt>
                <c:pt idx="3">
                  <c:v>372292.97</c:v>
                </c:pt>
                <c:pt idx="4">
                  <c:v>310766.18</c:v>
                </c:pt>
                <c:pt idx="5">
                  <c:v>383999.92</c:v>
                </c:pt>
                <c:pt idx="6">
                  <c:v>392636.93</c:v>
                </c:pt>
                <c:pt idx="7">
                  <c:v>425627.89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78C-4EB7-9F90-5A23245247E3}"/>
            </c:ext>
          </c:extLst>
        </c:ser>
        <c:ser>
          <c:idx val="8"/>
          <c:order val="8"/>
          <c:tx>
            <c:strRef>
              <c:f>Missione12_Programmi!$A$114</c:f>
              <c:strCache>
                <c:ptCount val="1"/>
                <c:pt idx="0">
                  <c:v>Servizio necroscopico e cimiteriale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Missione12_Programmi!$B$114:$I$114</c:f>
              <c:numCache>
                <c:formatCode>#,##0</c:formatCode>
                <c:ptCount val="8"/>
                <c:pt idx="0">
                  <c:v>33884.29</c:v>
                </c:pt>
                <c:pt idx="1">
                  <c:v>30360.76</c:v>
                </c:pt>
                <c:pt idx="2">
                  <c:v>28660.34</c:v>
                </c:pt>
                <c:pt idx="3">
                  <c:v>26865.11</c:v>
                </c:pt>
                <c:pt idx="4">
                  <c:v>22202.63</c:v>
                </c:pt>
                <c:pt idx="5">
                  <c:v>18775.759999999998</c:v>
                </c:pt>
                <c:pt idx="6">
                  <c:v>19580.96</c:v>
                </c:pt>
                <c:pt idx="7">
                  <c:v>154959.31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78C-4EB7-9F90-5A2324524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1856"/>
        <c:axId val="1064539136"/>
      </c:barChart>
      <c:catAx>
        <c:axId val="106454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39136"/>
        <c:crosses val="autoZero"/>
        <c:auto val="1"/>
        <c:lblAlgn val="ctr"/>
        <c:lblOffset val="100"/>
        <c:noMultiLvlLbl val="0"/>
      </c:catAx>
      <c:valAx>
        <c:axId val="1064539136"/>
        <c:scaling>
          <c:orientation val="minMax"/>
          <c:max val="7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1856"/>
        <c:crosses val="autoZero"/>
        <c:crossBetween val="between"/>
        <c:majorUnit val="200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046750826680301E-2"/>
          <c:y val="0.85327288634375253"/>
          <c:w val="0.95810603430951646"/>
          <c:h val="0.125828472067950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2785012151657"/>
          <c:y val="7.0250070464142736E-2"/>
          <c:w val="0.87339817056814484"/>
          <c:h val="0.78190501895161757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Risultato_amministrazione!$B$3:$J$3</c:f>
              <c:numCache>
                <c:formatCode>#,##0</c:formatCode>
                <c:ptCount val="9"/>
                <c:pt idx="0">
                  <c:v>115654008.51000001</c:v>
                </c:pt>
                <c:pt idx="1">
                  <c:v>117328429.76000001</c:v>
                </c:pt>
                <c:pt idx="2">
                  <c:v>120653864.03</c:v>
                </c:pt>
                <c:pt idx="3">
                  <c:v>128597668.11</c:v>
                </c:pt>
                <c:pt idx="4">
                  <c:v>132857915.34</c:v>
                </c:pt>
                <c:pt idx="5">
                  <c:v>121421670.34</c:v>
                </c:pt>
                <c:pt idx="6">
                  <c:v>145748674.94999999</c:v>
                </c:pt>
                <c:pt idx="7">
                  <c:v>176792264.25999999</c:v>
                </c:pt>
                <c:pt idx="8">
                  <c:v>189000362.99000001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Risultato_amministrazione!$B$4:$J$4</c:f>
              <c:numCache>
                <c:formatCode>#,##0</c:formatCode>
                <c:ptCount val="9"/>
                <c:pt idx="0">
                  <c:v>56224096.310000002</c:v>
                </c:pt>
                <c:pt idx="1">
                  <c:v>54934550.159999996</c:v>
                </c:pt>
                <c:pt idx="2">
                  <c:v>65198794.5</c:v>
                </c:pt>
                <c:pt idx="3">
                  <c:v>59392957.149999999</c:v>
                </c:pt>
                <c:pt idx="4">
                  <c:v>69109456.920000002</c:v>
                </c:pt>
                <c:pt idx="5">
                  <c:v>82721509.359999999</c:v>
                </c:pt>
                <c:pt idx="6">
                  <c:v>83171847.870000005</c:v>
                </c:pt>
                <c:pt idx="7">
                  <c:v>108855900.64</c:v>
                </c:pt>
                <c:pt idx="8">
                  <c:v>117319608.56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39680"/>
        <c:axId val="1064541312"/>
      </c:lineChart>
      <c:catAx>
        <c:axId val="106453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41312"/>
        <c:crosses val="autoZero"/>
        <c:auto val="1"/>
        <c:lblAlgn val="ctr"/>
        <c:lblOffset val="100"/>
        <c:noMultiLvlLbl val="0"/>
      </c:catAx>
      <c:valAx>
        <c:axId val="1064541312"/>
        <c:scaling>
          <c:orientation val="minMax"/>
          <c:max val="20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064539680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Risultato_amministrazione!$B$3:$J$3</c:f>
              <c:numCache>
                <c:formatCode>#,##0</c:formatCode>
                <c:ptCount val="9"/>
                <c:pt idx="0">
                  <c:v>115654008.51000001</c:v>
                </c:pt>
                <c:pt idx="1">
                  <c:v>117328429.76000001</c:v>
                </c:pt>
                <c:pt idx="2">
                  <c:v>120653864.03</c:v>
                </c:pt>
                <c:pt idx="3">
                  <c:v>128597668.11</c:v>
                </c:pt>
                <c:pt idx="4">
                  <c:v>132857915.34</c:v>
                </c:pt>
                <c:pt idx="5">
                  <c:v>121421670.34</c:v>
                </c:pt>
                <c:pt idx="6">
                  <c:v>145748674.94999999</c:v>
                </c:pt>
                <c:pt idx="7">
                  <c:v>176792264.25999999</c:v>
                </c:pt>
                <c:pt idx="8">
                  <c:v>189000362.99000001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Risultato_amministrazione!$B$8:$J$8</c:f>
              <c:numCache>
                <c:formatCode>#,##0</c:formatCode>
                <c:ptCount val="9"/>
                <c:pt idx="0">
                  <c:v>26579145.109999999</c:v>
                </c:pt>
                <c:pt idx="1">
                  <c:v>36660651.57</c:v>
                </c:pt>
                <c:pt idx="2">
                  <c:v>44169119.960000001</c:v>
                </c:pt>
                <c:pt idx="3">
                  <c:v>47750754.659999996</c:v>
                </c:pt>
                <c:pt idx="4">
                  <c:v>54162855.689999998</c:v>
                </c:pt>
                <c:pt idx="5">
                  <c:v>68103509.069999993</c:v>
                </c:pt>
                <c:pt idx="6">
                  <c:v>68904226.200000003</c:v>
                </c:pt>
                <c:pt idx="7">
                  <c:v>69779139.379999995</c:v>
                </c:pt>
                <c:pt idx="8">
                  <c:v>75764524.709999993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4544576"/>
        <c:axId val="1064538048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Risultato_amministrazione!$B$23:$J$23</c:f>
              <c:numCache>
                <c:formatCode>0.0</c:formatCode>
                <c:ptCount val="9"/>
                <c:pt idx="0">
                  <c:v>22.98160301785116</c:v>
                </c:pt>
                <c:pt idx="1">
                  <c:v>31.246179331804601</c:v>
                </c:pt>
                <c:pt idx="2">
                  <c:v>36.608127153737541</c:v>
                </c:pt>
                <c:pt idx="3">
                  <c:v>37.131897772170262</c:v>
                </c:pt>
                <c:pt idx="4">
                  <c:v>40.767503803887394</c:v>
                </c:pt>
                <c:pt idx="5">
                  <c:v>56.088430408920686</c:v>
                </c:pt>
                <c:pt idx="6">
                  <c:v>47.276056693920573</c:v>
                </c:pt>
                <c:pt idx="7">
                  <c:v>39.469565974549162</c:v>
                </c:pt>
                <c:pt idx="8">
                  <c:v>40.086973120791669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42400"/>
        <c:axId val="1064543488"/>
      </c:lineChart>
      <c:catAx>
        <c:axId val="106454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38048"/>
        <c:crosses val="autoZero"/>
        <c:auto val="1"/>
        <c:lblAlgn val="ctr"/>
        <c:lblOffset val="100"/>
        <c:noMultiLvlLbl val="0"/>
      </c:catAx>
      <c:valAx>
        <c:axId val="10645380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4576"/>
        <c:crosses val="autoZero"/>
        <c:crossBetween val="between"/>
      </c:valAx>
      <c:valAx>
        <c:axId val="1064543488"/>
        <c:scaling>
          <c:orientation val="minMax"/>
          <c:max val="60"/>
          <c:min val="2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2400"/>
        <c:crosses val="max"/>
        <c:crossBetween val="between"/>
        <c:majorUnit val="10"/>
      </c:valAx>
      <c:catAx>
        <c:axId val="1064542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645434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85879782268599E-2"/>
          <c:y val="1.9227107776283548E-2"/>
          <c:w val="0.84096263324446807"/>
          <c:h val="0.980772892223716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6857051405159852E-2"/>
                  <c:y val="3.86473429951698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4C-495F-B15D-D33E7469ECD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1963655837855647E-2"/>
                  <c:y val="3.864734299516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Conto_economico!$C$1:$L$1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Conto_economico!$C$28:$L$28</c:f>
              <c:numCache>
                <c:formatCode>#,##0</c:formatCode>
                <c:ptCount val="10"/>
                <c:pt idx="0">
                  <c:v>812394.08000000194</c:v>
                </c:pt>
                <c:pt idx="1">
                  <c:v>29047802.799999982</c:v>
                </c:pt>
                <c:pt idx="2">
                  <c:v>38114636.360000029</c:v>
                </c:pt>
                <c:pt idx="3">
                  <c:v>18726585.209999997</c:v>
                </c:pt>
                <c:pt idx="4">
                  <c:v>13519268.470000006</c:v>
                </c:pt>
                <c:pt idx="5">
                  <c:v>22557308.489999995</c:v>
                </c:pt>
                <c:pt idx="6">
                  <c:v>21716773.729999993</c:v>
                </c:pt>
                <c:pt idx="7">
                  <c:v>33099571.01000005</c:v>
                </c:pt>
                <c:pt idx="8">
                  <c:v>18034036.12000002</c:v>
                </c:pt>
                <c:pt idx="9">
                  <c:v>48826779.659999937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542944"/>
        <c:axId val="1064538592"/>
      </c:barChart>
      <c:catAx>
        <c:axId val="1064542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064538592"/>
        <c:crosses val="autoZero"/>
        <c:auto val="1"/>
        <c:lblAlgn val="ctr"/>
        <c:lblOffset val="100"/>
        <c:noMultiLvlLbl val="0"/>
      </c:catAx>
      <c:valAx>
        <c:axId val="1064538592"/>
        <c:scaling>
          <c:orientation val="minMax"/>
          <c:max val="50000000"/>
          <c:min val="0"/>
        </c:scaling>
        <c:delete val="1"/>
        <c:axPos val="b"/>
        <c:numFmt formatCode="#,##0" sourceLinked="1"/>
        <c:majorTickMark val="out"/>
        <c:minorTickMark val="none"/>
        <c:tickLblPos val="nextTo"/>
        <c:crossAx val="1064542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Stato_patrimoniale!$B$21:$J$21</c:f>
              <c:numCache>
                <c:formatCode>#,##0</c:formatCode>
                <c:ptCount val="9"/>
                <c:pt idx="0">
                  <c:v>384993111.13999999</c:v>
                </c:pt>
                <c:pt idx="1">
                  <c:v>371260835.80000001</c:v>
                </c:pt>
                <c:pt idx="2">
                  <c:v>356712538.67000002</c:v>
                </c:pt>
                <c:pt idx="3">
                  <c:v>341917690.63</c:v>
                </c:pt>
                <c:pt idx="4">
                  <c:v>331719240.94999999</c:v>
                </c:pt>
                <c:pt idx="5">
                  <c:v>323940503.72000003</c:v>
                </c:pt>
                <c:pt idx="6">
                  <c:v>316321892.69999999</c:v>
                </c:pt>
                <c:pt idx="7">
                  <c:v>309207973.73000002</c:v>
                </c:pt>
                <c:pt idx="8">
                  <c:v>298288896.70999998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Stato_patrimoniale!$B$22:$J$22</c:f>
              <c:numCache>
                <c:formatCode>#,##0</c:formatCode>
                <c:ptCount val="9"/>
                <c:pt idx="0">
                  <c:v>31889910.239999998</c:v>
                </c:pt>
                <c:pt idx="1">
                  <c:v>27865520.440000001</c:v>
                </c:pt>
                <c:pt idx="2">
                  <c:v>33913405.729999997</c:v>
                </c:pt>
                <c:pt idx="3">
                  <c:v>37325455.310000002</c:v>
                </c:pt>
                <c:pt idx="4">
                  <c:v>48555901.840000004</c:v>
                </c:pt>
                <c:pt idx="5">
                  <c:v>50363111.799999997</c:v>
                </c:pt>
                <c:pt idx="6">
                  <c:v>53037002.840000004</c:v>
                </c:pt>
                <c:pt idx="7">
                  <c:v>62810879.060000002</c:v>
                </c:pt>
                <c:pt idx="8">
                  <c:v>65125396.469999999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Stato_patrimoniale!$B$23:$J$23</c:f>
              <c:numCache>
                <c:formatCode>#,##0</c:formatCode>
                <c:ptCount val="9"/>
                <c:pt idx="0">
                  <c:v>5123943.5999999996</c:v>
                </c:pt>
                <c:pt idx="1">
                  <c:v>8740588.1699999999</c:v>
                </c:pt>
                <c:pt idx="2">
                  <c:v>10468769.85</c:v>
                </c:pt>
                <c:pt idx="3">
                  <c:v>8357557.8899999997</c:v>
                </c:pt>
                <c:pt idx="4">
                  <c:v>8033655.3300000001</c:v>
                </c:pt>
                <c:pt idx="5">
                  <c:v>16426709.050000001</c:v>
                </c:pt>
                <c:pt idx="6">
                  <c:v>13620842.68</c:v>
                </c:pt>
                <c:pt idx="7">
                  <c:v>23659476.059999999</c:v>
                </c:pt>
                <c:pt idx="8">
                  <c:v>20077458.539999999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Stato_patrimoniale!$B$24:$J$24</c:f>
              <c:numCache>
                <c:formatCode>#,##0</c:formatCode>
                <c:ptCount val="9"/>
                <c:pt idx="0">
                  <c:v>11769168.51</c:v>
                </c:pt>
                <c:pt idx="1">
                  <c:v>12878872.01</c:v>
                </c:pt>
                <c:pt idx="2">
                  <c:v>20816618.920000002</c:v>
                </c:pt>
                <c:pt idx="3">
                  <c:v>13709943.949999999</c:v>
                </c:pt>
                <c:pt idx="4">
                  <c:v>12519899.75</c:v>
                </c:pt>
                <c:pt idx="5">
                  <c:v>15931688.51</c:v>
                </c:pt>
                <c:pt idx="6">
                  <c:v>18032510.350000001</c:v>
                </c:pt>
                <c:pt idx="7">
                  <c:v>20885545.52</c:v>
                </c:pt>
                <c:pt idx="8">
                  <c:v>29298534.949999999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0768"/>
        <c:axId val="1446372800"/>
      </c:barChart>
      <c:catAx>
        <c:axId val="106454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46372800"/>
        <c:crosses val="autoZero"/>
        <c:auto val="1"/>
        <c:lblAlgn val="ctr"/>
        <c:lblOffset val="100"/>
        <c:noMultiLvlLbl val="0"/>
      </c:catAx>
      <c:valAx>
        <c:axId val="1446372800"/>
        <c:scaling>
          <c:orientation val="minMax"/>
          <c:max val="45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064540768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667982447076541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Stato_patrimoniale!$B$14:$J$14</c:f>
              <c:numCache>
                <c:formatCode>#,##0</c:formatCode>
                <c:ptCount val="9"/>
                <c:pt idx="0">
                  <c:v>720832274.59000003</c:v>
                </c:pt>
                <c:pt idx="1">
                  <c:v>720832274.59000003</c:v>
                </c:pt>
                <c:pt idx="2">
                  <c:v>186970.22</c:v>
                </c:pt>
                <c:pt idx="3">
                  <c:v>18104908.809999999</c:v>
                </c:pt>
                <c:pt idx="4">
                  <c:v>44297523.579999998</c:v>
                </c:pt>
                <c:pt idx="5">
                  <c:v>44297523.579999998</c:v>
                </c:pt>
                <c:pt idx="6">
                  <c:v>44297523.579999998</c:v>
                </c:pt>
                <c:pt idx="7">
                  <c:v>44297523.579999998</c:v>
                </c:pt>
                <c:pt idx="8">
                  <c:v>44297523.579999998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Stato_patrimoniale!$B$15:$J$15</c:f>
              <c:numCache>
                <c:formatCode>#,##0</c:formatCode>
                <c:ptCount val="9"/>
                <c:pt idx="0">
                  <c:v>62317567.359999999</c:v>
                </c:pt>
                <c:pt idx="1">
                  <c:v>98181420.299999997</c:v>
                </c:pt>
                <c:pt idx="2">
                  <c:v>1196524787.52</c:v>
                </c:pt>
                <c:pt idx="3">
                  <c:v>1547385747.2</c:v>
                </c:pt>
                <c:pt idx="4">
                  <c:v>1499090370.0599999</c:v>
                </c:pt>
                <c:pt idx="5">
                  <c:v>1543584142.05</c:v>
                </c:pt>
                <c:pt idx="6">
                  <c:v>1525935232.1600001</c:v>
                </c:pt>
                <c:pt idx="7">
                  <c:v>1616885769.5999999</c:v>
                </c:pt>
                <c:pt idx="8">
                  <c:v>1627121624.46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Stato_patrimoniale!$B$17:$J$17</c:f>
              <c:numCache>
                <c:formatCode>#,##0</c:formatCode>
                <c:ptCount val="9"/>
                <c:pt idx="0">
                  <c:v>29047802.800000001</c:v>
                </c:pt>
                <c:pt idx="1">
                  <c:v>38114636.359999999</c:v>
                </c:pt>
                <c:pt idx="2">
                  <c:v>18726585.210000001</c:v>
                </c:pt>
                <c:pt idx="3">
                  <c:v>13519268.470000001</c:v>
                </c:pt>
                <c:pt idx="4">
                  <c:v>22507308.489999998</c:v>
                </c:pt>
                <c:pt idx="5">
                  <c:v>21716773.73</c:v>
                </c:pt>
                <c:pt idx="6">
                  <c:v>33099571.010000002</c:v>
                </c:pt>
                <c:pt idx="7">
                  <c:v>18034036.120000001</c:v>
                </c:pt>
                <c:pt idx="8">
                  <c:v>48826779.659999996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Stato_patrimoniale!$B$18:$J$18</c:f>
              <c:numCache>
                <c:formatCode>#,##0</c:formatCode>
                <c:ptCount val="9"/>
                <c:pt idx="5">
                  <c:v>0</c:v>
                </c:pt>
                <c:pt idx="6">
                  <c:v>37451629.649999999</c:v>
                </c:pt>
                <c:pt idx="7">
                  <c:v>62320863.920000002</c:v>
                </c:pt>
                <c:pt idx="8">
                  <c:v>70210112.780000001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5E-43DE-A7B9-D75D5B7C1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6371168"/>
        <c:axId val="1446371712"/>
      </c:barChart>
      <c:catAx>
        <c:axId val="144637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446371712"/>
        <c:crosses val="autoZero"/>
        <c:auto val="1"/>
        <c:lblAlgn val="ctr"/>
        <c:lblOffset val="100"/>
        <c:noMultiLvlLbl val="0"/>
      </c:catAx>
      <c:valAx>
        <c:axId val="1446371712"/>
        <c:scaling>
          <c:orientation val="minMax"/>
          <c:max val="1800000000"/>
          <c:min val="-500000000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1446371168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72E-2"/>
          <c:w val="0.91226637907374508"/>
          <c:h val="0.70823225554252522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83.381452516638007</c:v>
                </c:pt>
                <c:pt idx="1">
                  <c:v>82.26</c:v>
                </c:pt>
                <c:pt idx="2">
                  <c:v>83.7981325534126</c:v>
                </c:pt>
                <c:pt idx="3">
                  <c:v>85.391113369092565</c:v>
                </c:pt>
                <c:pt idx="4">
                  <c:v>84.487150439585776</c:v>
                </c:pt>
                <c:pt idx="5">
                  <c:v>85.2</c:v>
                </c:pt>
                <c:pt idx="6">
                  <c:v>86.9</c:v>
                </c:pt>
                <c:pt idx="7">
                  <c:v>88.232936694757186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76.22044197932189</c:v>
                </c:pt>
                <c:pt idx="1">
                  <c:v>75.652448548576487</c:v>
                </c:pt>
                <c:pt idx="2">
                  <c:v>74.051813131851787</c:v>
                </c:pt>
                <c:pt idx="3">
                  <c:v>74.534721339781697</c:v>
                </c:pt>
                <c:pt idx="4">
                  <c:v>77.746400155498335</c:v>
                </c:pt>
                <c:pt idx="5">
                  <c:v>72.184564968068798</c:v>
                </c:pt>
                <c:pt idx="6">
                  <c:v>70.236319513337435</c:v>
                </c:pt>
                <c:pt idx="7">
                  <c:v>71.506620968592728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74.477180083908465</c:v>
                </c:pt>
                <c:pt idx="1">
                  <c:v>75.280134235867322</c:v>
                </c:pt>
                <c:pt idx="2">
                  <c:v>72.139115265438733</c:v>
                </c:pt>
                <c:pt idx="3">
                  <c:v>72.644815752005627</c:v>
                </c:pt>
                <c:pt idx="4">
                  <c:v>76.455562375351477</c:v>
                </c:pt>
                <c:pt idx="5">
                  <c:v>70.375863154167305</c:v>
                </c:pt>
                <c:pt idx="6">
                  <c:v>68.32471952110653</c:v>
                </c:pt>
                <c:pt idx="7">
                  <c:v>70.498237283778963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72256"/>
        <c:axId val="1446369536"/>
      </c:lineChart>
      <c:catAx>
        <c:axId val="144637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46369536"/>
        <c:crosses val="autoZero"/>
        <c:auto val="1"/>
        <c:lblAlgn val="ctr"/>
        <c:lblOffset val="100"/>
        <c:noMultiLvlLbl val="0"/>
      </c:catAx>
      <c:valAx>
        <c:axId val="1446369536"/>
        <c:scaling>
          <c:orientation val="minMax"/>
          <c:max val="90"/>
          <c:min val="6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44637225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9.880208272934843E-5"/>
          <c:y val="0.8417085497291561"/>
          <c:w val="0.98730741131585342"/>
          <c:h val="0.1582914502708437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394591094615496E-2"/>
          <c:y val="3.3901356969247662E-2"/>
          <c:w val="0.9029842635309353"/>
          <c:h val="0.644953360047296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14.032928625557886</c:v>
                </c:pt>
                <c:pt idx="1">
                  <c:v>14.0176350893059</c:v>
                </c:pt>
                <c:pt idx="2">
                  <c:v>13.678414096916299</c:v>
                </c:pt>
                <c:pt idx="3">
                  <c:v>12.90110612200197</c:v>
                </c:pt>
                <c:pt idx="4">
                  <c:v>12.447905242377713</c:v>
                </c:pt>
                <c:pt idx="5">
                  <c:v>12.723701440419029</c:v>
                </c:pt>
                <c:pt idx="6">
                  <c:v>11.410631157302154</c:v>
                </c:pt>
                <c:pt idx="7">
                  <c:v>10.432289369210411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13.508245517954123</c:v>
                </c:pt>
                <c:pt idx="1">
                  <c:v>13.14718516843771</c:v>
                </c:pt>
                <c:pt idx="2">
                  <c:v>12.797356828193832</c:v>
                </c:pt>
                <c:pt idx="3">
                  <c:v>12.397327784470486</c:v>
                </c:pt>
                <c:pt idx="4">
                  <c:v>12.656284272866856</c:v>
                </c:pt>
                <c:pt idx="5">
                  <c:v>12.745525971191618</c:v>
                </c:pt>
                <c:pt idx="6">
                  <c:v>12.623146043087582</c:v>
                </c:pt>
                <c:pt idx="7">
                  <c:v>12.946625496250549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14.024240663215792</c:v>
                </c:pt>
                <c:pt idx="1">
                  <c:v>13.667194212073252</c:v>
                </c:pt>
                <c:pt idx="2">
                  <c:v>13.777533039647578</c:v>
                </c:pt>
                <c:pt idx="3">
                  <c:v>15.912824444201071</c:v>
                </c:pt>
                <c:pt idx="4">
                  <c:v>18.896687870146962</c:v>
                </c:pt>
                <c:pt idx="5">
                  <c:v>15.571802706241817</c:v>
                </c:pt>
                <c:pt idx="6">
                  <c:v>17.170076864782938</c:v>
                </c:pt>
                <c:pt idx="7">
                  <c:v>15.383767093074546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13.957589360166512</c:v>
                </c:pt>
                <c:pt idx="1">
                  <c:v>13.780239656341847</c:v>
                </c:pt>
                <c:pt idx="2">
                  <c:v>13.43612334801762</c:v>
                </c:pt>
                <c:pt idx="3">
                  <c:v>13.382981053553827</c:v>
                </c:pt>
                <c:pt idx="4">
                  <c:v>14.531695547269136</c:v>
                </c:pt>
                <c:pt idx="5">
                  <c:v>14.578786556089044</c:v>
                </c:pt>
                <c:pt idx="6">
                  <c:v>15.676085309083035</c:v>
                </c:pt>
                <c:pt idx="7">
                  <c:v>14.644905161005733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7722848"/>
        <c:axId val="1657725024"/>
      </c:barChart>
      <c:catAx>
        <c:axId val="16577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657725024"/>
        <c:crosses val="autoZero"/>
        <c:auto val="1"/>
        <c:lblAlgn val="ctr"/>
        <c:lblOffset val="100"/>
        <c:noMultiLvlLbl val="0"/>
      </c:catAx>
      <c:valAx>
        <c:axId val="1657725024"/>
        <c:scaling>
          <c:orientation val="minMax"/>
          <c:max val="6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657722848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7808438359249632"/>
          <c:w val="0.95561111111111163"/>
          <c:h val="0.1913786469721566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78105</xdr:rowOff>
    </xdr:from>
    <xdr:to>
      <xdr:col>16</xdr:col>
      <xdr:colOff>413385</xdr:colOff>
      <xdr:row>17</xdr:row>
      <xdr:rowOff>106680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541020</xdr:colOff>
      <xdr:row>102</xdr:row>
      <xdr:rowOff>118110</xdr:rowOff>
    </xdr:from>
    <xdr:to>
      <xdr:col>20</xdr:col>
      <xdr:colOff>403860</xdr:colOff>
      <xdr:row>122</xdr:row>
      <xdr:rowOff>106680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1514476</xdr:colOff>
      <xdr:row>24</xdr:row>
      <xdr:rowOff>152400</xdr:rowOff>
    </xdr:from>
    <xdr:to>
      <xdr:col>9</xdr:col>
      <xdr:colOff>99060</xdr:colOff>
      <xdr:row>52</xdr:row>
      <xdr:rowOff>144780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60</xdr:row>
      <xdr:rowOff>9525</xdr:rowOff>
    </xdr:from>
    <xdr:to>
      <xdr:col>10</xdr:col>
      <xdr:colOff>175260</xdr:colOff>
      <xdr:row>82</xdr:row>
      <xdr:rowOff>57150</xdr:rowOff>
    </xdr:to>
    <xdr:graphicFrame macro="">
      <xdr:nvGraphicFramePr>
        <xdr:cNvPr id="4" name="Grafico 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518159</xdr:colOff>
      <xdr:row>30</xdr:row>
      <xdr:rowOff>3809</xdr:rowOff>
    </xdr:from>
    <xdr:to>
      <xdr:col>9</xdr:col>
      <xdr:colOff>807720</xdr:colOff>
      <xdr:row>52</xdr:row>
      <xdr:rowOff>91440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449579</xdr:colOff>
      <xdr:row>29</xdr:row>
      <xdr:rowOff>38100</xdr:rowOff>
    </xdr:from>
    <xdr:to>
      <xdr:col>6</xdr:col>
      <xdr:colOff>784861</xdr:colOff>
      <xdr:row>54</xdr:row>
      <xdr:rowOff>91440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56</xdr:row>
      <xdr:rowOff>85724</xdr:rowOff>
    </xdr:from>
    <xdr:to>
      <xdr:col>10</xdr:col>
      <xdr:colOff>441960</xdr:colOff>
      <xdr:row>82</xdr:row>
      <xdr:rowOff>38100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178</xdr:row>
      <xdr:rowOff>76201</xdr:rowOff>
    </xdr:from>
    <xdr:to>
      <xdr:col>2</xdr:col>
      <xdr:colOff>781050</xdr:colOff>
      <xdr:row>197</xdr:row>
      <xdr:rowOff>38101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601980</xdr:colOff>
      <xdr:row>116</xdr:row>
      <xdr:rowOff>5715</xdr:rowOff>
    </xdr:from>
    <xdr:to>
      <xdr:col>3</xdr:col>
      <xdr:colOff>116205</xdr:colOff>
      <xdr:row>134</xdr:row>
      <xdr:rowOff>15240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57150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57147</xdr:colOff>
      <xdr:row>11</xdr:row>
      <xdr:rowOff>133350</xdr:rowOff>
    </xdr:from>
    <xdr:to>
      <xdr:col>11</xdr:col>
      <xdr:colOff>161925</xdr:colOff>
      <xdr:row>29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S3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  <col min="17" max="18" width="15.33203125" bestFit="1" customWidth="1"/>
    <col min="19" max="19" width="7.109375" customWidth="1"/>
    <col min="20" max="21" width="15.33203125" bestFit="1" customWidth="1"/>
    <col min="22" max="22" width="7.109375" customWidth="1"/>
    <col min="23" max="24" width="15.33203125" bestFit="1" customWidth="1"/>
    <col min="25" max="25" width="7.109375" customWidth="1"/>
  </cols>
  <sheetData>
    <row r="1" spans="1:27" x14ac:dyDescent="0.3">
      <c r="B1" s="132">
        <v>2016</v>
      </c>
      <c r="C1" s="132"/>
      <c r="D1" s="133"/>
      <c r="E1" s="134">
        <v>2017</v>
      </c>
      <c r="F1" s="132"/>
      <c r="G1" s="133"/>
      <c r="H1" s="134">
        <v>2018</v>
      </c>
      <c r="I1" s="132"/>
      <c r="J1" s="133"/>
      <c r="K1" s="134">
        <v>2019</v>
      </c>
      <c r="L1" s="132"/>
      <c r="M1" s="133"/>
      <c r="N1" s="134">
        <v>2020</v>
      </c>
      <c r="O1" s="132"/>
      <c r="P1" s="133"/>
      <c r="Q1" s="134">
        <v>2021</v>
      </c>
      <c r="R1" s="132"/>
      <c r="S1" s="133"/>
      <c r="T1" s="134">
        <v>2022</v>
      </c>
      <c r="U1" s="132"/>
      <c r="V1" s="133"/>
      <c r="W1" s="134">
        <v>2023</v>
      </c>
      <c r="X1" s="132"/>
      <c r="Y1" s="133"/>
      <c r="Z1" s="131" t="s">
        <v>233</v>
      </c>
      <c r="AA1" s="131"/>
    </row>
    <row r="2" spans="1:27" x14ac:dyDescent="0.3">
      <c r="B2" s="17" t="s">
        <v>73</v>
      </c>
      <c r="C2" s="17" t="s">
        <v>74</v>
      </c>
      <c r="D2" s="18" t="s">
        <v>234</v>
      </c>
      <c r="E2" s="23" t="s">
        <v>73</v>
      </c>
      <c r="F2" s="17" t="s">
        <v>74</v>
      </c>
      <c r="G2" s="18" t="s">
        <v>234</v>
      </c>
      <c r="H2" s="23" t="s">
        <v>73</v>
      </c>
      <c r="I2" s="17" t="s">
        <v>74</v>
      </c>
      <c r="J2" s="18" t="s">
        <v>234</v>
      </c>
      <c r="K2" s="23" t="s">
        <v>73</v>
      </c>
      <c r="L2" s="17" t="s">
        <v>74</v>
      </c>
      <c r="M2" s="18" t="s">
        <v>234</v>
      </c>
      <c r="N2" s="23" t="s">
        <v>73</v>
      </c>
      <c r="O2" s="17" t="s">
        <v>74</v>
      </c>
      <c r="P2" s="18" t="s">
        <v>234</v>
      </c>
      <c r="Q2" s="23" t="s">
        <v>73</v>
      </c>
      <c r="R2" s="17" t="s">
        <v>74</v>
      </c>
      <c r="S2" s="18" t="s">
        <v>234</v>
      </c>
      <c r="T2" s="23" t="s">
        <v>73</v>
      </c>
      <c r="U2" s="17" t="s">
        <v>74</v>
      </c>
      <c r="V2" s="18" t="s">
        <v>234</v>
      </c>
      <c r="W2" s="23" t="s">
        <v>73</v>
      </c>
      <c r="X2" s="17" t="s">
        <v>74</v>
      </c>
      <c r="Y2" s="18" t="s">
        <v>234</v>
      </c>
      <c r="Z2" s="12" t="s">
        <v>73</v>
      </c>
      <c r="AA2" s="12" t="s">
        <v>74</v>
      </c>
    </row>
    <row r="3" spans="1:27" x14ac:dyDescent="0.3">
      <c r="A3" t="s">
        <v>20</v>
      </c>
      <c r="B3" s="28">
        <v>203141476.69</v>
      </c>
      <c r="C3" s="28">
        <v>177108065.46000001</v>
      </c>
      <c r="D3" s="20">
        <f>IF(B3&gt;0,C3/B3*100,"-")</f>
        <v>87.184590929341439</v>
      </c>
      <c r="E3" s="28">
        <v>208487225.93000001</v>
      </c>
      <c r="F3" s="28">
        <v>175907116.02000001</v>
      </c>
      <c r="G3" s="20">
        <f>IF(E3&gt;0,F3/E3*100,"-")</f>
        <v>84.373090598395308</v>
      </c>
      <c r="H3" s="28">
        <v>204155697.58000001</v>
      </c>
      <c r="I3" s="28">
        <v>180389069.12</v>
      </c>
      <c r="J3" s="20">
        <f>IF(H3&gt;0,I3/H3*100,"-")</f>
        <v>88.358576938227813</v>
      </c>
      <c r="K3" s="28">
        <v>205963772.53999999</v>
      </c>
      <c r="L3" s="28">
        <v>184966314.59999999</v>
      </c>
      <c r="M3" s="20">
        <f>IF(K3&gt;0,L3/K3*100,"-")</f>
        <v>89.805266391728139</v>
      </c>
      <c r="N3" s="28">
        <v>196523570.96000001</v>
      </c>
      <c r="O3" s="28">
        <v>175470642.38</v>
      </c>
      <c r="P3" s="20">
        <f>IF(N3&gt;0,O3/N3*100,"-")</f>
        <v>89.287326463101422</v>
      </c>
      <c r="Q3" s="28">
        <v>202963444.83000001</v>
      </c>
      <c r="R3" s="28">
        <v>182331247.81999999</v>
      </c>
      <c r="S3" s="20">
        <f>IF(Q3&gt;0,R3/Q3*100,"-")</f>
        <v>89.834525607662343</v>
      </c>
      <c r="T3" s="28">
        <v>210178617.19999999</v>
      </c>
      <c r="U3" s="28">
        <v>189941730.06999999</v>
      </c>
      <c r="V3" s="20">
        <f>IF(T3&gt;0,U3/T3*100,"-")</f>
        <v>90.371576614407374</v>
      </c>
      <c r="W3" s="1">
        <v>217683265.34999999</v>
      </c>
      <c r="X3" s="1">
        <v>200988695.33000001</v>
      </c>
      <c r="Y3" s="20">
        <f>IF(W3&gt;0,X3/W3*100,"-")</f>
        <v>92.330797687567866</v>
      </c>
      <c r="Z3" s="13">
        <f>IF(T3&gt;0,W3/T3*100-100,"-")</f>
        <v>3.5706049692290094</v>
      </c>
      <c r="AA3" s="13">
        <f>IF(U3&gt;0,X3/U3*100-100,"-")</f>
        <v>5.8159759079423168</v>
      </c>
    </row>
    <row r="4" spans="1:27" x14ac:dyDescent="0.3">
      <c r="A4" t="s">
        <v>21</v>
      </c>
      <c r="B4" s="28">
        <v>35655979.460000001</v>
      </c>
      <c r="C4" s="28">
        <v>24509494.120000001</v>
      </c>
      <c r="D4" s="20">
        <f t="shared" ref="D4:D21" si="0">IF(B4&gt;0,C4/B4*100,"-")</f>
        <v>68.738804798492552</v>
      </c>
      <c r="E4" s="28">
        <v>40539875.18</v>
      </c>
      <c r="F4" s="28">
        <v>29461071.850000001</v>
      </c>
      <c r="G4" s="20">
        <f t="shared" ref="G4:G21" si="1">IF(E4&gt;0,F4/E4*100,"-")</f>
        <v>72.671836603321282</v>
      </c>
      <c r="H4" s="28">
        <v>38188820.609999999</v>
      </c>
      <c r="I4" s="28">
        <v>33680067.799999997</v>
      </c>
      <c r="J4" s="20">
        <f t="shared" ref="J4:J13" si="2">IF(H4&gt;0,I4/H4*100,"-")</f>
        <v>88.193526958988215</v>
      </c>
      <c r="K4" s="28">
        <v>40511449.189999998</v>
      </c>
      <c r="L4" s="28">
        <v>34551045.520000003</v>
      </c>
      <c r="M4" s="20">
        <f t="shared" ref="M4:M13" si="3">IF(K4&gt;0,L4/K4*100,"-")</f>
        <v>85.287113176214675</v>
      </c>
      <c r="N4" s="28">
        <v>81109241.469999999</v>
      </c>
      <c r="O4" s="28">
        <v>77602518.409999996</v>
      </c>
      <c r="P4" s="20">
        <f t="shared" ref="P4:P13" si="4">IF(N4&gt;0,O4/N4*100,"-")</f>
        <v>95.67654314546013</v>
      </c>
      <c r="Q4" s="28">
        <v>65742969.109999999</v>
      </c>
      <c r="R4" s="28">
        <v>62599443.380000003</v>
      </c>
      <c r="S4" s="20">
        <f t="shared" ref="S4:S13" si="5">IF(Q4&gt;0,R4/Q4*100,"-")</f>
        <v>95.218460966160052</v>
      </c>
      <c r="T4" s="28">
        <v>60717519.07</v>
      </c>
      <c r="U4" s="28">
        <v>54566379.369999997</v>
      </c>
      <c r="V4" s="20">
        <f t="shared" ref="V4:V13" si="6">IF(T4&gt;0,U4/T4*100,"-")</f>
        <v>89.869250598153599</v>
      </c>
      <c r="W4" s="1">
        <v>56904365.039999999</v>
      </c>
      <c r="X4" s="1">
        <v>48015166.990000002</v>
      </c>
      <c r="Y4" s="20">
        <f t="shared" ref="Y4:Y21" si="7">IF(W4&gt;0,X4/W4*100,"-")</f>
        <v>84.378706196349825</v>
      </c>
      <c r="Z4" s="13">
        <f t="shared" ref="Z4:AA55" si="8">IF(T4&gt;0,W4/T4*100-100,"-")</f>
        <v>-6.280154539258902</v>
      </c>
      <c r="AA4" s="13">
        <f t="shared" si="8"/>
        <v>-12.005950285940685</v>
      </c>
    </row>
    <row r="5" spans="1:27" x14ac:dyDescent="0.3">
      <c r="A5" t="s">
        <v>22</v>
      </c>
      <c r="B5" s="28">
        <v>73622783.400000006</v>
      </c>
      <c r="C5" s="28">
        <v>53599744.240000002</v>
      </c>
      <c r="D5" s="20">
        <f t="shared" si="0"/>
        <v>72.803202710752174</v>
      </c>
      <c r="E5" s="28">
        <v>73254245.310000002</v>
      </c>
      <c r="F5" s="28">
        <v>43605590.380000003</v>
      </c>
      <c r="G5" s="20">
        <f t="shared" si="1"/>
        <v>59.526366281528489</v>
      </c>
      <c r="H5" s="28">
        <v>85023192.819999993</v>
      </c>
      <c r="I5" s="28">
        <v>45627220.710000001</v>
      </c>
      <c r="J5" s="20">
        <f t="shared" si="2"/>
        <v>53.664440485781327</v>
      </c>
      <c r="K5" s="28">
        <v>89454472.75</v>
      </c>
      <c r="L5" s="28">
        <v>50701050.729999997</v>
      </c>
      <c r="M5" s="20">
        <f t="shared" si="3"/>
        <v>56.678049930152874</v>
      </c>
      <c r="N5" s="28">
        <v>70759616.930000007</v>
      </c>
      <c r="O5" s="28">
        <v>53780793.289999999</v>
      </c>
      <c r="P5" s="20">
        <f t="shared" si="4"/>
        <v>76.004924310434646</v>
      </c>
      <c r="Q5" s="28">
        <v>75932029.579999998</v>
      </c>
      <c r="R5" s="28">
        <v>41064304.020000003</v>
      </c>
      <c r="S5" s="20">
        <f t="shared" si="5"/>
        <v>54.080345602688951</v>
      </c>
      <c r="T5" s="28">
        <v>97310246.670000002</v>
      </c>
      <c r="U5" s="28">
        <v>53228999.119999997</v>
      </c>
      <c r="V5" s="20">
        <f t="shared" si="6"/>
        <v>54.700302323259955</v>
      </c>
      <c r="W5" s="1">
        <v>107789241.43000001</v>
      </c>
      <c r="X5" s="1">
        <v>60974747.740000002</v>
      </c>
      <c r="Y5" s="20">
        <f t="shared" si="7"/>
        <v>56.568491373601461</v>
      </c>
      <c r="Z5" s="13">
        <f t="shared" si="8"/>
        <v>10.768644740503561</v>
      </c>
      <c r="AA5" s="13">
        <f t="shared" si="8"/>
        <v>14.551745755237505</v>
      </c>
    </row>
    <row r="6" spans="1:27" x14ac:dyDescent="0.3">
      <c r="A6" t="s">
        <v>23</v>
      </c>
      <c r="B6" s="28">
        <v>38932.120000000003</v>
      </c>
      <c r="C6" s="28">
        <v>38932.120000000003</v>
      </c>
      <c r="D6" s="20">
        <f t="shared" si="0"/>
        <v>100</v>
      </c>
      <c r="E6" s="28">
        <v>21723.11</v>
      </c>
      <c r="F6" s="28">
        <v>21723.11</v>
      </c>
      <c r="G6" s="20">
        <f t="shared" si="1"/>
        <v>100</v>
      </c>
      <c r="H6" s="28">
        <v>16296.87</v>
      </c>
      <c r="I6" s="28">
        <v>16296.87</v>
      </c>
      <c r="J6" s="20">
        <f t="shared" si="2"/>
        <v>100</v>
      </c>
      <c r="K6" s="28">
        <v>246163.29</v>
      </c>
      <c r="L6" s="28">
        <v>240611.49</v>
      </c>
      <c r="M6" s="20">
        <f t="shared" si="3"/>
        <v>97.744667777230305</v>
      </c>
      <c r="N6" s="28">
        <v>17917.009999999998</v>
      </c>
      <c r="O6" s="28">
        <v>17917.009999999998</v>
      </c>
      <c r="P6" s="20">
        <f t="shared" si="4"/>
        <v>100</v>
      </c>
      <c r="Q6" s="28">
        <v>3103.71</v>
      </c>
      <c r="R6" s="28">
        <v>3103.71</v>
      </c>
      <c r="S6" s="20">
        <f t="shared" si="5"/>
        <v>100</v>
      </c>
      <c r="T6" s="28">
        <v>18240.150000000001</v>
      </c>
      <c r="U6" s="28">
        <v>18240.150000000001</v>
      </c>
      <c r="V6" s="20">
        <f t="shared" si="6"/>
        <v>100</v>
      </c>
      <c r="W6" s="1">
        <v>65249.65</v>
      </c>
      <c r="X6" s="1">
        <v>65249.65</v>
      </c>
      <c r="Y6" s="20">
        <f t="shared" si="7"/>
        <v>100</v>
      </c>
      <c r="Z6" s="13">
        <f t="shared" si="8"/>
        <v>257.72540247750152</v>
      </c>
      <c r="AA6" s="13">
        <f t="shared" si="8"/>
        <v>257.72540247750152</v>
      </c>
    </row>
    <row r="7" spans="1:27" x14ac:dyDescent="0.3">
      <c r="A7" t="s">
        <v>24</v>
      </c>
      <c r="B7" s="28">
        <v>5750946.0300000003</v>
      </c>
      <c r="C7" s="28">
        <v>3076417.91</v>
      </c>
      <c r="D7" s="20">
        <f t="shared" si="0"/>
        <v>53.494118949330492</v>
      </c>
      <c r="E7" s="28">
        <v>2303085.7999999998</v>
      </c>
      <c r="F7" s="28">
        <v>948286.65</v>
      </c>
      <c r="G7" s="20">
        <f t="shared" si="1"/>
        <v>41.174612339670546</v>
      </c>
      <c r="H7" s="28">
        <v>10541475.35</v>
      </c>
      <c r="I7" s="28">
        <v>8099882.7199999997</v>
      </c>
      <c r="J7" s="20">
        <f t="shared" si="2"/>
        <v>76.838226633997678</v>
      </c>
      <c r="K7" s="28">
        <v>7199987.0800000001</v>
      </c>
      <c r="L7" s="28">
        <v>3793218.5</v>
      </c>
      <c r="M7" s="20">
        <f t="shared" si="3"/>
        <v>52.683684815723311</v>
      </c>
      <c r="N7" s="28">
        <v>13544820.029999999</v>
      </c>
      <c r="O7" s="28">
        <v>8332599.0999999996</v>
      </c>
      <c r="P7" s="20">
        <f t="shared" si="4"/>
        <v>61.518714029011726</v>
      </c>
      <c r="Q7" s="28">
        <v>11735153.41</v>
      </c>
      <c r="R7" s="28">
        <v>6453153.2199999997</v>
      </c>
      <c r="S7" s="20">
        <f t="shared" si="5"/>
        <v>54.989934895107609</v>
      </c>
      <c r="T7" s="28">
        <v>29383367.190000001</v>
      </c>
      <c r="U7" s="28">
        <v>19594388.27</v>
      </c>
      <c r="V7" s="20">
        <f t="shared" si="6"/>
        <v>66.685305817056019</v>
      </c>
      <c r="W7" s="1">
        <v>46993774.420000002</v>
      </c>
      <c r="X7" s="1">
        <v>33675345.399999999</v>
      </c>
      <c r="Y7" s="20">
        <f t="shared" si="7"/>
        <v>71.659162975571007</v>
      </c>
      <c r="Z7" s="13">
        <f t="shared" si="8"/>
        <v>59.933251067268174</v>
      </c>
      <c r="AA7" s="13">
        <f t="shared" si="8"/>
        <v>71.862193072690388</v>
      </c>
    </row>
    <row r="8" spans="1:27" x14ac:dyDescent="0.3">
      <c r="A8" t="s">
        <v>25</v>
      </c>
      <c r="B8" s="28">
        <v>0</v>
      </c>
      <c r="C8" s="28">
        <v>0</v>
      </c>
      <c r="D8" s="20" t="str">
        <f t="shared" si="0"/>
        <v>-</v>
      </c>
      <c r="E8" s="28">
        <v>0</v>
      </c>
      <c r="F8" s="28">
        <v>0</v>
      </c>
      <c r="G8" s="20" t="str">
        <f t="shared" si="1"/>
        <v>-</v>
      </c>
      <c r="H8" s="28">
        <v>0</v>
      </c>
      <c r="I8" s="28">
        <v>0</v>
      </c>
      <c r="J8" s="20" t="str">
        <f t="shared" si="2"/>
        <v>-</v>
      </c>
      <c r="K8" s="28">
        <v>0</v>
      </c>
      <c r="L8" s="28">
        <v>0</v>
      </c>
      <c r="M8" s="20" t="str">
        <f t="shared" si="3"/>
        <v>-</v>
      </c>
      <c r="N8" s="28">
        <v>0</v>
      </c>
      <c r="O8" s="28">
        <v>0</v>
      </c>
      <c r="P8" s="20" t="str">
        <f t="shared" si="4"/>
        <v>-</v>
      </c>
      <c r="Q8" s="28">
        <v>16939.759999999998</v>
      </c>
      <c r="R8" s="28">
        <v>0</v>
      </c>
      <c r="S8" s="20">
        <f t="shared" si="5"/>
        <v>0</v>
      </c>
      <c r="T8" s="28">
        <v>0</v>
      </c>
      <c r="U8" s="28">
        <v>0</v>
      </c>
      <c r="V8" s="20" t="str">
        <f t="shared" si="6"/>
        <v>-</v>
      </c>
      <c r="W8" s="1">
        <v>362572.29</v>
      </c>
      <c r="X8" s="1">
        <v>0</v>
      </c>
      <c r="Y8" s="20">
        <f t="shared" si="7"/>
        <v>0</v>
      </c>
      <c r="Z8" s="13" t="str">
        <f t="shared" si="8"/>
        <v>-</v>
      </c>
      <c r="AA8" s="13" t="str">
        <f t="shared" si="8"/>
        <v>-</v>
      </c>
    </row>
    <row r="9" spans="1:27" x14ac:dyDescent="0.3">
      <c r="A9" t="s">
        <v>26</v>
      </c>
      <c r="B9" s="28">
        <v>2413685.94</v>
      </c>
      <c r="C9" s="28">
        <v>2389025.23</v>
      </c>
      <c r="D9" s="20">
        <f t="shared" si="0"/>
        <v>98.978296654452066</v>
      </c>
      <c r="E9" s="28">
        <v>1124260.07</v>
      </c>
      <c r="F9" s="28">
        <v>1075940.07</v>
      </c>
      <c r="G9" s="20">
        <f t="shared" si="1"/>
        <v>95.702062068254364</v>
      </c>
      <c r="H9" s="28">
        <v>1094030.1299999999</v>
      </c>
      <c r="I9" s="28">
        <v>1082688.1299999999</v>
      </c>
      <c r="J9" s="20">
        <f t="shared" si="2"/>
        <v>98.96328266571598</v>
      </c>
      <c r="K9" s="28">
        <v>496353.25</v>
      </c>
      <c r="L9" s="28">
        <v>493803.84</v>
      </c>
      <c r="M9" s="20">
        <f t="shared" si="3"/>
        <v>99.486371853110668</v>
      </c>
      <c r="N9" s="28">
        <v>784446.27</v>
      </c>
      <c r="O9" s="28">
        <v>614713.77</v>
      </c>
      <c r="P9" s="20">
        <f t="shared" si="4"/>
        <v>78.362762818669523</v>
      </c>
      <c r="Q9" s="28">
        <v>1133323.26</v>
      </c>
      <c r="R9" s="28">
        <v>1133323.26</v>
      </c>
      <c r="S9" s="20">
        <f t="shared" si="5"/>
        <v>100</v>
      </c>
      <c r="T9" s="28">
        <v>1075683.1200000001</v>
      </c>
      <c r="U9" s="28">
        <v>1071223.75</v>
      </c>
      <c r="V9" s="20">
        <f t="shared" si="6"/>
        <v>99.58543832127809</v>
      </c>
      <c r="W9" s="1">
        <v>833230.99</v>
      </c>
      <c r="X9" s="1">
        <v>833208.49</v>
      </c>
      <c r="Y9" s="20">
        <f t="shared" si="7"/>
        <v>99.997299668366864</v>
      </c>
      <c r="Z9" s="13">
        <f t="shared" si="8"/>
        <v>-22.539363637127636</v>
      </c>
      <c r="AA9" s="13">
        <f t="shared" si="8"/>
        <v>-22.219005133147945</v>
      </c>
    </row>
    <row r="10" spans="1:27" x14ac:dyDescent="0.3">
      <c r="A10" t="s">
        <v>27</v>
      </c>
      <c r="B10" s="28">
        <v>11671046.26</v>
      </c>
      <c r="C10" s="28">
        <v>11431627.060000001</v>
      </c>
      <c r="D10" s="20">
        <f t="shared" si="0"/>
        <v>97.948605509168814</v>
      </c>
      <c r="E10" s="28">
        <v>12049080.550000001</v>
      </c>
      <c r="F10" s="28">
        <v>10773895.640000001</v>
      </c>
      <c r="G10" s="20">
        <f t="shared" si="1"/>
        <v>89.416745081017822</v>
      </c>
      <c r="H10" s="28">
        <v>11408734.550000001</v>
      </c>
      <c r="I10" s="28">
        <v>11366634.380000001</v>
      </c>
      <c r="J10" s="20">
        <f t="shared" si="2"/>
        <v>99.63098299977537</v>
      </c>
      <c r="K10" s="28">
        <v>14623505.810000001</v>
      </c>
      <c r="L10" s="28">
        <v>8962913.5700000003</v>
      </c>
      <c r="M10" s="20">
        <f t="shared" si="3"/>
        <v>61.29114103316379</v>
      </c>
      <c r="N10" s="28">
        <v>15206533.300000001</v>
      </c>
      <c r="O10" s="28">
        <v>8966329.8000000007</v>
      </c>
      <c r="P10" s="20">
        <f t="shared" si="4"/>
        <v>58.963667938701057</v>
      </c>
      <c r="Q10" s="28">
        <v>11297216.83</v>
      </c>
      <c r="R10" s="28">
        <v>8292763.1699999999</v>
      </c>
      <c r="S10" s="20">
        <f t="shared" si="5"/>
        <v>73.405364301571964</v>
      </c>
      <c r="T10" s="28">
        <v>12590911.24</v>
      </c>
      <c r="U10" s="28">
        <v>8200612.7400000002</v>
      </c>
      <c r="V10" s="20">
        <f t="shared" si="6"/>
        <v>65.131209200709122</v>
      </c>
      <c r="W10" s="1">
        <v>11016879.4</v>
      </c>
      <c r="X10" s="1">
        <v>8860400.0700000003</v>
      </c>
      <c r="Y10" s="20">
        <f t="shared" si="7"/>
        <v>80.425679072061001</v>
      </c>
      <c r="Z10" s="13">
        <f t="shared" si="8"/>
        <v>-12.501333779555736</v>
      </c>
      <c r="AA10" s="13">
        <f t="shared" si="8"/>
        <v>8.0455857497301935</v>
      </c>
    </row>
    <row r="11" spans="1:27" x14ac:dyDescent="0.3">
      <c r="A11" t="s">
        <v>28</v>
      </c>
      <c r="B11" s="28">
        <v>9351057.5600000005</v>
      </c>
      <c r="C11" s="28">
        <v>9351057.5600000005</v>
      </c>
      <c r="D11" s="20">
        <f t="shared" si="0"/>
        <v>100</v>
      </c>
      <c r="E11" s="28">
        <v>528.78</v>
      </c>
      <c r="F11" s="28">
        <v>528.78</v>
      </c>
      <c r="G11" s="20">
        <f t="shared" si="1"/>
        <v>100</v>
      </c>
      <c r="H11" s="28">
        <v>0</v>
      </c>
      <c r="I11" s="28">
        <v>0</v>
      </c>
      <c r="J11" s="20" t="str">
        <f t="shared" si="2"/>
        <v>-</v>
      </c>
      <c r="K11" s="28">
        <v>1373.73</v>
      </c>
      <c r="L11" s="28">
        <v>0</v>
      </c>
      <c r="M11" s="20">
        <f t="shared" si="3"/>
        <v>0</v>
      </c>
      <c r="N11" s="28">
        <v>0</v>
      </c>
      <c r="O11" s="28">
        <v>0</v>
      </c>
      <c r="P11" s="20" t="str">
        <f t="shared" si="4"/>
        <v>-</v>
      </c>
      <c r="Q11" s="28">
        <v>0</v>
      </c>
      <c r="R11" s="28">
        <v>0</v>
      </c>
      <c r="S11" s="20" t="str">
        <f t="shared" si="5"/>
        <v>-</v>
      </c>
      <c r="T11" s="28">
        <v>4902.8999999999996</v>
      </c>
      <c r="U11" s="28">
        <v>4902.8999999999996</v>
      </c>
      <c r="V11" s="20">
        <f t="shared" si="6"/>
        <v>100</v>
      </c>
      <c r="W11" s="28">
        <v>0</v>
      </c>
      <c r="X11" s="28">
        <v>0</v>
      </c>
      <c r="Y11" s="20" t="str">
        <f t="shared" si="7"/>
        <v>-</v>
      </c>
      <c r="Z11" s="13">
        <f t="shared" si="8"/>
        <v>-100</v>
      </c>
      <c r="AA11" s="13">
        <f t="shared" si="8"/>
        <v>-100</v>
      </c>
    </row>
    <row r="12" spans="1:27" x14ac:dyDescent="0.3">
      <c r="A12" t="s">
        <v>29</v>
      </c>
      <c r="B12" s="28">
        <v>0</v>
      </c>
      <c r="C12" s="28">
        <v>0</v>
      </c>
      <c r="D12" s="20" t="str">
        <f t="shared" si="0"/>
        <v>-</v>
      </c>
      <c r="E12" s="28">
        <v>0</v>
      </c>
      <c r="F12" s="28">
        <v>0</v>
      </c>
      <c r="G12" s="20" t="str">
        <f t="shared" si="1"/>
        <v>-</v>
      </c>
      <c r="H12" s="28">
        <v>0</v>
      </c>
      <c r="I12" s="28">
        <v>0</v>
      </c>
      <c r="J12" s="20" t="str">
        <f t="shared" si="2"/>
        <v>-</v>
      </c>
      <c r="K12" s="28">
        <v>0</v>
      </c>
      <c r="L12" s="28">
        <v>0</v>
      </c>
      <c r="M12" s="20" t="str">
        <f t="shared" si="3"/>
        <v>-</v>
      </c>
      <c r="N12" s="28">
        <v>0</v>
      </c>
      <c r="O12" s="28">
        <v>0</v>
      </c>
      <c r="P12" s="20" t="str">
        <f t="shared" si="4"/>
        <v>-</v>
      </c>
      <c r="Q12" s="28">
        <v>0</v>
      </c>
      <c r="R12" s="28">
        <v>0</v>
      </c>
      <c r="S12" s="20" t="str">
        <f t="shared" si="5"/>
        <v>-</v>
      </c>
      <c r="T12" s="28">
        <v>0</v>
      </c>
      <c r="U12" s="28">
        <v>0</v>
      </c>
      <c r="V12" s="20" t="str">
        <f t="shared" si="6"/>
        <v>-</v>
      </c>
      <c r="W12" s="28">
        <v>0</v>
      </c>
      <c r="X12" s="28">
        <v>0</v>
      </c>
      <c r="Y12" s="20" t="str">
        <f t="shared" si="7"/>
        <v>-</v>
      </c>
      <c r="Z12" s="13" t="str">
        <f t="shared" si="8"/>
        <v>-</v>
      </c>
      <c r="AA12" s="13" t="str">
        <f t="shared" si="8"/>
        <v>-</v>
      </c>
    </row>
    <row r="13" spans="1:27" x14ac:dyDescent="0.3">
      <c r="A13" t="s">
        <v>30</v>
      </c>
      <c r="B13" s="28">
        <v>145091.70000000001</v>
      </c>
      <c r="C13" s="28">
        <v>116465.43</v>
      </c>
      <c r="D13" s="20">
        <f t="shared" si="0"/>
        <v>80.270222211194692</v>
      </c>
      <c r="E13" s="28">
        <v>0</v>
      </c>
      <c r="F13" s="28">
        <v>0</v>
      </c>
      <c r="G13" s="20" t="str">
        <f t="shared" si="1"/>
        <v>-</v>
      </c>
      <c r="H13" s="28">
        <v>0</v>
      </c>
      <c r="I13" s="28">
        <v>0</v>
      </c>
      <c r="J13" s="20" t="str">
        <f t="shared" si="2"/>
        <v>-</v>
      </c>
      <c r="K13" s="28">
        <v>2000000</v>
      </c>
      <c r="L13" s="28">
        <v>2000000</v>
      </c>
      <c r="M13" s="20">
        <f t="shared" si="3"/>
        <v>100</v>
      </c>
      <c r="N13" s="28">
        <v>349890</v>
      </c>
      <c r="O13" s="28">
        <v>0</v>
      </c>
      <c r="P13" s="20">
        <f t="shared" si="4"/>
        <v>0</v>
      </c>
      <c r="Q13" s="28">
        <v>2300000</v>
      </c>
      <c r="R13" s="28">
        <v>2300000</v>
      </c>
      <c r="S13" s="20">
        <f t="shared" si="5"/>
        <v>100</v>
      </c>
      <c r="T13" s="28">
        <v>970000</v>
      </c>
      <c r="U13" s="28">
        <v>970000</v>
      </c>
      <c r="V13" s="20">
        <f t="shared" si="6"/>
        <v>100</v>
      </c>
      <c r="W13" s="1">
        <v>6996835.6699999999</v>
      </c>
      <c r="X13" s="1">
        <v>6996835.6699999999</v>
      </c>
      <c r="Y13" s="20">
        <f t="shared" si="7"/>
        <v>100</v>
      </c>
      <c r="Z13" s="13">
        <f t="shared" si="8"/>
        <v>621.32326494845358</v>
      </c>
      <c r="AA13" s="13">
        <f t="shared" si="8"/>
        <v>621.32326494845358</v>
      </c>
    </row>
    <row r="14" spans="1:27" x14ac:dyDescent="0.3">
      <c r="A14" t="s">
        <v>31</v>
      </c>
      <c r="B14" s="28">
        <f t="shared" ref="B14:C14" si="9">SUM(B3:B5)</f>
        <v>312420239.55000001</v>
      </c>
      <c r="C14" s="28">
        <f t="shared" si="9"/>
        <v>255217303.82000002</v>
      </c>
      <c r="D14" s="20">
        <f>IF(B14&gt;0,C14/B14*100,"-")</f>
        <v>81.690387340975974</v>
      </c>
      <c r="E14" s="28">
        <f t="shared" ref="E14:F14" si="10">SUM(E3:E5)</f>
        <v>322281346.42000002</v>
      </c>
      <c r="F14" s="28">
        <f t="shared" si="10"/>
        <v>248973778.25</v>
      </c>
      <c r="G14" s="20">
        <f>IF(E14&gt;0,F14/E14*100,"-")</f>
        <v>77.253549116533435</v>
      </c>
      <c r="H14" s="28">
        <f t="shared" ref="H14:I14" si="11">SUM(H3:H5)</f>
        <v>327367711.00999999</v>
      </c>
      <c r="I14" s="28">
        <f t="shared" si="11"/>
        <v>259696357.63000003</v>
      </c>
      <c r="J14" s="20">
        <f>IF(H14&gt;0,I14/H14*100,"-")</f>
        <v>79.328641431612411</v>
      </c>
      <c r="K14" s="28">
        <f t="shared" ref="K14:L14" si="12">SUM(K3:K5)</f>
        <v>335929694.48000002</v>
      </c>
      <c r="L14" s="28">
        <f t="shared" si="12"/>
        <v>270218410.85000002</v>
      </c>
      <c r="M14" s="20">
        <f>IF(K14&gt;0,L14/K14*100,"-")</f>
        <v>80.438977348603458</v>
      </c>
      <c r="N14" s="28">
        <f t="shared" ref="N14:O14" si="13">SUM(N3:N5)</f>
        <v>348392429.36000001</v>
      </c>
      <c r="O14" s="28">
        <f t="shared" si="13"/>
        <v>306853954.07999998</v>
      </c>
      <c r="P14" s="20">
        <f>IF(N14&gt;0,O14/N14*100,"-")</f>
        <v>88.07710163039232</v>
      </c>
      <c r="Q14" s="28">
        <f t="shared" ref="Q14:R14" si="14">SUM(Q3:Q5)</f>
        <v>344638443.51999998</v>
      </c>
      <c r="R14" s="28">
        <f t="shared" si="14"/>
        <v>285994995.21999997</v>
      </c>
      <c r="S14" s="20">
        <f>IF(Q14&gt;0,R14/Q14*100,"-")</f>
        <v>82.984066518801797</v>
      </c>
      <c r="T14" s="28">
        <f t="shared" ref="T14:U14" si="15">SUM(T3:T5)</f>
        <v>368206382.94</v>
      </c>
      <c r="U14" s="28">
        <f t="shared" si="15"/>
        <v>297737108.56</v>
      </c>
      <c r="V14" s="20">
        <f>IF(T14&gt;0,U14/T14*100,"-")</f>
        <v>80.861473987135341</v>
      </c>
      <c r="W14" s="28">
        <f t="shared" ref="W14:X14" si="16">SUM(W3:W5)</f>
        <v>382376871.81999999</v>
      </c>
      <c r="X14" s="28">
        <f t="shared" si="16"/>
        <v>309978610.06</v>
      </c>
      <c r="Y14" s="20">
        <f>IF(W14&gt;0,X14/W14*100,"-")</f>
        <v>81.066255023373714</v>
      </c>
      <c r="Z14" s="13">
        <f t="shared" si="8"/>
        <v>3.8485179878886271</v>
      </c>
      <c r="AA14" s="13">
        <f t="shared" si="8"/>
        <v>4.1115135292358502</v>
      </c>
    </row>
    <row r="15" spans="1:27" x14ac:dyDescent="0.3">
      <c r="A15" t="s">
        <v>32</v>
      </c>
      <c r="B15" s="27">
        <f t="shared" ref="B15:C15" si="17">SUM(B6:B10)</f>
        <v>19874610.350000001</v>
      </c>
      <c r="C15" s="27">
        <f t="shared" si="17"/>
        <v>16936002.32</v>
      </c>
      <c r="D15" s="20">
        <f>IF(B15&gt;0,C15/B15*100,"-")</f>
        <v>85.214260917573156</v>
      </c>
      <c r="E15" s="27">
        <f t="shared" ref="E15:F15" si="18">SUM(E6:E10)</f>
        <v>15498149.530000001</v>
      </c>
      <c r="F15" s="27">
        <f t="shared" si="18"/>
        <v>12819845.470000001</v>
      </c>
      <c r="G15" s="20">
        <f>IF(E15&gt;0,F15/E15*100,"-")</f>
        <v>82.718555819741141</v>
      </c>
      <c r="H15" s="27">
        <f t="shared" ref="H15:I15" si="19">SUM(H6:H10)</f>
        <v>23060536.899999999</v>
      </c>
      <c r="I15" s="27">
        <f t="shared" si="19"/>
        <v>20565502.100000001</v>
      </c>
      <c r="J15" s="20">
        <f>IF(H15&gt;0,I15/H15*100,"-")</f>
        <v>89.180499956182729</v>
      </c>
      <c r="K15" s="27">
        <f t="shared" ref="K15:L15" si="20">SUM(K6:K10)</f>
        <v>22566009.43</v>
      </c>
      <c r="L15" s="27">
        <f t="shared" si="20"/>
        <v>13490547.4</v>
      </c>
      <c r="M15" s="20">
        <f>IF(K15&gt;0,L15/K15*100,"-")</f>
        <v>59.782601092354504</v>
      </c>
      <c r="N15" s="27">
        <f t="shared" ref="N15:O15" si="21">SUM(N6:N10)</f>
        <v>29553716.609999999</v>
      </c>
      <c r="O15" s="27">
        <f t="shared" si="21"/>
        <v>17931559.68</v>
      </c>
      <c r="P15" s="20">
        <f>IF(N15&gt;0,O15/N15*100,"-")</f>
        <v>60.674465809598225</v>
      </c>
      <c r="Q15" s="27">
        <f t="shared" ref="Q15:R15" si="22">SUM(Q6:Q10)</f>
        <v>24185736.969999999</v>
      </c>
      <c r="R15" s="27">
        <f t="shared" si="22"/>
        <v>15882343.359999999</v>
      </c>
      <c r="S15" s="20">
        <f>IF(Q15&gt;0,R15/Q15*100,"-")</f>
        <v>65.668221645263344</v>
      </c>
      <c r="T15" s="27">
        <f t="shared" ref="T15:U15" si="23">SUM(T6:T10)</f>
        <v>43068201.700000003</v>
      </c>
      <c r="U15" s="27">
        <f t="shared" si="23"/>
        <v>28884464.909999996</v>
      </c>
      <c r="V15" s="20">
        <f>IF(T15&gt;0,U15/T15*100,"-")</f>
        <v>67.066800492856416</v>
      </c>
      <c r="W15" s="27">
        <f t="shared" ref="W15:X15" si="24">SUM(W6:W10)</f>
        <v>59271706.75</v>
      </c>
      <c r="X15" s="27">
        <f t="shared" si="24"/>
        <v>43434203.609999999</v>
      </c>
      <c r="Y15" s="20">
        <f>IF(W15&gt;0,X15/W15*100,"-")</f>
        <v>73.279826061361049</v>
      </c>
      <c r="Z15" s="13">
        <f t="shared" si="8"/>
        <v>37.622896732184671</v>
      </c>
      <c r="AA15" s="13">
        <f t="shared" si="8"/>
        <v>50.372193998867488</v>
      </c>
    </row>
    <row r="16" spans="1:27" x14ac:dyDescent="0.3">
      <c r="A16" t="s">
        <v>33</v>
      </c>
      <c r="B16" s="28">
        <f t="shared" ref="B16:C16" si="25">SUM(B11:B13)</f>
        <v>9496149.2599999998</v>
      </c>
      <c r="C16" s="28">
        <f t="shared" si="25"/>
        <v>9467522.9900000002</v>
      </c>
      <c r="D16" s="20">
        <f t="shared" si="0"/>
        <v>99.698548651498356</v>
      </c>
      <c r="E16" s="28">
        <f t="shared" ref="E16:F16" si="26">SUM(E11:E13)</f>
        <v>528.78</v>
      </c>
      <c r="F16" s="28">
        <f t="shared" si="26"/>
        <v>528.78</v>
      </c>
      <c r="G16" s="20">
        <f t="shared" si="1"/>
        <v>100</v>
      </c>
      <c r="H16" s="28">
        <f t="shared" ref="H16:I16" si="27">SUM(H11:H13)</f>
        <v>0</v>
      </c>
      <c r="I16" s="28">
        <f t="shared" si="27"/>
        <v>0</v>
      </c>
      <c r="J16" s="20" t="str">
        <f t="shared" ref="J16:J21" si="28">IF(H16&gt;0,I16/H16*100,"-")</f>
        <v>-</v>
      </c>
      <c r="K16" s="28">
        <f t="shared" ref="K16:L16" si="29">SUM(K11:K13)</f>
        <v>2001373.73</v>
      </c>
      <c r="L16" s="28">
        <f t="shared" si="29"/>
        <v>2000000</v>
      </c>
      <c r="M16" s="20">
        <f t="shared" ref="M16:M21" si="30">IF(K16&gt;0,L16/K16*100,"-")</f>
        <v>99.931360645969903</v>
      </c>
      <c r="N16" s="28">
        <f t="shared" ref="N16:O16" si="31">SUM(N11:N13)</f>
        <v>349890</v>
      </c>
      <c r="O16" s="28">
        <f t="shared" si="31"/>
        <v>0</v>
      </c>
      <c r="P16" s="20">
        <f t="shared" ref="P16:P21" si="32">IF(N16&gt;0,O16/N16*100,"-")</f>
        <v>0</v>
      </c>
      <c r="Q16" s="28">
        <f t="shared" ref="Q16:R16" si="33">SUM(Q11:Q13)</f>
        <v>2300000</v>
      </c>
      <c r="R16" s="28">
        <f t="shared" si="33"/>
        <v>2300000</v>
      </c>
      <c r="S16" s="20">
        <f t="shared" ref="S16:S21" si="34">IF(Q16&gt;0,R16/Q16*100,"-")</f>
        <v>100</v>
      </c>
      <c r="T16" s="28">
        <f t="shared" ref="T16:U16" si="35">SUM(T11:T13)</f>
        <v>974902.9</v>
      </c>
      <c r="U16" s="28">
        <f t="shared" si="35"/>
        <v>974902.9</v>
      </c>
      <c r="V16" s="20">
        <f t="shared" ref="V16:V21" si="36">IF(T16&gt;0,U16/T16*100,"-")</f>
        <v>100</v>
      </c>
      <c r="W16" s="28">
        <f t="shared" ref="W16:X16" si="37">SUM(W11:W13)</f>
        <v>6996835.6699999999</v>
      </c>
      <c r="X16" s="28">
        <f t="shared" si="37"/>
        <v>6996835.6699999999</v>
      </c>
      <c r="Y16" s="20">
        <f t="shared" si="7"/>
        <v>100</v>
      </c>
      <c r="Z16" s="13">
        <f t="shared" si="8"/>
        <v>617.69564640745239</v>
      </c>
      <c r="AA16" s="13">
        <f t="shared" si="8"/>
        <v>617.69564640745239</v>
      </c>
    </row>
    <row r="17" spans="1:27" x14ac:dyDescent="0.3">
      <c r="A17" t="s">
        <v>34</v>
      </c>
      <c r="B17" s="28">
        <v>97808.28</v>
      </c>
      <c r="C17" s="28">
        <v>97808.28</v>
      </c>
      <c r="D17" s="20">
        <f t="shared" si="0"/>
        <v>100</v>
      </c>
      <c r="E17" s="28">
        <v>0</v>
      </c>
      <c r="F17" s="28">
        <v>0</v>
      </c>
      <c r="G17" s="20" t="str">
        <f t="shared" si="1"/>
        <v>-</v>
      </c>
      <c r="H17" s="28">
        <v>0</v>
      </c>
      <c r="I17" s="28">
        <v>0</v>
      </c>
      <c r="J17" s="20" t="str">
        <f t="shared" si="28"/>
        <v>-</v>
      </c>
      <c r="K17" s="28">
        <v>0</v>
      </c>
      <c r="L17" s="28">
        <v>0</v>
      </c>
      <c r="M17" s="20" t="str">
        <f t="shared" si="30"/>
        <v>-</v>
      </c>
      <c r="N17" s="28">
        <v>0</v>
      </c>
      <c r="O17" s="28">
        <v>0</v>
      </c>
      <c r="P17" s="20" t="str">
        <f t="shared" si="32"/>
        <v>-</v>
      </c>
      <c r="Q17" s="28">
        <v>800000</v>
      </c>
      <c r="R17" s="28">
        <v>0</v>
      </c>
      <c r="S17" s="20">
        <f t="shared" si="34"/>
        <v>0</v>
      </c>
      <c r="T17" s="28">
        <v>440000</v>
      </c>
      <c r="U17" s="28">
        <v>0</v>
      </c>
      <c r="V17" s="20">
        <f t="shared" si="36"/>
        <v>0</v>
      </c>
      <c r="W17" s="28">
        <v>0</v>
      </c>
      <c r="X17" s="28">
        <v>0</v>
      </c>
      <c r="Y17" s="20" t="str">
        <f t="shared" si="7"/>
        <v>-</v>
      </c>
      <c r="Z17" s="13">
        <f t="shared" si="8"/>
        <v>-100</v>
      </c>
      <c r="AA17" s="13" t="str">
        <f t="shared" si="8"/>
        <v>-</v>
      </c>
    </row>
    <row r="18" spans="1:27" x14ac:dyDescent="0.3">
      <c r="A18" t="s">
        <v>35</v>
      </c>
      <c r="B18" s="28">
        <v>0</v>
      </c>
      <c r="C18" s="28">
        <v>0</v>
      </c>
      <c r="D18" s="20" t="str">
        <f t="shared" si="0"/>
        <v>-</v>
      </c>
      <c r="E18" s="28">
        <v>0</v>
      </c>
      <c r="F18" s="28">
        <v>0</v>
      </c>
      <c r="G18" s="20" t="str">
        <f t="shared" si="1"/>
        <v>-</v>
      </c>
      <c r="H18" s="28">
        <v>0</v>
      </c>
      <c r="I18" s="28">
        <v>0</v>
      </c>
      <c r="J18" s="20" t="str">
        <f t="shared" si="28"/>
        <v>-</v>
      </c>
      <c r="K18" s="28">
        <v>0</v>
      </c>
      <c r="L18" s="28">
        <v>0</v>
      </c>
      <c r="M18" s="20" t="str">
        <f t="shared" si="30"/>
        <v>-</v>
      </c>
      <c r="N18" s="28">
        <v>0</v>
      </c>
      <c r="O18" s="28">
        <v>0</v>
      </c>
      <c r="P18" s="20" t="str">
        <f t="shared" si="32"/>
        <v>-</v>
      </c>
      <c r="Q18" s="28">
        <v>0</v>
      </c>
      <c r="R18" s="28">
        <v>0</v>
      </c>
      <c r="S18" s="20" t="str">
        <f t="shared" si="34"/>
        <v>-</v>
      </c>
      <c r="T18" s="28">
        <v>0</v>
      </c>
      <c r="U18" s="28">
        <v>0</v>
      </c>
      <c r="V18" s="20" t="str">
        <f t="shared" si="36"/>
        <v>-</v>
      </c>
      <c r="W18" s="28">
        <v>0</v>
      </c>
      <c r="X18" s="28">
        <v>0</v>
      </c>
      <c r="Y18" s="20" t="str">
        <f t="shared" si="7"/>
        <v>-</v>
      </c>
      <c r="Z18" s="13" t="str">
        <f t="shared" si="8"/>
        <v>-</v>
      </c>
      <c r="AA18" s="13" t="str">
        <f t="shared" si="8"/>
        <v>-</v>
      </c>
    </row>
    <row r="19" spans="1:27" x14ac:dyDescent="0.3">
      <c r="A19" t="s">
        <v>36</v>
      </c>
      <c r="B19" s="28">
        <v>38791119.770000003</v>
      </c>
      <c r="C19" s="28">
        <v>38092293.170000002</v>
      </c>
      <c r="D19" s="20">
        <f t="shared" si="0"/>
        <v>98.198488200022382</v>
      </c>
      <c r="E19" s="28">
        <v>49007733.189999998</v>
      </c>
      <c r="F19" s="28">
        <v>38998048.420000002</v>
      </c>
      <c r="G19" s="20">
        <f t="shared" si="1"/>
        <v>79.575295329018672</v>
      </c>
      <c r="H19" s="28">
        <v>40490713.950000003</v>
      </c>
      <c r="I19" s="28">
        <v>39132831.289999999</v>
      </c>
      <c r="J19" s="20">
        <f t="shared" si="28"/>
        <v>96.646434385729066</v>
      </c>
      <c r="K19" s="28">
        <v>39349802.82</v>
      </c>
      <c r="L19" s="28">
        <v>38727782.82</v>
      </c>
      <c r="M19" s="20">
        <f t="shared" si="30"/>
        <v>98.419255103144124</v>
      </c>
      <c r="N19" s="28">
        <v>40944387.579999998</v>
      </c>
      <c r="O19" s="28">
        <v>38446455.969999999</v>
      </c>
      <c r="P19" s="20">
        <f t="shared" si="32"/>
        <v>93.899208761837343</v>
      </c>
      <c r="Q19" s="28">
        <v>39689499.130000003</v>
      </c>
      <c r="R19" s="28">
        <v>37499216.200000003</v>
      </c>
      <c r="S19" s="20">
        <f t="shared" si="34"/>
        <v>94.481454848231039</v>
      </c>
      <c r="T19" s="28">
        <v>38217443.579999998</v>
      </c>
      <c r="U19" s="28">
        <v>37620833.689999998</v>
      </c>
      <c r="V19" s="20">
        <f t="shared" si="36"/>
        <v>98.438906860028126</v>
      </c>
      <c r="W19" s="1">
        <v>50650714.009999998</v>
      </c>
      <c r="X19" s="1">
        <v>42472346.710000001</v>
      </c>
      <c r="Y19" s="20">
        <f t="shared" si="7"/>
        <v>83.853401753852197</v>
      </c>
      <c r="Z19" s="13">
        <f t="shared" si="8"/>
        <v>32.532972552111261</v>
      </c>
      <c r="AA19" s="13">
        <f t="shared" si="8"/>
        <v>12.895814749819294</v>
      </c>
    </row>
    <row r="20" spans="1:27" x14ac:dyDescent="0.3">
      <c r="A20" t="s">
        <v>37</v>
      </c>
      <c r="B20" s="28">
        <f t="shared" ref="B20:C20" si="38">B14+B15+B16+B17+B18+B19</f>
        <v>380679927.20999998</v>
      </c>
      <c r="C20" s="28">
        <f t="shared" si="38"/>
        <v>319810930.58000004</v>
      </c>
      <c r="D20" s="20">
        <f t="shared" si="0"/>
        <v>84.010452803196557</v>
      </c>
      <c r="E20" s="28">
        <f t="shared" ref="E20:F20" si="39">E14+E15+E16+E17+E18+E19</f>
        <v>386787757.92000002</v>
      </c>
      <c r="F20" s="28">
        <f t="shared" si="39"/>
        <v>300792200.92000002</v>
      </c>
      <c r="G20" s="20">
        <f t="shared" si="1"/>
        <v>77.766732467839219</v>
      </c>
      <c r="H20" s="28">
        <f t="shared" ref="H20:I20" si="40">H14+H15+H16+H17+H18+H19</f>
        <v>390918961.85999995</v>
      </c>
      <c r="I20" s="28">
        <f t="shared" si="40"/>
        <v>319394691.02000004</v>
      </c>
      <c r="J20" s="20">
        <f t="shared" si="28"/>
        <v>81.703555514502028</v>
      </c>
      <c r="K20" s="28">
        <f t="shared" ref="K20:L20" si="41">K14+K15+K16+K17+K18+K19</f>
        <v>399846880.46000004</v>
      </c>
      <c r="L20" s="28">
        <f t="shared" si="41"/>
        <v>324436741.06999999</v>
      </c>
      <c r="M20" s="20">
        <f t="shared" si="30"/>
        <v>81.140245660227436</v>
      </c>
      <c r="N20" s="28">
        <f t="shared" ref="N20:O20" si="42">N14+N15+N16+N17+N18+N19</f>
        <v>419240423.55000001</v>
      </c>
      <c r="O20" s="28">
        <f t="shared" si="42"/>
        <v>363231969.73000002</v>
      </c>
      <c r="P20" s="20">
        <f t="shared" si="32"/>
        <v>86.640492978769203</v>
      </c>
      <c r="Q20" s="28">
        <f t="shared" ref="Q20:R20" si="43">Q14+Q15+Q16+Q17+Q18+Q19</f>
        <v>411613679.62</v>
      </c>
      <c r="R20" s="28">
        <f t="shared" si="43"/>
        <v>341676554.77999997</v>
      </c>
      <c r="S20" s="20">
        <f t="shared" si="34"/>
        <v>83.009037769452732</v>
      </c>
      <c r="T20" s="28">
        <f t="shared" ref="T20:U20" si="44">T14+T15+T16+T17+T18+T19</f>
        <v>450906931.11999995</v>
      </c>
      <c r="U20" s="28">
        <f t="shared" si="44"/>
        <v>365217310.06</v>
      </c>
      <c r="V20" s="20">
        <f t="shared" si="36"/>
        <v>80.996162368327987</v>
      </c>
      <c r="W20" s="28">
        <f t="shared" ref="W20:X20" si="45">W14+W15+W16+W17+W18+W19</f>
        <v>499296128.25</v>
      </c>
      <c r="X20" s="28">
        <f t="shared" si="45"/>
        <v>402881996.05000001</v>
      </c>
      <c r="Y20" s="20">
        <f t="shared" si="7"/>
        <v>80.689990018964266</v>
      </c>
      <c r="Z20" s="13">
        <f t="shared" si="8"/>
        <v>10.731526572414168</v>
      </c>
      <c r="AA20" s="13">
        <f t="shared" si="8"/>
        <v>10.312952029522421</v>
      </c>
    </row>
    <row r="21" spans="1:27" x14ac:dyDescent="0.3">
      <c r="A21" t="s">
        <v>38</v>
      </c>
      <c r="B21" s="28">
        <f t="shared" ref="B21:C21" si="46">B20-B19</f>
        <v>341888807.44</v>
      </c>
      <c r="C21" s="28">
        <f t="shared" si="46"/>
        <v>281718637.41000003</v>
      </c>
      <c r="D21" s="20">
        <f t="shared" si="0"/>
        <v>82.400661056867278</v>
      </c>
      <c r="E21" s="28">
        <f t="shared" ref="E21:F21" si="47">E20-E19</f>
        <v>337780024.73000002</v>
      </c>
      <c r="F21" s="28">
        <f t="shared" si="47"/>
        <v>261794152.5</v>
      </c>
      <c r="G21" s="20">
        <f t="shared" si="1"/>
        <v>77.50433220829494</v>
      </c>
      <c r="H21" s="28">
        <f t="shared" ref="H21:I21" si="48">H20-H19</f>
        <v>350428247.90999997</v>
      </c>
      <c r="I21" s="28">
        <f t="shared" si="48"/>
        <v>280261859.73000002</v>
      </c>
      <c r="J21" s="20">
        <f t="shared" si="28"/>
        <v>79.976960020066443</v>
      </c>
      <c r="K21" s="28">
        <f t="shared" ref="K21:L21" si="49">K20-K19</f>
        <v>360497077.64000005</v>
      </c>
      <c r="L21" s="28">
        <f t="shared" si="49"/>
        <v>285708958.25</v>
      </c>
      <c r="M21" s="20">
        <f t="shared" si="30"/>
        <v>79.254167639970433</v>
      </c>
      <c r="N21" s="28">
        <f t="shared" ref="N21:O21" si="50">N20-N19</f>
        <v>378296035.97000003</v>
      </c>
      <c r="O21" s="28">
        <f t="shared" si="50"/>
        <v>324785513.75999999</v>
      </c>
      <c r="P21" s="20">
        <f t="shared" si="32"/>
        <v>85.854855160511491</v>
      </c>
      <c r="Q21" s="28">
        <f t="shared" ref="Q21:R21" si="51">Q20-Q19</f>
        <v>371924180.49000001</v>
      </c>
      <c r="R21" s="28">
        <f t="shared" si="51"/>
        <v>304177338.57999998</v>
      </c>
      <c r="S21" s="20">
        <f t="shared" si="34"/>
        <v>81.784770804429712</v>
      </c>
      <c r="T21" s="28">
        <f t="shared" ref="T21:U21" si="52">T20-T19</f>
        <v>412689487.53999996</v>
      </c>
      <c r="U21" s="28">
        <f t="shared" si="52"/>
        <v>327596476.37</v>
      </c>
      <c r="V21" s="20">
        <f t="shared" si="36"/>
        <v>79.38086291530449</v>
      </c>
      <c r="W21" s="28">
        <f t="shared" ref="W21:X21" si="53">W20-W19</f>
        <v>448645414.24000001</v>
      </c>
      <c r="X21" s="28">
        <f t="shared" si="53"/>
        <v>360409649.34000003</v>
      </c>
      <c r="Y21" s="20">
        <f t="shared" si="7"/>
        <v>80.332850375954408</v>
      </c>
      <c r="Z21" s="13">
        <f t="shared" si="8"/>
        <v>8.7125860448565362</v>
      </c>
      <c r="AA21" s="13">
        <f t="shared" si="8"/>
        <v>10.01633879997523</v>
      </c>
    </row>
    <row r="22" spans="1:27" x14ac:dyDescent="0.3">
      <c r="B22" s="12" t="s">
        <v>75</v>
      </c>
      <c r="C22" s="12" t="s">
        <v>76</v>
      </c>
      <c r="D22" s="18"/>
      <c r="E22" s="12" t="s">
        <v>75</v>
      </c>
      <c r="F22" s="12" t="s">
        <v>76</v>
      </c>
      <c r="G22" s="18"/>
      <c r="H22" s="12" t="s">
        <v>75</v>
      </c>
      <c r="I22" s="12" t="s">
        <v>76</v>
      </c>
      <c r="J22" s="18"/>
      <c r="K22" s="12" t="s">
        <v>75</v>
      </c>
      <c r="L22" s="12" t="s">
        <v>76</v>
      </c>
      <c r="M22" s="18"/>
      <c r="N22" s="12" t="s">
        <v>75</v>
      </c>
      <c r="O22" s="12" t="s">
        <v>76</v>
      </c>
      <c r="P22" s="18"/>
      <c r="Q22" s="12" t="s">
        <v>75</v>
      </c>
      <c r="R22" s="12" t="s">
        <v>76</v>
      </c>
      <c r="S22" s="18"/>
      <c r="T22" s="12" t="s">
        <v>75</v>
      </c>
      <c r="U22" s="12" t="s">
        <v>76</v>
      </c>
      <c r="V22" s="18"/>
      <c r="W22" s="12" t="s">
        <v>75</v>
      </c>
      <c r="X22" s="12" t="s">
        <v>76</v>
      </c>
      <c r="Y22" s="18"/>
    </row>
    <row r="23" spans="1:27" x14ac:dyDescent="0.3">
      <c r="A23" s="5" t="s">
        <v>39</v>
      </c>
      <c r="B23" s="27">
        <v>78394555.890000001</v>
      </c>
      <c r="C23" s="27">
        <v>77347125.5</v>
      </c>
      <c r="D23" s="20">
        <f>IF(B23&gt;0,C23/B23*100,"-")</f>
        <v>98.66389907040265</v>
      </c>
      <c r="E23" s="27">
        <v>77043488.790000007</v>
      </c>
      <c r="F23" s="27">
        <v>76560047.819999993</v>
      </c>
      <c r="G23" s="20">
        <f>IF(E23&gt;0,F23/E23*100,"-")</f>
        <v>99.372508984740108</v>
      </c>
      <c r="H23" s="27">
        <v>79537583.590000004</v>
      </c>
      <c r="I23" s="27">
        <v>79374021.180000007</v>
      </c>
      <c r="J23" s="20">
        <f>IF(H23&gt;0,I23/H23*100,"-")</f>
        <v>99.794358336502739</v>
      </c>
      <c r="K23" s="27">
        <v>75024448.650000006</v>
      </c>
      <c r="L23" s="27">
        <v>74717822.760000005</v>
      </c>
      <c r="M23" s="20">
        <f>IF(K23&gt;0,L23/K23*100,"-")</f>
        <v>99.591298709264152</v>
      </c>
      <c r="N23" s="27">
        <v>72884119.609999999</v>
      </c>
      <c r="O23" s="27">
        <v>72367634.239999995</v>
      </c>
      <c r="P23" s="20">
        <f>IF(N23&gt;0,O23/N23*100,"-")</f>
        <v>99.291360898967156</v>
      </c>
      <c r="Q23" s="1">
        <v>73725908.299999997</v>
      </c>
      <c r="R23" s="1">
        <v>73532053.030000001</v>
      </c>
      <c r="S23" s="20">
        <f>IF(Q23&gt;0,R23/Q23*100,"-")</f>
        <v>99.737059502595514</v>
      </c>
      <c r="T23" s="1">
        <v>78042253.709999993</v>
      </c>
      <c r="U23" s="1">
        <v>74238321.319999993</v>
      </c>
      <c r="V23" s="20">
        <f>IF(T23&gt;0,U23/T23*100,"-")</f>
        <v>95.125804023887923</v>
      </c>
      <c r="W23" s="1">
        <v>78034474.019999996</v>
      </c>
      <c r="X23" s="1">
        <v>77473237.780000001</v>
      </c>
      <c r="Y23" s="20">
        <f>IF(W23&gt;0,X23/W23*100,"-")</f>
        <v>99.280784234085885</v>
      </c>
      <c r="Z23" s="13">
        <f t="shared" si="8"/>
        <v>-9.9685614268736344E-3</v>
      </c>
      <c r="AA23" s="13">
        <f t="shared" si="8"/>
        <v>4.3574752263808421</v>
      </c>
    </row>
    <row r="24" spans="1:27" x14ac:dyDescent="0.3">
      <c r="A24" s="5" t="s">
        <v>40</v>
      </c>
      <c r="B24" s="27">
        <v>4992243.42</v>
      </c>
      <c r="C24" s="27">
        <v>4422703.0199999996</v>
      </c>
      <c r="D24" s="20">
        <f t="shared" ref="D24:D55" si="54">IF(B24&gt;0,C24/B24*100,"-")</f>
        <v>88.59149380179862</v>
      </c>
      <c r="E24" s="27">
        <v>4943654.72</v>
      </c>
      <c r="F24" s="27">
        <v>4807260.17</v>
      </c>
      <c r="G24" s="20">
        <f t="shared" ref="G24:G55" si="55">IF(E24&gt;0,F24/E24*100,"-")</f>
        <v>97.241017875940983</v>
      </c>
      <c r="H24" s="27">
        <v>4999462.91</v>
      </c>
      <c r="I24" s="27">
        <v>4962266.97</v>
      </c>
      <c r="J24" s="20">
        <f t="shared" ref="J24:J55" si="56">IF(H24&gt;0,I24/H24*100,"-")</f>
        <v>99.256001281145615</v>
      </c>
      <c r="K24" s="27">
        <v>4703837.26</v>
      </c>
      <c r="L24" s="27">
        <v>4605458.9000000004</v>
      </c>
      <c r="M24" s="20">
        <f t="shared" ref="M24:M55" si="57">IF(K24&gt;0,L24/K24*100,"-")</f>
        <v>97.90855094336321</v>
      </c>
      <c r="N24" s="27">
        <v>4437164.07</v>
      </c>
      <c r="O24" s="27">
        <v>4373730.6500000004</v>
      </c>
      <c r="P24" s="20">
        <f t="shared" ref="P24:P55" si="58">IF(N24&gt;0,O24/N24*100,"-")</f>
        <v>98.570406255002425</v>
      </c>
      <c r="Q24" s="1">
        <v>4544271.7</v>
      </c>
      <c r="R24" s="1">
        <v>4504370.12</v>
      </c>
      <c r="S24" s="20">
        <f t="shared" ref="S24:S55" si="59">IF(Q24&gt;0,R24/Q24*100,"-")</f>
        <v>99.121936745111427</v>
      </c>
      <c r="T24" s="1">
        <v>4904549.43</v>
      </c>
      <c r="U24" s="1">
        <v>4639778.0599999996</v>
      </c>
      <c r="V24" s="20">
        <f t="shared" ref="V24:V55" si="60">IF(T24&gt;0,U24/T24*100,"-")</f>
        <v>94.601514904091815</v>
      </c>
      <c r="W24" s="1">
        <v>4815374.0199999996</v>
      </c>
      <c r="X24" s="1">
        <v>4779805.07</v>
      </c>
      <c r="Y24" s="20">
        <f t="shared" ref="Y24:Y55" si="61">IF(W24&gt;0,X24/W24*100,"-")</f>
        <v>99.261346058431428</v>
      </c>
      <c r="Z24" s="13">
        <f t="shared" si="8"/>
        <v>-1.8182181925730987</v>
      </c>
      <c r="AA24" s="13">
        <f t="shared" si="8"/>
        <v>3.0179678465051722</v>
      </c>
    </row>
    <row r="25" spans="1:27" x14ac:dyDescent="0.3">
      <c r="A25" s="5" t="s">
        <v>41</v>
      </c>
      <c r="B25" s="27">
        <v>137677967.41999999</v>
      </c>
      <c r="C25" s="27">
        <v>109862673.48999999</v>
      </c>
      <c r="D25" s="20">
        <f t="shared" si="54"/>
        <v>79.796844439788444</v>
      </c>
      <c r="E25" s="27">
        <v>140418743.22999999</v>
      </c>
      <c r="F25" s="27">
        <v>111803219.48999999</v>
      </c>
      <c r="G25" s="20">
        <f t="shared" si="55"/>
        <v>79.621293367418218</v>
      </c>
      <c r="H25" s="27">
        <v>144181684.72</v>
      </c>
      <c r="I25" s="27">
        <v>113208374.59</v>
      </c>
      <c r="J25" s="20">
        <f t="shared" si="56"/>
        <v>78.517860857188637</v>
      </c>
      <c r="K25" s="27">
        <v>150156230.43000001</v>
      </c>
      <c r="L25" s="27">
        <v>113436816.76000001</v>
      </c>
      <c r="M25" s="20">
        <f t="shared" si="57"/>
        <v>75.54586075792713</v>
      </c>
      <c r="N25" s="27">
        <v>142886484.69999999</v>
      </c>
      <c r="O25" s="27">
        <v>110157466.91</v>
      </c>
      <c r="P25" s="20">
        <f t="shared" si="58"/>
        <v>77.094392196213093</v>
      </c>
      <c r="Q25" s="1">
        <v>153404316.38999999</v>
      </c>
      <c r="R25" s="1">
        <v>117727227.41</v>
      </c>
      <c r="S25" s="20">
        <f t="shared" si="59"/>
        <v>76.743099660052536</v>
      </c>
      <c r="T25" s="1">
        <v>176377511.11000001</v>
      </c>
      <c r="U25" s="1">
        <v>135243090.74000001</v>
      </c>
      <c r="V25" s="20">
        <f t="shared" si="60"/>
        <v>76.678194339443877</v>
      </c>
      <c r="W25" s="1">
        <v>174908031.96000001</v>
      </c>
      <c r="X25" s="1">
        <v>134611589.31999999</v>
      </c>
      <c r="Y25" s="20">
        <f t="shared" si="61"/>
        <v>76.961353810661208</v>
      </c>
      <c r="Z25" s="13">
        <f t="shared" si="8"/>
        <v>-0.83314428282386643</v>
      </c>
      <c r="AA25" s="13">
        <f t="shared" si="8"/>
        <v>-0.46693802732892209</v>
      </c>
    </row>
    <row r="26" spans="1:27" x14ac:dyDescent="0.3">
      <c r="A26" s="5" t="s">
        <v>42</v>
      </c>
      <c r="B26" s="27">
        <v>39928164.420000002</v>
      </c>
      <c r="C26" s="27">
        <v>32420044.25</v>
      </c>
      <c r="D26" s="20">
        <f t="shared" si="54"/>
        <v>81.195929542307766</v>
      </c>
      <c r="E26" s="27">
        <v>38712253.899999999</v>
      </c>
      <c r="F26" s="27">
        <v>28960233.949999999</v>
      </c>
      <c r="G26" s="20">
        <f t="shared" si="55"/>
        <v>74.808958488464555</v>
      </c>
      <c r="H26" s="27">
        <v>41995633.159999996</v>
      </c>
      <c r="I26" s="27">
        <v>34438325.659999996</v>
      </c>
      <c r="J26" s="20">
        <f t="shared" si="56"/>
        <v>82.004539683430266</v>
      </c>
      <c r="K26" s="27">
        <v>43209114.5</v>
      </c>
      <c r="L26" s="27">
        <v>36275017.740000002</v>
      </c>
      <c r="M26" s="20">
        <f t="shared" si="57"/>
        <v>83.952235910782207</v>
      </c>
      <c r="N26" s="27">
        <v>52874362.229999997</v>
      </c>
      <c r="O26" s="27">
        <v>38599584.479999997</v>
      </c>
      <c r="P26" s="20">
        <f t="shared" si="58"/>
        <v>73.002458757033025</v>
      </c>
      <c r="Q26" s="1">
        <v>55367434.289999999</v>
      </c>
      <c r="R26" s="1">
        <v>45342553.719999999</v>
      </c>
      <c r="S26" s="20">
        <f t="shared" si="59"/>
        <v>81.893904424950733</v>
      </c>
      <c r="T26" s="1">
        <v>53269596.490000002</v>
      </c>
      <c r="U26" s="1">
        <v>42169734.869999997</v>
      </c>
      <c r="V26" s="20">
        <f t="shared" si="60"/>
        <v>79.16285770611438</v>
      </c>
      <c r="W26" s="1">
        <v>54547015.880000003</v>
      </c>
      <c r="X26" s="1">
        <v>40627793.189999998</v>
      </c>
      <c r="Y26" s="20">
        <f t="shared" si="61"/>
        <v>74.482155503022526</v>
      </c>
      <c r="Z26" s="13">
        <f t="shared" si="8"/>
        <v>2.398027156522204</v>
      </c>
      <c r="AA26" s="13">
        <f t="shared" si="8"/>
        <v>-3.6565126263028844</v>
      </c>
    </row>
    <row r="27" spans="1:27" x14ac:dyDescent="0.3">
      <c r="A27" s="5" t="s">
        <v>43</v>
      </c>
      <c r="B27" s="27">
        <v>9624223.9399999995</v>
      </c>
      <c r="C27" s="27">
        <v>9624223.9399999995</v>
      </c>
      <c r="D27" s="20">
        <f t="shared" si="54"/>
        <v>100</v>
      </c>
      <c r="E27" s="27">
        <v>9368459.9700000007</v>
      </c>
      <c r="F27" s="27">
        <v>9368459.9700000007</v>
      </c>
      <c r="G27" s="20">
        <f t="shared" si="55"/>
        <v>100</v>
      </c>
      <c r="H27" s="27">
        <v>9523649.3100000005</v>
      </c>
      <c r="I27" s="27">
        <v>9523649.3100000005</v>
      </c>
      <c r="J27" s="20">
        <f t="shared" si="56"/>
        <v>100</v>
      </c>
      <c r="K27" s="27">
        <v>7178182.1799999997</v>
      </c>
      <c r="L27" s="27">
        <v>7178182.1799999997</v>
      </c>
      <c r="M27" s="20">
        <f t="shared" si="57"/>
        <v>100</v>
      </c>
      <c r="N27" s="27">
        <v>6538687.6699999999</v>
      </c>
      <c r="O27" s="27">
        <v>6538687.6699999999</v>
      </c>
      <c r="P27" s="20">
        <f t="shared" si="58"/>
        <v>100</v>
      </c>
      <c r="Q27" s="1">
        <v>6473334.4500000002</v>
      </c>
      <c r="R27" s="1">
        <v>6473334.4500000002</v>
      </c>
      <c r="S27" s="20">
        <f t="shared" si="59"/>
        <v>100</v>
      </c>
      <c r="T27" s="1">
        <v>5569772.6900000004</v>
      </c>
      <c r="U27" s="1">
        <v>5569772.6900000004</v>
      </c>
      <c r="V27" s="20">
        <f t="shared" si="60"/>
        <v>100</v>
      </c>
      <c r="W27" s="1">
        <v>10258334.279999999</v>
      </c>
      <c r="X27" s="1">
        <v>10258334.279999999</v>
      </c>
      <c r="Y27" s="20">
        <f t="shared" si="61"/>
        <v>100</v>
      </c>
      <c r="Z27" s="13">
        <f t="shared" si="8"/>
        <v>84.178688268874367</v>
      </c>
      <c r="AA27" s="13">
        <f t="shared" si="8"/>
        <v>84.178688268874367</v>
      </c>
    </row>
    <row r="28" spans="1:27" x14ac:dyDescent="0.3">
      <c r="A28" s="5" t="s">
        <v>44</v>
      </c>
      <c r="B28" s="27">
        <v>0</v>
      </c>
      <c r="C28" s="27">
        <v>0</v>
      </c>
      <c r="D28" s="20" t="str">
        <f t="shared" si="54"/>
        <v>-</v>
      </c>
      <c r="E28" s="27">
        <v>0</v>
      </c>
      <c r="F28" s="27">
        <v>0</v>
      </c>
      <c r="G28" s="20" t="str">
        <f t="shared" si="55"/>
        <v>-</v>
      </c>
      <c r="H28" s="27">
        <v>0</v>
      </c>
      <c r="I28" s="27">
        <v>0</v>
      </c>
      <c r="J28" s="20" t="str">
        <f t="shared" si="56"/>
        <v>-</v>
      </c>
      <c r="K28" s="27">
        <v>0</v>
      </c>
      <c r="L28" s="27">
        <v>0</v>
      </c>
      <c r="M28" s="20" t="str">
        <f t="shared" si="57"/>
        <v>-</v>
      </c>
      <c r="N28" s="27">
        <v>0</v>
      </c>
      <c r="O28" s="27">
        <v>0</v>
      </c>
      <c r="P28" s="20" t="str">
        <f t="shared" si="58"/>
        <v>-</v>
      </c>
      <c r="Q28" s="27">
        <v>0</v>
      </c>
      <c r="R28" s="27">
        <v>0</v>
      </c>
      <c r="S28" s="20" t="str">
        <f t="shared" si="59"/>
        <v>-</v>
      </c>
      <c r="T28" s="28">
        <v>0</v>
      </c>
      <c r="U28" s="28">
        <v>0</v>
      </c>
      <c r="V28" s="20" t="str">
        <f t="shared" si="60"/>
        <v>-</v>
      </c>
      <c r="W28" s="1">
        <v>0</v>
      </c>
      <c r="X28" s="1">
        <v>0</v>
      </c>
      <c r="Y28" s="20" t="str">
        <f t="shared" si="61"/>
        <v>-</v>
      </c>
      <c r="Z28" s="13" t="str">
        <f t="shared" si="8"/>
        <v>-</v>
      </c>
      <c r="AA28" s="13" t="str">
        <f t="shared" si="8"/>
        <v>-</v>
      </c>
    </row>
    <row r="29" spans="1:27" x14ac:dyDescent="0.3">
      <c r="A29" s="5" t="s">
        <v>45</v>
      </c>
      <c r="B29" s="27">
        <v>1214467.07</v>
      </c>
      <c r="C29" s="27">
        <v>769638.33</v>
      </c>
      <c r="D29" s="20">
        <f t="shared" si="54"/>
        <v>63.372515320650059</v>
      </c>
      <c r="E29" s="27">
        <v>1528298.27</v>
      </c>
      <c r="F29" s="27">
        <v>1070007.26</v>
      </c>
      <c r="G29" s="20">
        <f t="shared" si="55"/>
        <v>70.012986404806966</v>
      </c>
      <c r="H29" s="27">
        <v>1302642.51</v>
      </c>
      <c r="I29" s="27">
        <v>913453.15</v>
      </c>
      <c r="J29" s="20">
        <f t="shared" si="56"/>
        <v>70.123087722663072</v>
      </c>
      <c r="K29" s="27">
        <v>1705169.19</v>
      </c>
      <c r="L29" s="27">
        <v>574015.18000000005</v>
      </c>
      <c r="M29" s="20">
        <f t="shared" si="57"/>
        <v>33.66323901266361</v>
      </c>
      <c r="N29" s="27">
        <v>2449305.9300000002</v>
      </c>
      <c r="O29" s="27">
        <v>899661.48</v>
      </c>
      <c r="P29" s="20">
        <f t="shared" si="58"/>
        <v>36.731282482135654</v>
      </c>
      <c r="Q29" s="1">
        <v>1739065.42</v>
      </c>
      <c r="R29" s="1">
        <v>519028.75</v>
      </c>
      <c r="S29" s="20">
        <f t="shared" si="59"/>
        <v>29.84526884560789</v>
      </c>
      <c r="T29" s="1">
        <v>1271383.05</v>
      </c>
      <c r="U29" s="1">
        <v>493368.82</v>
      </c>
      <c r="V29" s="20">
        <f t="shared" si="60"/>
        <v>38.805678587582236</v>
      </c>
      <c r="W29" s="1">
        <v>1184410.05</v>
      </c>
      <c r="X29" s="1">
        <v>579857.92000000004</v>
      </c>
      <c r="Y29" s="20">
        <f t="shared" si="61"/>
        <v>48.957531219867647</v>
      </c>
      <c r="Z29" s="13">
        <f t="shared" si="8"/>
        <v>-6.8408179580497119</v>
      </c>
      <c r="AA29" s="13">
        <f t="shared" si="8"/>
        <v>17.530313326245462</v>
      </c>
    </row>
    <row r="30" spans="1:27" x14ac:dyDescent="0.3">
      <c r="A30" s="5" t="s">
        <v>46</v>
      </c>
      <c r="B30" s="27">
        <v>6566642.3200000003</v>
      </c>
      <c r="C30" s="27">
        <v>5419527.2000000002</v>
      </c>
      <c r="D30" s="20">
        <f t="shared" si="54"/>
        <v>82.531177059754953</v>
      </c>
      <c r="E30" s="27">
        <v>5632510.9800000004</v>
      </c>
      <c r="F30" s="27">
        <v>5425805.2800000003</v>
      </c>
      <c r="G30" s="20">
        <f t="shared" si="55"/>
        <v>96.330132320487721</v>
      </c>
      <c r="H30" s="27">
        <v>5631462.29</v>
      </c>
      <c r="I30" s="27">
        <v>5198542.38</v>
      </c>
      <c r="J30" s="20">
        <f t="shared" si="56"/>
        <v>92.312477866206223</v>
      </c>
      <c r="K30" s="27">
        <v>5121080.59</v>
      </c>
      <c r="L30" s="27">
        <v>4747729.92</v>
      </c>
      <c r="M30" s="20">
        <f t="shared" si="57"/>
        <v>92.709533399473415</v>
      </c>
      <c r="N30" s="27">
        <v>4246829.3600000003</v>
      </c>
      <c r="O30" s="27">
        <v>3882655.47</v>
      </c>
      <c r="P30" s="20">
        <f t="shared" si="58"/>
        <v>91.424805210445285</v>
      </c>
      <c r="Q30" s="1">
        <v>4921561.18</v>
      </c>
      <c r="R30" s="1">
        <v>4422240.32</v>
      </c>
      <c r="S30" s="20">
        <f t="shared" si="59"/>
        <v>89.854421356598891</v>
      </c>
      <c r="T30" s="1">
        <v>4729216.63</v>
      </c>
      <c r="U30" s="1">
        <v>4562557.3</v>
      </c>
      <c r="V30" s="20">
        <f t="shared" si="60"/>
        <v>96.475963292888949</v>
      </c>
      <c r="W30" s="1">
        <v>5794361.5700000003</v>
      </c>
      <c r="X30" s="1">
        <v>3636097.18</v>
      </c>
      <c r="Y30" s="20">
        <f t="shared" si="61"/>
        <v>62.752334939291678</v>
      </c>
      <c r="Z30" s="13">
        <f t="shared" si="8"/>
        <v>22.522650648803122</v>
      </c>
      <c r="AA30" s="13">
        <f t="shared" si="8"/>
        <v>-20.305720215283642</v>
      </c>
    </row>
    <row r="31" spans="1:27" x14ac:dyDescent="0.3">
      <c r="A31" s="5" t="s">
        <v>47</v>
      </c>
      <c r="B31" s="28">
        <v>0</v>
      </c>
      <c r="C31" s="28">
        <v>0</v>
      </c>
      <c r="D31" s="20" t="str">
        <f t="shared" si="54"/>
        <v>-</v>
      </c>
      <c r="E31" s="28">
        <v>0</v>
      </c>
      <c r="F31" s="28">
        <v>0</v>
      </c>
      <c r="G31" s="20" t="str">
        <f t="shared" si="55"/>
        <v>-</v>
      </c>
      <c r="H31" s="28">
        <v>0</v>
      </c>
      <c r="I31" s="28">
        <v>0</v>
      </c>
      <c r="J31" s="20" t="str">
        <f t="shared" si="56"/>
        <v>-</v>
      </c>
      <c r="K31" s="28">
        <v>0</v>
      </c>
      <c r="L31" s="28">
        <v>0</v>
      </c>
      <c r="M31" s="20" t="str">
        <f t="shared" si="57"/>
        <v>-</v>
      </c>
      <c r="N31" s="28">
        <v>0</v>
      </c>
      <c r="O31" s="28">
        <v>0</v>
      </c>
      <c r="P31" s="20" t="str">
        <f t="shared" si="58"/>
        <v>-</v>
      </c>
      <c r="Q31" s="28">
        <v>0</v>
      </c>
      <c r="R31" s="28">
        <v>0</v>
      </c>
      <c r="S31" s="20" t="str">
        <f t="shared" si="59"/>
        <v>-</v>
      </c>
      <c r="T31" s="28">
        <v>0</v>
      </c>
      <c r="U31" s="28">
        <v>0</v>
      </c>
      <c r="V31" s="20" t="str">
        <f t="shared" si="60"/>
        <v>-</v>
      </c>
      <c r="W31" s="1">
        <v>0</v>
      </c>
      <c r="X31" s="1">
        <v>0</v>
      </c>
      <c r="Y31" s="20" t="str">
        <f t="shared" si="61"/>
        <v>-</v>
      </c>
      <c r="Z31" s="13" t="str">
        <f t="shared" si="8"/>
        <v>-</v>
      </c>
      <c r="AA31" s="13" t="str">
        <f t="shared" si="8"/>
        <v>-</v>
      </c>
    </row>
    <row r="32" spans="1:27" x14ac:dyDescent="0.3">
      <c r="A32" s="5" t="s">
        <v>48</v>
      </c>
      <c r="B32" s="27">
        <v>12961367.380000001</v>
      </c>
      <c r="C32" s="27">
        <v>9489795.6199999992</v>
      </c>
      <c r="D32" s="20">
        <f t="shared" si="54"/>
        <v>73.216006782148611</v>
      </c>
      <c r="E32" s="27">
        <v>16037780.73</v>
      </c>
      <c r="F32" s="27">
        <v>12225455.689999999</v>
      </c>
      <c r="G32" s="20">
        <f t="shared" si="55"/>
        <v>76.229098625418104</v>
      </c>
      <c r="H32" s="27">
        <v>18083533.539999999</v>
      </c>
      <c r="I32" s="27">
        <v>14800465.4</v>
      </c>
      <c r="J32" s="20">
        <f t="shared" si="56"/>
        <v>81.844985479535879</v>
      </c>
      <c r="K32" s="27">
        <v>23983327.350000001</v>
      </c>
      <c r="L32" s="27">
        <v>13511152.949999999</v>
      </c>
      <c r="M32" s="20">
        <f t="shared" si="57"/>
        <v>56.335606618820542</v>
      </c>
      <c r="N32" s="27">
        <v>36701761.390000001</v>
      </c>
      <c r="O32" s="27">
        <v>25293419.5</v>
      </c>
      <c r="P32" s="20">
        <f t="shared" si="58"/>
        <v>68.916091604507045</v>
      </c>
      <c r="Q32" s="1">
        <v>27952484.559999999</v>
      </c>
      <c r="R32" s="1">
        <v>21573530.82</v>
      </c>
      <c r="S32" s="20">
        <f t="shared" si="59"/>
        <v>77.179296079003009</v>
      </c>
      <c r="T32" s="1">
        <v>33561131.009999998</v>
      </c>
      <c r="U32" s="1">
        <v>24618804.690000001</v>
      </c>
      <c r="V32" s="20">
        <f t="shared" si="60"/>
        <v>73.355110358660113</v>
      </c>
      <c r="W32" s="1">
        <v>48515856.840000004</v>
      </c>
      <c r="X32" s="1">
        <v>38339065.219999999</v>
      </c>
      <c r="Y32" s="20">
        <f t="shared" si="61"/>
        <v>79.023782567497562</v>
      </c>
      <c r="Z32" s="13">
        <f t="shared" si="8"/>
        <v>44.559659880187098</v>
      </c>
      <c r="AA32" s="13">
        <f t="shared" si="8"/>
        <v>55.730815134063249</v>
      </c>
    </row>
    <row r="33" spans="1:27" x14ac:dyDescent="0.3">
      <c r="A33" s="5" t="s">
        <v>49</v>
      </c>
      <c r="B33" s="27">
        <v>2259226.8199999998</v>
      </c>
      <c r="C33" s="27">
        <v>1283335.58</v>
      </c>
      <c r="D33" s="20">
        <f t="shared" si="54"/>
        <v>56.80419374624811</v>
      </c>
      <c r="E33" s="27">
        <v>406265.47</v>
      </c>
      <c r="F33" s="27">
        <v>33593.79</v>
      </c>
      <c r="G33" s="20">
        <f t="shared" si="55"/>
        <v>8.2689257346926386</v>
      </c>
      <c r="H33" s="27">
        <v>68838</v>
      </c>
      <c r="I33" s="27">
        <v>60813</v>
      </c>
      <c r="J33" s="20">
        <f t="shared" si="56"/>
        <v>88.342194718033639</v>
      </c>
      <c r="K33" s="27">
        <v>426898.5</v>
      </c>
      <c r="L33" s="27">
        <v>87542.27</v>
      </c>
      <c r="M33" s="20">
        <f t="shared" si="57"/>
        <v>20.506577090338805</v>
      </c>
      <c r="N33" s="27">
        <v>666926.85</v>
      </c>
      <c r="O33" s="27">
        <v>338762.85</v>
      </c>
      <c r="P33" s="20">
        <f t="shared" si="58"/>
        <v>50.794603636065936</v>
      </c>
      <c r="Q33" s="1">
        <v>1894622.23</v>
      </c>
      <c r="R33" s="1">
        <v>793729.86</v>
      </c>
      <c r="S33" s="20">
        <f t="shared" si="59"/>
        <v>41.893832312946103</v>
      </c>
      <c r="T33" s="1">
        <v>14139663.449999999</v>
      </c>
      <c r="U33" s="1">
        <v>3564340.68</v>
      </c>
      <c r="V33" s="20">
        <f t="shared" si="60"/>
        <v>25.208101257883904</v>
      </c>
      <c r="W33" s="1">
        <v>3865267.05</v>
      </c>
      <c r="X33" s="1">
        <v>620888.91</v>
      </c>
      <c r="Y33" s="20">
        <f t="shared" si="61"/>
        <v>16.063286235293887</v>
      </c>
      <c r="Z33" s="13">
        <f t="shared" si="8"/>
        <v>-72.663655937298842</v>
      </c>
      <c r="AA33" s="13">
        <f t="shared" si="8"/>
        <v>-82.580539691845615</v>
      </c>
    </row>
    <row r="34" spans="1:27" x14ac:dyDescent="0.3">
      <c r="A34" s="5" t="s">
        <v>50</v>
      </c>
      <c r="B34" s="27">
        <v>378592.96</v>
      </c>
      <c r="C34" s="27">
        <v>353232.4</v>
      </c>
      <c r="D34" s="20">
        <f t="shared" si="54"/>
        <v>93.301365138960861</v>
      </c>
      <c r="E34" s="27">
        <v>597077.26</v>
      </c>
      <c r="F34" s="27">
        <v>513362.02</v>
      </c>
      <c r="G34" s="20">
        <f t="shared" si="55"/>
        <v>85.979161222787155</v>
      </c>
      <c r="H34" s="27">
        <v>430642</v>
      </c>
      <c r="I34" s="27">
        <v>273829.11</v>
      </c>
      <c r="J34" s="20">
        <f t="shared" si="56"/>
        <v>63.586252618184012</v>
      </c>
      <c r="K34" s="27">
        <v>573857.73</v>
      </c>
      <c r="L34" s="27">
        <v>132235.51999999999</v>
      </c>
      <c r="M34" s="20">
        <f t="shared" si="57"/>
        <v>23.04325847453514</v>
      </c>
      <c r="N34" s="27">
        <v>403400</v>
      </c>
      <c r="O34" s="27">
        <v>213364.88</v>
      </c>
      <c r="P34" s="20">
        <f t="shared" si="58"/>
        <v>52.891641051065939</v>
      </c>
      <c r="Q34" s="1">
        <v>427415.65</v>
      </c>
      <c r="R34" s="1">
        <v>65534.080000000002</v>
      </c>
      <c r="S34" s="20">
        <f t="shared" si="59"/>
        <v>15.332634637968917</v>
      </c>
      <c r="T34" s="1">
        <v>371975.48</v>
      </c>
      <c r="U34" s="1">
        <v>293505.21999999997</v>
      </c>
      <c r="V34" s="20">
        <f t="shared" si="60"/>
        <v>78.904453594629416</v>
      </c>
      <c r="W34" s="1">
        <v>0</v>
      </c>
      <c r="X34" s="1">
        <v>0</v>
      </c>
      <c r="Y34" s="20" t="str">
        <f t="shared" si="61"/>
        <v>-</v>
      </c>
      <c r="Z34" s="13">
        <f t="shared" si="8"/>
        <v>-100</v>
      </c>
      <c r="AA34" s="13">
        <f t="shared" si="8"/>
        <v>-100</v>
      </c>
    </row>
    <row r="35" spans="1:27" x14ac:dyDescent="0.3">
      <c r="A35" s="5" t="s">
        <v>51</v>
      </c>
      <c r="B35" s="27">
        <v>0</v>
      </c>
      <c r="C35" s="27">
        <v>0</v>
      </c>
      <c r="D35" s="20" t="str">
        <f t="shared" si="54"/>
        <v>-</v>
      </c>
      <c r="E35" s="27">
        <v>0</v>
      </c>
      <c r="F35" s="27">
        <v>0</v>
      </c>
      <c r="G35" s="20" t="str">
        <f t="shared" si="55"/>
        <v>-</v>
      </c>
      <c r="H35" s="27">
        <v>0</v>
      </c>
      <c r="I35" s="27">
        <v>0</v>
      </c>
      <c r="J35" s="20" t="str">
        <f t="shared" si="56"/>
        <v>-</v>
      </c>
      <c r="K35" s="27">
        <v>0</v>
      </c>
      <c r="L35" s="27">
        <v>0</v>
      </c>
      <c r="M35" s="20" t="str">
        <f t="shared" si="57"/>
        <v>-</v>
      </c>
      <c r="N35" s="27">
        <v>0</v>
      </c>
      <c r="O35" s="27">
        <v>0</v>
      </c>
      <c r="P35" s="20" t="str">
        <f t="shared" si="58"/>
        <v>-</v>
      </c>
      <c r="Q35" s="1">
        <v>801563.4</v>
      </c>
      <c r="R35" s="1">
        <v>801563.4</v>
      </c>
      <c r="S35" s="20">
        <f t="shared" si="59"/>
        <v>100</v>
      </c>
      <c r="T35" s="28">
        <v>0</v>
      </c>
      <c r="U35" s="28">
        <v>0</v>
      </c>
      <c r="V35" s="20" t="str">
        <f t="shared" si="60"/>
        <v>-</v>
      </c>
      <c r="W35" s="1">
        <v>975488.43</v>
      </c>
      <c r="X35" s="1">
        <v>126550.43</v>
      </c>
      <c r="Y35" s="20">
        <f t="shared" si="61"/>
        <v>12.973032391578441</v>
      </c>
      <c r="Z35" s="13" t="str">
        <f t="shared" si="8"/>
        <v>-</v>
      </c>
      <c r="AA35" s="13" t="str">
        <f t="shared" si="8"/>
        <v>-</v>
      </c>
    </row>
    <row r="36" spans="1:27" x14ac:dyDescent="0.3">
      <c r="A36" s="5" t="s">
        <v>52</v>
      </c>
      <c r="B36" s="27">
        <v>46512.9</v>
      </c>
      <c r="C36" s="27">
        <v>46512.9</v>
      </c>
      <c r="D36" s="20">
        <f t="shared" si="54"/>
        <v>100</v>
      </c>
      <c r="E36" s="27">
        <v>0</v>
      </c>
      <c r="F36" s="27">
        <v>0</v>
      </c>
      <c r="G36" s="20" t="str">
        <f t="shared" si="55"/>
        <v>-</v>
      </c>
      <c r="H36" s="27">
        <v>0</v>
      </c>
      <c r="I36" s="27">
        <v>0</v>
      </c>
      <c r="J36" s="20" t="str">
        <f t="shared" si="56"/>
        <v>-</v>
      </c>
      <c r="K36" s="27">
        <v>0</v>
      </c>
      <c r="L36" s="27">
        <v>0</v>
      </c>
      <c r="M36" s="20" t="str">
        <f t="shared" si="57"/>
        <v>-</v>
      </c>
      <c r="N36" s="27">
        <v>0</v>
      </c>
      <c r="O36" s="27">
        <v>0</v>
      </c>
      <c r="P36" s="20" t="str">
        <f t="shared" si="58"/>
        <v>-</v>
      </c>
      <c r="Q36" s="1">
        <v>13496816.300000001</v>
      </c>
      <c r="R36" s="1">
        <v>13496816.300000001</v>
      </c>
      <c r="S36" s="20">
        <f t="shared" si="59"/>
        <v>100</v>
      </c>
      <c r="T36" s="1">
        <v>2500000</v>
      </c>
      <c r="U36" s="1">
        <v>1000000</v>
      </c>
      <c r="V36" s="20">
        <f t="shared" si="60"/>
        <v>40</v>
      </c>
      <c r="W36" s="1">
        <v>8304187.7000000002</v>
      </c>
      <c r="X36" s="1">
        <v>5505969.0999999996</v>
      </c>
      <c r="Y36" s="20">
        <f t="shared" si="61"/>
        <v>66.303524184550881</v>
      </c>
      <c r="Z36" s="13">
        <f t="shared" si="8"/>
        <v>232.167508</v>
      </c>
      <c r="AA36" s="13">
        <f t="shared" si="8"/>
        <v>450.59690999999998</v>
      </c>
    </row>
    <row r="37" spans="1:27" x14ac:dyDescent="0.3">
      <c r="A37" s="5" t="s">
        <v>263</v>
      </c>
      <c r="B37" s="27">
        <v>0</v>
      </c>
      <c r="C37" s="27">
        <v>0</v>
      </c>
      <c r="D37" s="20" t="str">
        <f t="shared" si="54"/>
        <v>-</v>
      </c>
      <c r="E37" s="27">
        <v>0</v>
      </c>
      <c r="F37" s="27">
        <v>0</v>
      </c>
      <c r="G37" s="20" t="str">
        <f t="shared" si="55"/>
        <v>-</v>
      </c>
      <c r="H37" s="27">
        <v>0</v>
      </c>
      <c r="I37" s="27">
        <v>0</v>
      </c>
      <c r="J37" s="20" t="str">
        <f t="shared" si="56"/>
        <v>-</v>
      </c>
      <c r="K37" s="27">
        <v>0</v>
      </c>
      <c r="L37" s="27">
        <v>0</v>
      </c>
      <c r="M37" s="20" t="str">
        <f t="shared" si="57"/>
        <v>-</v>
      </c>
      <c r="N37" s="27">
        <v>0</v>
      </c>
      <c r="O37" s="27">
        <v>0</v>
      </c>
      <c r="P37" s="20" t="str">
        <f t="shared" si="58"/>
        <v>-</v>
      </c>
      <c r="Q37" s="27">
        <v>0</v>
      </c>
      <c r="R37" s="27">
        <v>0</v>
      </c>
      <c r="S37" s="20" t="str">
        <f t="shared" si="59"/>
        <v>-</v>
      </c>
      <c r="T37" s="28">
        <v>0</v>
      </c>
      <c r="U37" s="28">
        <v>0</v>
      </c>
      <c r="V37" s="20" t="str">
        <f t="shared" si="60"/>
        <v>-</v>
      </c>
      <c r="W37" s="1">
        <v>0</v>
      </c>
      <c r="X37" s="1">
        <v>0</v>
      </c>
      <c r="Y37" s="20" t="str">
        <f t="shared" si="61"/>
        <v>-</v>
      </c>
      <c r="Z37" s="13" t="str">
        <f t="shared" si="8"/>
        <v>-</v>
      </c>
      <c r="AA37" s="13" t="str">
        <f t="shared" si="8"/>
        <v>-</v>
      </c>
    </row>
    <row r="38" spans="1:27" x14ac:dyDescent="0.3">
      <c r="A38" s="5" t="s">
        <v>53</v>
      </c>
      <c r="B38" s="27">
        <v>0</v>
      </c>
      <c r="C38" s="27">
        <v>0</v>
      </c>
      <c r="D38" s="20" t="str">
        <f t="shared" si="54"/>
        <v>-</v>
      </c>
      <c r="E38" s="27">
        <v>0</v>
      </c>
      <c r="F38" s="27">
        <v>0</v>
      </c>
      <c r="G38" s="20" t="str">
        <f t="shared" si="55"/>
        <v>-</v>
      </c>
      <c r="H38" s="27">
        <v>0</v>
      </c>
      <c r="I38" s="27">
        <v>0</v>
      </c>
      <c r="J38" s="20" t="str">
        <f t="shared" si="56"/>
        <v>-</v>
      </c>
      <c r="K38" s="27">
        <v>0</v>
      </c>
      <c r="L38" s="27">
        <v>0</v>
      </c>
      <c r="M38" s="20" t="str">
        <f t="shared" si="57"/>
        <v>-</v>
      </c>
      <c r="N38" s="27">
        <v>0</v>
      </c>
      <c r="O38" s="27">
        <v>0</v>
      </c>
      <c r="P38" s="20" t="str">
        <f t="shared" si="58"/>
        <v>-</v>
      </c>
      <c r="Q38" s="27">
        <v>0</v>
      </c>
      <c r="R38" s="27">
        <v>0</v>
      </c>
      <c r="S38" s="20" t="str">
        <f t="shared" si="59"/>
        <v>-</v>
      </c>
      <c r="T38" s="28">
        <v>0</v>
      </c>
      <c r="U38" s="28">
        <v>0</v>
      </c>
      <c r="V38" s="20" t="str">
        <f t="shared" si="60"/>
        <v>-</v>
      </c>
      <c r="W38" s="1">
        <v>0</v>
      </c>
      <c r="X38" s="1">
        <v>0</v>
      </c>
      <c r="Y38" s="20" t="str">
        <f t="shared" si="61"/>
        <v>-</v>
      </c>
      <c r="Z38" s="13" t="str">
        <f t="shared" si="8"/>
        <v>-</v>
      </c>
      <c r="AA38" s="13" t="str">
        <f t="shared" si="8"/>
        <v>-</v>
      </c>
    </row>
    <row r="39" spans="1:27" x14ac:dyDescent="0.3">
      <c r="A39" s="5" t="s">
        <v>54</v>
      </c>
      <c r="B39" s="27">
        <v>13252941.18</v>
      </c>
      <c r="C39" s="27">
        <v>13252941.18</v>
      </c>
      <c r="D39" s="20">
        <f t="shared" si="54"/>
        <v>100</v>
      </c>
      <c r="E39" s="27">
        <v>13252941.18</v>
      </c>
      <c r="F39" s="27">
        <v>13252941.18</v>
      </c>
      <c r="G39" s="20">
        <f t="shared" si="55"/>
        <v>100</v>
      </c>
      <c r="H39" s="27">
        <v>13252941.18</v>
      </c>
      <c r="I39" s="27">
        <v>13252941.18</v>
      </c>
      <c r="J39" s="20">
        <f t="shared" si="56"/>
        <v>100</v>
      </c>
      <c r="K39" s="27">
        <v>13252941.18</v>
      </c>
      <c r="L39" s="27">
        <v>13252941.18</v>
      </c>
      <c r="M39" s="20">
        <f t="shared" si="57"/>
        <v>100</v>
      </c>
      <c r="N39" s="27">
        <v>13252941.18</v>
      </c>
      <c r="O39" s="27">
        <v>13252941.18</v>
      </c>
      <c r="P39" s="20">
        <f t="shared" si="58"/>
        <v>100</v>
      </c>
      <c r="Q39" s="1">
        <v>13252941.18</v>
      </c>
      <c r="R39" s="1">
        <v>13252941.18</v>
      </c>
      <c r="S39" s="20">
        <f t="shared" si="59"/>
        <v>100</v>
      </c>
      <c r="T39" s="1">
        <v>13252941.18</v>
      </c>
      <c r="U39" s="1">
        <v>13252941.18</v>
      </c>
      <c r="V39" s="20">
        <f t="shared" si="60"/>
        <v>100</v>
      </c>
      <c r="W39" s="1">
        <v>13252941.18</v>
      </c>
      <c r="X39" s="1">
        <v>13252941.380000001</v>
      </c>
      <c r="Y39" s="20">
        <f t="shared" si="61"/>
        <v>100.00000150909898</v>
      </c>
      <c r="Z39" s="13">
        <f t="shared" si="8"/>
        <v>0</v>
      </c>
      <c r="AA39" s="13">
        <f t="shared" si="8"/>
        <v>1.5090989791133325E-6</v>
      </c>
    </row>
    <row r="40" spans="1:27" x14ac:dyDescent="0.3">
      <c r="A40" s="5" t="s">
        <v>55</v>
      </c>
      <c r="B40" s="27">
        <v>4568688.0599999996</v>
      </c>
      <c r="C40" s="27">
        <v>4568688.0599999996</v>
      </c>
      <c r="D40" s="20">
        <f t="shared" si="54"/>
        <v>100</v>
      </c>
      <c r="E40" s="27">
        <v>4730424.26</v>
      </c>
      <c r="F40" s="27">
        <v>4730424.26</v>
      </c>
      <c r="G40" s="20">
        <f t="shared" si="55"/>
        <v>100</v>
      </c>
      <c r="H40" s="27">
        <v>4897895.83</v>
      </c>
      <c r="I40" s="27">
        <v>4897895.83</v>
      </c>
      <c r="J40" s="20">
        <f t="shared" si="56"/>
        <v>100</v>
      </c>
      <c r="K40" s="27">
        <v>5072186.42</v>
      </c>
      <c r="L40" s="27">
        <v>5072186.42</v>
      </c>
      <c r="M40" s="20">
        <f t="shared" si="57"/>
        <v>100</v>
      </c>
      <c r="N40" s="27">
        <v>5253537.74</v>
      </c>
      <c r="O40" s="27">
        <v>5253537.74</v>
      </c>
      <c r="P40" s="20">
        <f t="shared" si="58"/>
        <v>100</v>
      </c>
      <c r="Q40" s="1">
        <v>3656921.44</v>
      </c>
      <c r="R40" s="1">
        <v>3656921.44</v>
      </c>
      <c r="S40" s="20">
        <f t="shared" si="59"/>
        <v>100</v>
      </c>
      <c r="T40" s="1">
        <v>3779039.28</v>
      </c>
      <c r="U40" s="1">
        <v>3779039.28</v>
      </c>
      <c r="V40" s="20">
        <f t="shared" si="60"/>
        <v>100</v>
      </c>
      <c r="W40" s="1">
        <v>2507200</v>
      </c>
      <c r="X40" s="1">
        <v>2507200</v>
      </c>
      <c r="Y40" s="20">
        <f t="shared" si="61"/>
        <v>100</v>
      </c>
      <c r="Z40" s="13">
        <f t="shared" si="8"/>
        <v>-33.655095535286421</v>
      </c>
      <c r="AA40" s="13">
        <f t="shared" si="8"/>
        <v>-33.655095535286421</v>
      </c>
    </row>
    <row r="41" spans="1:27" x14ac:dyDescent="0.3">
      <c r="A41" s="5" t="s">
        <v>56</v>
      </c>
      <c r="B41" s="27">
        <v>0</v>
      </c>
      <c r="C41" s="27">
        <v>0</v>
      </c>
      <c r="D41" s="20" t="str">
        <f t="shared" si="54"/>
        <v>-</v>
      </c>
      <c r="E41" s="27">
        <v>0</v>
      </c>
      <c r="F41" s="27">
        <v>0</v>
      </c>
      <c r="G41" s="20" t="str">
        <f t="shared" si="55"/>
        <v>-</v>
      </c>
      <c r="H41" s="27">
        <v>0</v>
      </c>
      <c r="I41" s="27">
        <v>0</v>
      </c>
      <c r="J41" s="20" t="str">
        <f t="shared" si="56"/>
        <v>-</v>
      </c>
      <c r="K41" s="27">
        <v>0</v>
      </c>
      <c r="L41" s="27">
        <v>0</v>
      </c>
      <c r="M41" s="20" t="str">
        <f t="shared" si="57"/>
        <v>-</v>
      </c>
      <c r="N41" s="27">
        <v>0</v>
      </c>
      <c r="O41" s="27">
        <v>0</v>
      </c>
      <c r="P41" s="20" t="str">
        <f t="shared" si="58"/>
        <v>-</v>
      </c>
      <c r="Q41" s="27">
        <v>0</v>
      </c>
      <c r="R41" s="27">
        <v>0</v>
      </c>
      <c r="S41" s="20" t="str">
        <f t="shared" si="59"/>
        <v>-</v>
      </c>
      <c r="T41" s="27">
        <v>0</v>
      </c>
      <c r="U41" s="27">
        <v>0</v>
      </c>
      <c r="V41" s="20" t="str">
        <f t="shared" si="60"/>
        <v>-</v>
      </c>
      <c r="W41" s="1">
        <v>0</v>
      </c>
      <c r="X41" s="1">
        <v>0</v>
      </c>
      <c r="Y41" s="20" t="str">
        <f t="shared" si="61"/>
        <v>-</v>
      </c>
      <c r="Z41" s="13" t="str">
        <f t="shared" si="8"/>
        <v>-</v>
      </c>
      <c r="AA41" s="13" t="str">
        <f t="shared" si="8"/>
        <v>-</v>
      </c>
    </row>
    <row r="42" spans="1:27" x14ac:dyDescent="0.3">
      <c r="A42" s="5" t="s">
        <v>57</v>
      </c>
      <c r="B42" s="27">
        <v>9163587.25</v>
      </c>
      <c r="C42" s="27">
        <v>9163587.25</v>
      </c>
      <c r="D42" s="20">
        <f t="shared" si="54"/>
        <v>100</v>
      </c>
      <c r="E42" s="27">
        <v>9817872.8699999992</v>
      </c>
      <c r="F42" s="27">
        <v>9817872.8699999992</v>
      </c>
      <c r="G42" s="20">
        <f t="shared" si="55"/>
        <v>100</v>
      </c>
      <c r="H42" s="27">
        <v>9896952.2100000009</v>
      </c>
      <c r="I42" s="27">
        <v>9896952.2100000009</v>
      </c>
      <c r="J42" s="20">
        <f t="shared" si="56"/>
        <v>100</v>
      </c>
      <c r="K42" s="27">
        <v>5126263.26</v>
      </c>
      <c r="L42" s="27">
        <v>5126263.26</v>
      </c>
      <c r="M42" s="20">
        <f t="shared" si="57"/>
        <v>100</v>
      </c>
      <c r="N42" s="27">
        <v>2525199.4900000002</v>
      </c>
      <c r="O42" s="27">
        <v>2525199.4900000002</v>
      </c>
      <c r="P42" s="20">
        <f t="shared" si="58"/>
        <v>100</v>
      </c>
      <c r="Q42" s="1">
        <v>3961689.58</v>
      </c>
      <c r="R42" s="1">
        <v>3961689.58</v>
      </c>
      <c r="S42" s="20">
        <f t="shared" si="59"/>
        <v>100</v>
      </c>
      <c r="T42" s="1">
        <v>4134879.69</v>
      </c>
      <c r="U42" s="1">
        <v>4134879.69</v>
      </c>
      <c r="V42" s="20">
        <f t="shared" si="60"/>
        <v>100</v>
      </c>
      <c r="W42" s="1">
        <v>8871877.0199999996</v>
      </c>
      <c r="X42" s="1">
        <v>8851877.0199999996</v>
      </c>
      <c r="Y42" s="20">
        <f t="shared" si="61"/>
        <v>99.77456856136628</v>
      </c>
      <c r="Z42" s="13">
        <f t="shared" si="8"/>
        <v>114.5619143757965</v>
      </c>
      <c r="AA42" s="13">
        <f t="shared" si="8"/>
        <v>114.07822436545908</v>
      </c>
    </row>
    <row r="43" spans="1:27" x14ac:dyDescent="0.3">
      <c r="A43" s="5" t="s">
        <v>58</v>
      </c>
      <c r="B43" s="27">
        <v>0</v>
      </c>
      <c r="C43" s="27">
        <v>0</v>
      </c>
      <c r="D43" s="20" t="str">
        <f t="shared" si="54"/>
        <v>-</v>
      </c>
      <c r="E43" s="27">
        <v>0</v>
      </c>
      <c r="F43" s="27">
        <v>0</v>
      </c>
      <c r="G43" s="20" t="str">
        <f t="shared" si="55"/>
        <v>-</v>
      </c>
      <c r="H43" s="27">
        <v>0</v>
      </c>
      <c r="I43" s="27">
        <v>0</v>
      </c>
      <c r="J43" s="20" t="str">
        <f t="shared" si="56"/>
        <v>-</v>
      </c>
      <c r="K43" s="27">
        <v>0</v>
      </c>
      <c r="L43" s="27">
        <v>0</v>
      </c>
      <c r="M43" s="20" t="str">
        <f t="shared" si="57"/>
        <v>-</v>
      </c>
      <c r="N43" s="27">
        <v>0</v>
      </c>
      <c r="O43" s="27">
        <v>0</v>
      </c>
      <c r="P43" s="20" t="str">
        <f t="shared" si="58"/>
        <v>-</v>
      </c>
      <c r="Q43" s="27">
        <v>0</v>
      </c>
      <c r="R43" s="27">
        <v>0</v>
      </c>
      <c r="S43" s="20" t="str">
        <f t="shared" si="59"/>
        <v>-</v>
      </c>
      <c r="T43" s="27">
        <v>0</v>
      </c>
      <c r="U43" s="27">
        <v>0</v>
      </c>
      <c r="V43" s="20" t="str">
        <f t="shared" si="60"/>
        <v>-</v>
      </c>
      <c r="W43" s="27">
        <v>0</v>
      </c>
      <c r="X43" s="27">
        <v>0</v>
      </c>
      <c r="Y43" s="20" t="str">
        <f t="shared" si="61"/>
        <v>-</v>
      </c>
      <c r="Z43" s="13" t="str">
        <f t="shared" si="8"/>
        <v>-</v>
      </c>
      <c r="AA43" s="13" t="str">
        <f t="shared" si="8"/>
        <v>-</v>
      </c>
    </row>
    <row r="44" spans="1:27" x14ac:dyDescent="0.3">
      <c r="A44" s="5" t="s">
        <v>59</v>
      </c>
      <c r="B44" s="27">
        <v>0</v>
      </c>
      <c r="C44" s="27">
        <v>0</v>
      </c>
      <c r="D44" s="20" t="str">
        <f t="shared" si="54"/>
        <v>-</v>
      </c>
      <c r="E44" s="27">
        <v>0</v>
      </c>
      <c r="F44" s="27">
        <v>0</v>
      </c>
      <c r="G44" s="20" t="str">
        <f t="shared" si="55"/>
        <v>-</v>
      </c>
      <c r="H44" s="27">
        <v>0</v>
      </c>
      <c r="I44" s="27">
        <v>0</v>
      </c>
      <c r="J44" s="20" t="str">
        <f t="shared" si="56"/>
        <v>-</v>
      </c>
      <c r="K44" s="27">
        <v>0</v>
      </c>
      <c r="L44" s="27">
        <v>0</v>
      </c>
      <c r="M44" s="20" t="str">
        <f t="shared" si="57"/>
        <v>-</v>
      </c>
      <c r="N44" s="27">
        <v>0</v>
      </c>
      <c r="O44" s="27">
        <v>0</v>
      </c>
      <c r="P44" s="20" t="str">
        <f t="shared" si="58"/>
        <v>-</v>
      </c>
      <c r="Q44" s="27">
        <v>0</v>
      </c>
      <c r="R44" s="27">
        <v>0</v>
      </c>
      <c r="S44" s="20" t="str">
        <f t="shared" si="59"/>
        <v>-</v>
      </c>
      <c r="T44" s="27">
        <v>0</v>
      </c>
      <c r="U44" s="27">
        <v>0</v>
      </c>
      <c r="V44" s="20" t="str">
        <f t="shared" si="60"/>
        <v>-</v>
      </c>
      <c r="W44" s="27">
        <v>0</v>
      </c>
      <c r="X44" s="27">
        <v>0</v>
      </c>
      <c r="Y44" s="20" t="str">
        <f t="shared" si="61"/>
        <v>-</v>
      </c>
      <c r="Z44" s="13" t="str">
        <f t="shared" si="8"/>
        <v>-</v>
      </c>
      <c r="AA44" s="13" t="str">
        <f t="shared" si="8"/>
        <v>-</v>
      </c>
    </row>
    <row r="45" spans="1:27" x14ac:dyDescent="0.3">
      <c r="A45" s="5" t="s">
        <v>60</v>
      </c>
      <c r="B45" s="27">
        <v>0</v>
      </c>
      <c r="C45" s="27">
        <v>0</v>
      </c>
      <c r="D45" s="20" t="str">
        <f t="shared" si="54"/>
        <v>-</v>
      </c>
      <c r="E45" s="27">
        <v>0</v>
      </c>
      <c r="F45" s="27">
        <v>0</v>
      </c>
      <c r="G45" s="20" t="str">
        <f t="shared" si="55"/>
        <v>-</v>
      </c>
      <c r="H45" s="27">
        <v>0</v>
      </c>
      <c r="I45" s="27">
        <v>0</v>
      </c>
      <c r="J45" s="20" t="str">
        <f t="shared" si="56"/>
        <v>-</v>
      </c>
      <c r="K45" s="27">
        <v>0</v>
      </c>
      <c r="L45" s="27">
        <v>0</v>
      </c>
      <c r="M45" s="20" t="str">
        <f t="shared" si="57"/>
        <v>-</v>
      </c>
      <c r="N45" s="27">
        <v>0</v>
      </c>
      <c r="O45" s="27">
        <v>0</v>
      </c>
      <c r="P45" s="20" t="str">
        <f t="shared" si="58"/>
        <v>-</v>
      </c>
      <c r="Q45" s="27">
        <v>0</v>
      </c>
      <c r="R45" s="27">
        <v>0</v>
      </c>
      <c r="S45" s="20" t="str">
        <f t="shared" si="59"/>
        <v>-</v>
      </c>
      <c r="T45" s="27">
        <v>0</v>
      </c>
      <c r="U45" s="27">
        <v>0</v>
      </c>
      <c r="V45" s="20" t="str">
        <f t="shared" si="60"/>
        <v>-</v>
      </c>
      <c r="W45" s="27">
        <v>0</v>
      </c>
      <c r="X45" s="27">
        <v>0</v>
      </c>
      <c r="Y45" s="20" t="str">
        <f t="shared" si="61"/>
        <v>-</v>
      </c>
      <c r="Z45" s="13" t="str">
        <f t="shared" si="8"/>
        <v>-</v>
      </c>
      <c r="AA45" s="13" t="str">
        <f t="shared" si="8"/>
        <v>-</v>
      </c>
    </row>
    <row r="46" spans="1:27" x14ac:dyDescent="0.3">
      <c r="A46" s="5" t="s">
        <v>61</v>
      </c>
      <c r="B46" s="27">
        <v>20773384.16</v>
      </c>
      <c r="C46" s="27">
        <v>0</v>
      </c>
      <c r="D46" s="20">
        <f t="shared" si="54"/>
        <v>0</v>
      </c>
      <c r="E46" s="27">
        <v>45116306.909999996</v>
      </c>
      <c r="F46" s="27">
        <v>0</v>
      </c>
      <c r="G46" s="20">
        <f t="shared" si="55"/>
        <v>0</v>
      </c>
      <c r="H46" s="27">
        <v>36580589.369999997</v>
      </c>
      <c r="I46" s="27">
        <v>0</v>
      </c>
      <c r="J46" s="20">
        <f t="shared" si="56"/>
        <v>0</v>
      </c>
      <c r="K46" s="27">
        <v>35502050.25</v>
      </c>
      <c r="L46" s="27">
        <v>0</v>
      </c>
      <c r="M46" s="20">
        <f t="shared" si="57"/>
        <v>0</v>
      </c>
      <c r="N46" s="27">
        <v>39797554.079999998</v>
      </c>
      <c r="O46" s="27">
        <v>0</v>
      </c>
      <c r="P46" s="20">
        <f t="shared" si="58"/>
        <v>0</v>
      </c>
      <c r="Q46" s="27">
        <v>38168039.130000003</v>
      </c>
      <c r="R46" s="27">
        <v>0</v>
      </c>
      <c r="S46" s="20">
        <f t="shared" si="59"/>
        <v>0</v>
      </c>
      <c r="T46" s="27">
        <v>36491859.850000001</v>
      </c>
      <c r="U46" s="27">
        <v>0</v>
      </c>
      <c r="V46" s="20">
        <f t="shared" si="60"/>
        <v>0</v>
      </c>
      <c r="W46" s="1">
        <v>49082226.270000003</v>
      </c>
      <c r="X46" s="27">
        <v>0</v>
      </c>
      <c r="Y46" s="20">
        <f t="shared" si="61"/>
        <v>0</v>
      </c>
      <c r="Z46" s="13">
        <f t="shared" si="8"/>
        <v>34.501849102108736</v>
      </c>
      <c r="AA46" s="13" t="str">
        <f t="shared" si="8"/>
        <v>-</v>
      </c>
    </row>
    <row r="47" spans="1:27" x14ac:dyDescent="0.3">
      <c r="A47" s="5" t="s">
        <v>62</v>
      </c>
      <c r="B47" s="27">
        <v>18017735.609999999</v>
      </c>
      <c r="C47" s="27">
        <v>0</v>
      </c>
      <c r="D47" s="20">
        <f t="shared" si="54"/>
        <v>0</v>
      </c>
      <c r="E47" s="27">
        <v>3891426.28</v>
      </c>
      <c r="F47" s="27">
        <v>0</v>
      </c>
      <c r="G47" s="20">
        <f t="shared" si="55"/>
        <v>0</v>
      </c>
      <c r="H47" s="27">
        <v>3910124.58</v>
      </c>
      <c r="I47" s="27">
        <v>0</v>
      </c>
      <c r="J47" s="20">
        <f t="shared" si="56"/>
        <v>0</v>
      </c>
      <c r="K47" s="27">
        <v>3847752.57</v>
      </c>
      <c r="L47" s="27">
        <v>0</v>
      </c>
      <c r="M47" s="20">
        <f t="shared" si="57"/>
        <v>0</v>
      </c>
      <c r="N47" s="27">
        <v>1146833.5</v>
      </c>
      <c r="O47" s="27">
        <v>0</v>
      </c>
      <c r="P47" s="20">
        <f t="shared" si="58"/>
        <v>0</v>
      </c>
      <c r="Q47" s="27">
        <v>1521460</v>
      </c>
      <c r="R47" s="27">
        <v>0</v>
      </c>
      <c r="S47" s="20">
        <f t="shared" si="59"/>
        <v>0</v>
      </c>
      <c r="T47" s="27">
        <v>1725583.73</v>
      </c>
      <c r="U47" s="27">
        <v>0</v>
      </c>
      <c r="V47" s="20">
        <f t="shared" si="60"/>
        <v>0</v>
      </c>
      <c r="W47" s="1">
        <v>1568487.74</v>
      </c>
      <c r="X47" s="27">
        <v>0</v>
      </c>
      <c r="Y47" s="20">
        <f t="shared" si="61"/>
        <v>0</v>
      </c>
      <c r="Z47" s="13">
        <f t="shared" si="8"/>
        <v>-9.1039331948267801</v>
      </c>
      <c r="AA47" s="13" t="str">
        <f t="shared" si="8"/>
        <v>-</v>
      </c>
    </row>
    <row r="48" spans="1:27" x14ac:dyDescent="0.3">
      <c r="A48" s="5" t="s">
        <v>63</v>
      </c>
      <c r="B48" s="27">
        <f t="shared" ref="B48:C48" si="62">SUM(B23:B30)</f>
        <v>278398264.47999996</v>
      </c>
      <c r="C48" s="27">
        <f t="shared" si="62"/>
        <v>239865935.72999999</v>
      </c>
      <c r="D48" s="20">
        <f t="shared" si="54"/>
        <v>86.15927839134639</v>
      </c>
      <c r="E48" s="27">
        <f t="shared" ref="E48:F48" si="63">SUM(E23:E30)</f>
        <v>277647409.86000001</v>
      </c>
      <c r="F48" s="27">
        <f t="shared" si="63"/>
        <v>237995033.93999997</v>
      </c>
      <c r="G48" s="20">
        <f t="shared" si="55"/>
        <v>85.718441983667631</v>
      </c>
      <c r="H48" s="27">
        <f t="shared" ref="H48:I48" si="64">SUM(H23:H30)</f>
        <v>287172118.49000001</v>
      </c>
      <c r="I48" s="27">
        <f t="shared" si="64"/>
        <v>247618633.24000001</v>
      </c>
      <c r="J48" s="20">
        <f t="shared" si="56"/>
        <v>86.22655797576067</v>
      </c>
      <c r="K48" s="27">
        <f t="shared" ref="K48:L48" si="65">SUM(K23:K30)</f>
        <v>287098062.80000001</v>
      </c>
      <c r="L48" s="27">
        <f t="shared" si="65"/>
        <v>241535043.44000003</v>
      </c>
      <c r="M48" s="20">
        <f t="shared" si="57"/>
        <v>84.129806061512724</v>
      </c>
      <c r="N48" s="27">
        <f t="shared" ref="N48:O48" si="66">SUM(N23:N30)</f>
        <v>286316953.57000005</v>
      </c>
      <c r="O48" s="27">
        <f t="shared" si="66"/>
        <v>236819420.89999998</v>
      </c>
      <c r="P48" s="20">
        <f t="shared" si="58"/>
        <v>82.712329097934926</v>
      </c>
      <c r="Q48" s="27">
        <f t="shared" ref="Q48:R48" si="67">SUM(Q23:Q30)</f>
        <v>300175891.73000002</v>
      </c>
      <c r="R48" s="27">
        <f t="shared" si="67"/>
        <v>252520807.79999998</v>
      </c>
      <c r="S48" s="20">
        <f t="shared" si="59"/>
        <v>84.124280049490281</v>
      </c>
      <c r="T48" s="27">
        <f t="shared" ref="T48:U48" si="68">SUM(T23:T30)</f>
        <v>324164283.11000001</v>
      </c>
      <c r="U48" s="27">
        <f t="shared" si="68"/>
        <v>266916623.80000001</v>
      </c>
      <c r="V48" s="20">
        <f t="shared" si="60"/>
        <v>82.339923830974953</v>
      </c>
      <c r="W48" s="27">
        <f t="shared" ref="W48:X48" si="69">SUM(W23:W30)</f>
        <v>329542001.77999997</v>
      </c>
      <c r="X48" s="130">
        <f t="shared" si="69"/>
        <v>271966714.73999995</v>
      </c>
      <c r="Y48" s="20">
        <f t="shared" si="61"/>
        <v>82.528695362348103</v>
      </c>
      <c r="Z48" s="13">
        <f t="shared" si="8"/>
        <v>1.6589485486823889</v>
      </c>
      <c r="AA48" s="13">
        <f t="shared" si="8"/>
        <v>1.8920106466594433</v>
      </c>
    </row>
    <row r="49" spans="1:27" x14ac:dyDescent="0.3">
      <c r="A49" s="5" t="s">
        <v>64</v>
      </c>
      <c r="B49" s="27">
        <f t="shared" ref="B49:C49" si="70">SUM(B31:B35)</f>
        <v>15599187.160000002</v>
      </c>
      <c r="C49" s="27">
        <f t="shared" si="70"/>
        <v>11126363.6</v>
      </c>
      <c r="D49" s="20">
        <f t="shared" si="54"/>
        <v>71.326560069300413</v>
      </c>
      <c r="E49" s="27">
        <f t="shared" ref="E49:F49" si="71">SUM(E31:E35)</f>
        <v>17041123.460000001</v>
      </c>
      <c r="F49" s="27">
        <f t="shared" si="71"/>
        <v>12772411.499999998</v>
      </c>
      <c r="G49" s="20">
        <f t="shared" si="55"/>
        <v>74.950525004881314</v>
      </c>
      <c r="H49" s="27">
        <f t="shared" ref="H49:I49" si="72">SUM(H31:H35)</f>
        <v>18583013.539999999</v>
      </c>
      <c r="I49" s="27">
        <f t="shared" si="72"/>
        <v>15135107.51</v>
      </c>
      <c r="J49" s="20">
        <f t="shared" si="56"/>
        <v>81.445926288659422</v>
      </c>
      <c r="K49" s="27">
        <f t="shared" ref="K49:L49" si="73">SUM(K31:K35)</f>
        <v>24984083.580000002</v>
      </c>
      <c r="L49" s="27">
        <f t="shared" si="73"/>
        <v>13730930.739999998</v>
      </c>
      <c r="M49" s="20">
        <f t="shared" si="57"/>
        <v>54.958712798222223</v>
      </c>
      <c r="N49" s="27">
        <f t="shared" ref="N49:O49" si="74">SUM(N31:N35)</f>
        <v>37772088.240000002</v>
      </c>
      <c r="O49" s="27">
        <f t="shared" si="74"/>
        <v>25845547.23</v>
      </c>
      <c r="P49" s="20">
        <f t="shared" si="58"/>
        <v>68.424989017763664</v>
      </c>
      <c r="Q49" s="27">
        <f t="shared" ref="Q49:R49" si="75">SUM(Q31:Q35)</f>
        <v>31076085.839999996</v>
      </c>
      <c r="R49" s="27">
        <f t="shared" si="75"/>
        <v>23234358.159999996</v>
      </c>
      <c r="S49" s="20">
        <f t="shared" si="59"/>
        <v>74.766038038463606</v>
      </c>
      <c r="T49" s="27">
        <f t="shared" ref="T49:U49" si="76">SUM(T31:T35)</f>
        <v>48072769.93999999</v>
      </c>
      <c r="U49" s="27">
        <f t="shared" si="76"/>
        <v>28476650.59</v>
      </c>
      <c r="V49" s="20">
        <f t="shared" si="60"/>
        <v>59.236550391296227</v>
      </c>
      <c r="W49" s="27">
        <f t="shared" ref="W49:X49" si="77">SUM(W31:W35)</f>
        <v>53356612.32</v>
      </c>
      <c r="X49" s="130">
        <f t="shared" si="77"/>
        <v>39086504.559999995</v>
      </c>
      <c r="Y49" s="20">
        <f t="shared" si="61"/>
        <v>73.255221537648012</v>
      </c>
      <c r="Z49" s="13">
        <f t="shared" si="8"/>
        <v>10.991341640173459</v>
      </c>
      <c r="AA49" s="13">
        <f t="shared" si="8"/>
        <v>37.258082499793005</v>
      </c>
    </row>
    <row r="50" spans="1:27" x14ac:dyDescent="0.3">
      <c r="A50" s="5" t="s">
        <v>65</v>
      </c>
      <c r="B50" s="27">
        <f t="shared" ref="B50:C50" si="78">SUM(B36:B39)</f>
        <v>13299454.08</v>
      </c>
      <c r="C50" s="27">
        <f t="shared" si="78"/>
        <v>13299454.08</v>
      </c>
      <c r="D50" s="20">
        <f t="shared" si="54"/>
        <v>100</v>
      </c>
      <c r="E50" s="27">
        <f t="shared" ref="E50:F50" si="79">SUM(E36:E39)</f>
        <v>13252941.18</v>
      </c>
      <c r="F50" s="27">
        <f t="shared" si="79"/>
        <v>13252941.18</v>
      </c>
      <c r="G50" s="20">
        <f t="shared" si="55"/>
        <v>100</v>
      </c>
      <c r="H50" s="27">
        <f t="shared" ref="H50:I50" si="80">SUM(H36:H39)</f>
        <v>13252941.18</v>
      </c>
      <c r="I50" s="27">
        <f t="shared" si="80"/>
        <v>13252941.18</v>
      </c>
      <c r="J50" s="20">
        <f t="shared" si="56"/>
        <v>100</v>
      </c>
      <c r="K50" s="27">
        <f t="shared" ref="K50:L50" si="81">SUM(K36:K39)</f>
        <v>13252941.18</v>
      </c>
      <c r="L50" s="27">
        <f t="shared" si="81"/>
        <v>13252941.18</v>
      </c>
      <c r="M50" s="20">
        <f t="shared" si="57"/>
        <v>100</v>
      </c>
      <c r="N50" s="27">
        <f t="shared" ref="N50:O50" si="82">SUM(N36:N39)</f>
        <v>13252941.18</v>
      </c>
      <c r="O50" s="27">
        <f t="shared" si="82"/>
        <v>13252941.18</v>
      </c>
      <c r="P50" s="20">
        <f t="shared" si="58"/>
        <v>100</v>
      </c>
      <c r="Q50" s="27">
        <f t="shared" ref="Q50:R50" si="83">SUM(Q36:Q39)</f>
        <v>26749757.48</v>
      </c>
      <c r="R50" s="27">
        <f t="shared" si="83"/>
        <v>26749757.48</v>
      </c>
      <c r="S50" s="20">
        <f t="shared" si="59"/>
        <v>100</v>
      </c>
      <c r="T50" s="27">
        <f t="shared" ref="T50:U50" si="84">SUM(T36:T39)</f>
        <v>15752941.18</v>
      </c>
      <c r="U50" s="27">
        <f t="shared" si="84"/>
        <v>14252941.18</v>
      </c>
      <c r="V50" s="20">
        <f t="shared" si="60"/>
        <v>90.477968635441826</v>
      </c>
      <c r="W50" s="27">
        <f t="shared" ref="W50:X50" si="85">SUM(W36:W39)</f>
        <v>21557128.879999999</v>
      </c>
      <c r="X50" s="27">
        <f t="shared" si="85"/>
        <v>18758910.48</v>
      </c>
      <c r="Y50" s="20">
        <f t="shared" si="61"/>
        <v>87.019521868721142</v>
      </c>
      <c r="Z50" s="13">
        <f t="shared" si="8"/>
        <v>36.84510488345515</v>
      </c>
      <c r="AA50" s="13">
        <f t="shared" si="8"/>
        <v>31.614312043347695</v>
      </c>
    </row>
    <row r="51" spans="1:27" x14ac:dyDescent="0.3">
      <c r="A51" s="5" t="s">
        <v>66</v>
      </c>
      <c r="B51" s="27">
        <f t="shared" ref="B51:C51" si="86">SUM(B40:B44)</f>
        <v>13732275.309999999</v>
      </c>
      <c r="C51" s="27">
        <f t="shared" si="86"/>
        <v>13732275.309999999</v>
      </c>
      <c r="D51" s="20">
        <f t="shared" si="54"/>
        <v>100</v>
      </c>
      <c r="E51" s="27">
        <f t="shared" ref="E51:F51" si="87">SUM(E40:E44)</f>
        <v>14548297.129999999</v>
      </c>
      <c r="F51" s="27">
        <f t="shared" si="87"/>
        <v>14548297.129999999</v>
      </c>
      <c r="G51" s="20">
        <f t="shared" si="55"/>
        <v>100</v>
      </c>
      <c r="H51" s="27">
        <f t="shared" ref="H51:I51" si="88">SUM(H40:H44)</f>
        <v>14794848.040000001</v>
      </c>
      <c r="I51" s="27">
        <f t="shared" si="88"/>
        <v>14794848.040000001</v>
      </c>
      <c r="J51" s="20">
        <f t="shared" si="56"/>
        <v>100</v>
      </c>
      <c r="K51" s="27">
        <f t="shared" ref="K51:L51" si="89">SUM(K40:K44)</f>
        <v>10198449.68</v>
      </c>
      <c r="L51" s="27">
        <f t="shared" si="89"/>
        <v>10198449.68</v>
      </c>
      <c r="M51" s="20">
        <f t="shared" si="57"/>
        <v>100</v>
      </c>
      <c r="N51" s="27">
        <f t="shared" ref="N51:O51" si="90">SUM(N40:N44)</f>
        <v>7778737.2300000004</v>
      </c>
      <c r="O51" s="27">
        <f t="shared" si="90"/>
        <v>7778737.2300000004</v>
      </c>
      <c r="P51" s="20">
        <f t="shared" si="58"/>
        <v>100</v>
      </c>
      <c r="Q51" s="27">
        <f t="shared" ref="Q51:R51" si="91">SUM(Q40:Q44)</f>
        <v>7618611.0199999996</v>
      </c>
      <c r="R51" s="27">
        <f t="shared" si="91"/>
        <v>7618611.0199999996</v>
      </c>
      <c r="S51" s="20">
        <f t="shared" si="59"/>
        <v>100</v>
      </c>
      <c r="T51" s="27">
        <f t="shared" ref="T51:U51" si="92">SUM(T40:T44)</f>
        <v>7913918.9699999997</v>
      </c>
      <c r="U51" s="27">
        <f t="shared" si="92"/>
        <v>7913918.9699999997</v>
      </c>
      <c r="V51" s="20">
        <f t="shared" si="60"/>
        <v>100</v>
      </c>
      <c r="W51" s="27">
        <f t="shared" ref="W51:X51" si="93">SUM(W40:W44)</f>
        <v>11379077.02</v>
      </c>
      <c r="X51" s="27">
        <f t="shared" si="93"/>
        <v>11359077.02</v>
      </c>
      <c r="Y51" s="20">
        <f t="shared" si="61"/>
        <v>99.824238820381936</v>
      </c>
      <c r="Z51" s="13">
        <f t="shared" si="8"/>
        <v>43.785614474139607</v>
      </c>
      <c r="AA51" s="13">
        <f t="shared" si="8"/>
        <v>43.532895182018763</v>
      </c>
    </row>
    <row r="52" spans="1:27" x14ac:dyDescent="0.3">
      <c r="A52" s="5" t="s">
        <v>67</v>
      </c>
      <c r="B52" s="27">
        <f t="shared" ref="B52:C52" si="94">B45</f>
        <v>0</v>
      </c>
      <c r="C52" s="27">
        <f t="shared" si="94"/>
        <v>0</v>
      </c>
      <c r="D52" s="20" t="str">
        <f t="shared" si="54"/>
        <v>-</v>
      </c>
      <c r="E52" s="27">
        <f t="shared" ref="E52:F52" si="95">E45</f>
        <v>0</v>
      </c>
      <c r="F52" s="27">
        <f t="shared" si="95"/>
        <v>0</v>
      </c>
      <c r="G52" s="20" t="str">
        <f t="shared" si="55"/>
        <v>-</v>
      </c>
      <c r="H52" s="27">
        <f t="shared" ref="H52:I52" si="96">H45</f>
        <v>0</v>
      </c>
      <c r="I52" s="27">
        <f t="shared" si="96"/>
        <v>0</v>
      </c>
      <c r="J52" s="20" t="str">
        <f t="shared" si="56"/>
        <v>-</v>
      </c>
      <c r="K52" s="27">
        <f t="shared" ref="K52:L52" si="97">K45</f>
        <v>0</v>
      </c>
      <c r="L52" s="27">
        <f t="shared" si="97"/>
        <v>0</v>
      </c>
      <c r="M52" s="20" t="str">
        <f t="shared" si="57"/>
        <v>-</v>
      </c>
      <c r="N52" s="27">
        <f t="shared" ref="N52:O52" si="98">N45</f>
        <v>0</v>
      </c>
      <c r="O52" s="27">
        <f t="shared" si="98"/>
        <v>0</v>
      </c>
      <c r="P52" s="20" t="str">
        <f t="shared" si="58"/>
        <v>-</v>
      </c>
      <c r="Q52" s="27">
        <f t="shared" ref="Q52:R52" si="99">Q45</f>
        <v>0</v>
      </c>
      <c r="R52" s="27">
        <f t="shared" si="99"/>
        <v>0</v>
      </c>
      <c r="S52" s="20" t="str">
        <f t="shared" si="59"/>
        <v>-</v>
      </c>
      <c r="T52" s="27">
        <f t="shared" ref="T52:U52" si="100">T45</f>
        <v>0</v>
      </c>
      <c r="U52" s="27">
        <f t="shared" si="100"/>
        <v>0</v>
      </c>
      <c r="V52" s="20" t="str">
        <f t="shared" si="60"/>
        <v>-</v>
      </c>
      <c r="W52" s="27">
        <f t="shared" ref="W52:X52" si="101">W45</f>
        <v>0</v>
      </c>
      <c r="X52" s="27">
        <f t="shared" si="101"/>
        <v>0</v>
      </c>
      <c r="Y52" s="20" t="str">
        <f t="shared" si="61"/>
        <v>-</v>
      </c>
      <c r="Z52" s="13" t="str">
        <f t="shared" si="8"/>
        <v>-</v>
      </c>
      <c r="AA52" s="13" t="str">
        <f t="shared" si="8"/>
        <v>-</v>
      </c>
    </row>
    <row r="53" spans="1:27" x14ac:dyDescent="0.3">
      <c r="A53" s="5" t="s">
        <v>68</v>
      </c>
      <c r="B53" s="27">
        <f>SUM(B46:B47)</f>
        <v>38791119.769999996</v>
      </c>
      <c r="C53" s="29">
        <v>34252197.130000003</v>
      </c>
      <c r="D53" s="20">
        <f t="shared" si="54"/>
        <v>88.299067758517566</v>
      </c>
      <c r="E53" s="27">
        <f>SUM(E46:E47)</f>
        <v>49007733.189999998</v>
      </c>
      <c r="F53" s="29">
        <v>34559403.210000001</v>
      </c>
      <c r="G53" s="20">
        <f t="shared" si="55"/>
        <v>70.518265099133032</v>
      </c>
      <c r="H53" s="27">
        <f>SUM(H46:H47)</f>
        <v>40490713.949999996</v>
      </c>
      <c r="I53" s="29">
        <v>37120504.780000001</v>
      </c>
      <c r="J53" s="20">
        <f t="shared" si="56"/>
        <v>91.676587441353348</v>
      </c>
      <c r="K53" s="27">
        <f>SUM(K46:K47)</f>
        <v>39349802.82</v>
      </c>
      <c r="L53" s="29">
        <v>36347507.020000003</v>
      </c>
      <c r="M53" s="20">
        <f t="shared" si="57"/>
        <v>92.370239277351487</v>
      </c>
      <c r="N53" s="27">
        <f>SUM(N46:N47)</f>
        <v>40944387.579999998</v>
      </c>
      <c r="O53" s="29">
        <v>35393403.649999999</v>
      </c>
      <c r="P53" s="20">
        <f t="shared" si="58"/>
        <v>86.442625575595429</v>
      </c>
      <c r="Q53" s="27">
        <f>SUM(Q46:Q47)</f>
        <v>39689499.130000003</v>
      </c>
      <c r="R53" s="29">
        <v>35430220.219999999</v>
      </c>
      <c r="S53" s="20">
        <f t="shared" si="59"/>
        <v>89.268499216759949</v>
      </c>
      <c r="T53" s="27">
        <f>SUM(T46:T47)</f>
        <v>38217443.579999998</v>
      </c>
      <c r="U53" s="29">
        <v>35072469.030000001</v>
      </c>
      <c r="V53" s="20">
        <f t="shared" si="60"/>
        <v>91.770840078780608</v>
      </c>
      <c r="W53" s="27">
        <f>SUM(W46:W47)</f>
        <v>50650714.010000005</v>
      </c>
      <c r="X53" s="29">
        <v>39939785.799999997</v>
      </c>
      <c r="Y53" s="20">
        <f t="shared" si="61"/>
        <v>78.853351982589331</v>
      </c>
      <c r="Z53" s="13">
        <f t="shared" si="8"/>
        <v>32.532972552111261</v>
      </c>
      <c r="AA53" s="13">
        <f t="shared" si="8"/>
        <v>13.877884576180335</v>
      </c>
    </row>
    <row r="54" spans="1:27" x14ac:dyDescent="0.3">
      <c r="A54" s="5" t="s">
        <v>69</v>
      </c>
      <c r="B54" s="19">
        <f t="shared" ref="B54:C54" si="102">SUM(B48:B53)</f>
        <v>359820300.79999995</v>
      </c>
      <c r="C54" s="19">
        <f t="shared" si="102"/>
        <v>312276225.84999996</v>
      </c>
      <c r="D54" s="20">
        <f t="shared" si="54"/>
        <v>86.786716912777379</v>
      </c>
      <c r="E54" s="24">
        <f t="shared" ref="E54:F54" si="103">SUM(E48:E53)</f>
        <v>371497504.81999999</v>
      </c>
      <c r="F54" s="19">
        <f t="shared" si="103"/>
        <v>313128086.95999998</v>
      </c>
      <c r="G54" s="20">
        <f t="shared" si="55"/>
        <v>84.28807270501548</v>
      </c>
      <c r="H54" s="24">
        <f t="shared" ref="H54:I54" si="104">SUM(H48:H53)</f>
        <v>374293635.20000005</v>
      </c>
      <c r="I54" s="19">
        <f t="shared" si="104"/>
        <v>327922034.75</v>
      </c>
      <c r="J54" s="20">
        <f t="shared" si="56"/>
        <v>87.610903288477814</v>
      </c>
      <c r="K54" s="24">
        <f t="shared" ref="K54:L54" si="105">SUM(K48:K53)</f>
        <v>374883340.06</v>
      </c>
      <c r="L54" s="19">
        <f t="shared" si="105"/>
        <v>315064872.06</v>
      </c>
      <c r="M54" s="20">
        <f t="shared" si="57"/>
        <v>84.043444557865371</v>
      </c>
      <c r="N54" s="24">
        <f t="shared" ref="N54:O54" si="106">SUM(N48:N53)</f>
        <v>386065107.80000007</v>
      </c>
      <c r="O54" s="19">
        <f t="shared" si="106"/>
        <v>319090050.18999994</v>
      </c>
      <c r="P54" s="20">
        <f t="shared" si="58"/>
        <v>82.651874966981893</v>
      </c>
      <c r="Q54" s="24">
        <f t="shared" ref="Q54:R54" si="107">SUM(Q48:Q53)</f>
        <v>405309845.19999999</v>
      </c>
      <c r="R54" s="19">
        <f t="shared" si="107"/>
        <v>345553754.67999995</v>
      </c>
      <c r="S54" s="20">
        <f t="shared" si="59"/>
        <v>85.256689116319535</v>
      </c>
      <c r="T54" s="24">
        <f t="shared" ref="T54:U54" si="108">SUM(T48:T53)</f>
        <v>434121356.78000003</v>
      </c>
      <c r="U54" s="19">
        <f t="shared" si="108"/>
        <v>352632603.57000005</v>
      </c>
      <c r="V54" s="20">
        <f t="shared" si="60"/>
        <v>81.229038392760742</v>
      </c>
      <c r="W54" s="28">
        <f t="shared" ref="W54:X54" si="109">SUM(W48:W53)</f>
        <v>466485534.00999993</v>
      </c>
      <c r="X54" s="28">
        <f t="shared" si="109"/>
        <v>381110992.59999996</v>
      </c>
      <c r="Y54" s="20">
        <f t="shared" si="61"/>
        <v>81.698351784651521</v>
      </c>
      <c r="Z54" s="13">
        <f t="shared" si="8"/>
        <v>7.4550990695445307</v>
      </c>
      <c r="AA54" s="13">
        <f t="shared" si="8"/>
        <v>8.0759376023909653</v>
      </c>
    </row>
    <row r="55" spans="1:27" x14ac:dyDescent="0.3">
      <c r="A55" s="14" t="s">
        <v>70</v>
      </c>
      <c r="B55" s="15">
        <f t="shared" ref="B55:F55" si="110">B54-B53</f>
        <v>321029181.02999997</v>
      </c>
      <c r="C55" s="15">
        <f t="shared" si="110"/>
        <v>278024028.71999997</v>
      </c>
      <c r="D55" s="21">
        <f t="shared" si="54"/>
        <v>86.603974077365507</v>
      </c>
      <c r="E55" s="25">
        <f t="shared" si="110"/>
        <v>322489771.63</v>
      </c>
      <c r="F55" s="15">
        <f t="shared" si="110"/>
        <v>278568683.75</v>
      </c>
      <c r="G55" s="21">
        <f t="shared" si="55"/>
        <v>86.380626071331136</v>
      </c>
      <c r="H55" s="25">
        <f t="shared" ref="H55:I55" si="111">H54-H53</f>
        <v>333802921.25000006</v>
      </c>
      <c r="I55" s="15">
        <f t="shared" si="111"/>
        <v>290801529.97000003</v>
      </c>
      <c r="J55" s="21">
        <f t="shared" si="56"/>
        <v>87.117730690021631</v>
      </c>
      <c r="K55" s="25">
        <f t="shared" ref="K55:L55" si="112">K54-K53</f>
        <v>335533537.24000001</v>
      </c>
      <c r="L55" s="15">
        <f t="shared" si="112"/>
        <v>278717365.04000002</v>
      </c>
      <c r="M55" s="21">
        <f t="shared" si="57"/>
        <v>83.066917045803208</v>
      </c>
      <c r="N55" s="25">
        <f t="shared" ref="N55:O55" si="113">N54-N53</f>
        <v>345120720.22000009</v>
      </c>
      <c r="O55" s="15">
        <f t="shared" si="113"/>
        <v>283696646.53999996</v>
      </c>
      <c r="P55" s="21">
        <f t="shared" si="58"/>
        <v>82.202148384239337</v>
      </c>
      <c r="Q55" s="25">
        <f t="shared" ref="Q55:R55" si="114">Q54-Q53</f>
        <v>365620346.06999999</v>
      </c>
      <c r="R55" s="15">
        <f t="shared" si="114"/>
        <v>310123534.45999992</v>
      </c>
      <c r="S55" s="21">
        <f t="shared" si="59"/>
        <v>84.82119165234451</v>
      </c>
      <c r="T55" s="25">
        <f t="shared" ref="T55:U55" si="115">T54-T53</f>
        <v>395903913.20000005</v>
      </c>
      <c r="U55" s="15">
        <f t="shared" si="115"/>
        <v>317560134.54000008</v>
      </c>
      <c r="V55" s="21">
        <f t="shared" si="60"/>
        <v>80.211415940103933</v>
      </c>
      <c r="W55" s="28">
        <f t="shared" ref="W55:X55" si="116">W54-W53</f>
        <v>415834819.99999994</v>
      </c>
      <c r="X55" s="28">
        <f t="shared" si="116"/>
        <v>341171206.79999995</v>
      </c>
      <c r="Y55" s="21">
        <f t="shared" si="61"/>
        <v>82.044886669182731</v>
      </c>
      <c r="Z55" s="16">
        <f t="shared" si="8"/>
        <v>5.0342788074265314</v>
      </c>
      <c r="AA55" s="16">
        <f t="shared" si="8"/>
        <v>7.4351499737842062</v>
      </c>
    </row>
    <row r="56" spans="1:27" x14ac:dyDescent="0.3">
      <c r="A56" s="5" t="s">
        <v>71</v>
      </c>
      <c r="B56" s="28">
        <f t="shared" ref="B56:C57" si="117">B14-B48</f>
        <v>34021975.070000052</v>
      </c>
      <c r="C56" s="28">
        <f t="shared" si="117"/>
        <v>15351368.090000033</v>
      </c>
      <c r="D56" s="22"/>
      <c r="E56" s="28">
        <f t="shared" ref="E56:F57" si="118">E14-E48</f>
        <v>44633936.560000002</v>
      </c>
      <c r="F56" s="28">
        <f t="shared" si="118"/>
        <v>10978744.310000032</v>
      </c>
      <c r="G56" s="22"/>
      <c r="H56" s="28">
        <f t="shared" ref="H56:I57" si="119">H14-H48</f>
        <v>40195592.519999981</v>
      </c>
      <c r="I56" s="28">
        <f t="shared" si="119"/>
        <v>12077724.390000015</v>
      </c>
      <c r="J56" s="22"/>
      <c r="K56" s="28">
        <f t="shared" ref="K56:L56" si="120">K14-K48</f>
        <v>48831631.680000007</v>
      </c>
      <c r="L56" s="28">
        <f t="shared" si="120"/>
        <v>28683367.409999996</v>
      </c>
      <c r="M56" s="22"/>
      <c r="N56" s="28">
        <f t="shared" ref="N56:O56" si="121">N14-N48</f>
        <v>62075475.789999962</v>
      </c>
      <c r="O56" s="28">
        <f t="shared" si="121"/>
        <v>70034533.180000007</v>
      </c>
      <c r="P56" s="22"/>
      <c r="Q56" s="28">
        <f t="shared" ref="Q56:R56" si="122">Q14-Q48</f>
        <v>44462551.789999962</v>
      </c>
      <c r="R56" s="28">
        <f t="shared" si="122"/>
        <v>33474187.419999987</v>
      </c>
      <c r="S56" s="22"/>
      <c r="T56" s="28">
        <f t="shared" ref="T56:U56" si="123">T14-T48</f>
        <v>44042099.829999983</v>
      </c>
      <c r="U56" s="28">
        <f t="shared" si="123"/>
        <v>30820484.75999999</v>
      </c>
      <c r="V56" s="22"/>
      <c r="W56" s="28">
        <f t="shared" ref="W56:X57" si="124">W14-W48</f>
        <v>52834870.040000021</v>
      </c>
      <c r="X56" s="28">
        <f t="shared" si="124"/>
        <v>38011895.320000052</v>
      </c>
      <c r="Y56" s="22"/>
      <c r="Z56" s="13">
        <f t="shared" ref="Z56:AA59" si="125">IF(T56&gt;0,W56/T56*100-100,"-")</f>
        <v>19.964466371811596</v>
      </c>
      <c r="AA56" s="13">
        <f t="shared" si="125"/>
        <v>23.333216904275787</v>
      </c>
    </row>
    <row r="57" spans="1:27" x14ac:dyDescent="0.3">
      <c r="A57" s="5" t="s">
        <v>72</v>
      </c>
      <c r="B57" s="28">
        <f t="shared" si="117"/>
        <v>4275423.1899999995</v>
      </c>
      <c r="C57" s="28">
        <f t="shared" si="117"/>
        <v>5809638.7200000007</v>
      </c>
      <c r="D57" s="22"/>
      <c r="E57" s="28">
        <f t="shared" si="118"/>
        <v>-1542973.9299999997</v>
      </c>
      <c r="F57" s="28">
        <f t="shared" si="118"/>
        <v>47433.970000002533</v>
      </c>
      <c r="G57" s="22"/>
      <c r="H57" s="28">
        <f t="shared" si="119"/>
        <v>4477523.3599999994</v>
      </c>
      <c r="I57" s="28">
        <f t="shared" si="119"/>
        <v>5430394.5900000017</v>
      </c>
      <c r="J57" s="22"/>
      <c r="K57" s="28">
        <f t="shared" ref="K57:L57" si="126">K15-K49</f>
        <v>-2418074.1500000022</v>
      </c>
      <c r="L57" s="28">
        <f t="shared" si="126"/>
        <v>-240383.33999999799</v>
      </c>
      <c r="M57" s="22"/>
      <c r="N57" s="28">
        <f t="shared" ref="N57:O57" si="127">N15-N49</f>
        <v>-8218371.6300000027</v>
      </c>
      <c r="O57" s="28">
        <f t="shared" si="127"/>
        <v>-7913987.5500000007</v>
      </c>
      <c r="P57" s="22"/>
      <c r="Q57" s="28">
        <f t="shared" ref="Q57:R57" si="128">Q15-Q49</f>
        <v>-6890348.8699999973</v>
      </c>
      <c r="R57" s="28">
        <f t="shared" si="128"/>
        <v>-7352014.799999997</v>
      </c>
      <c r="S57" s="22"/>
      <c r="T57" s="28">
        <f t="shared" ref="T57:U57" si="129">T15-T49</f>
        <v>-5004568.2399999872</v>
      </c>
      <c r="U57" s="28">
        <f t="shared" si="129"/>
        <v>407814.31999999657</v>
      </c>
      <c r="V57" s="22"/>
      <c r="W57" s="28">
        <f t="shared" si="124"/>
        <v>5915094.4299999997</v>
      </c>
      <c r="X57" s="28">
        <f t="shared" si="124"/>
        <v>4347699.0500000045</v>
      </c>
      <c r="Y57" s="22"/>
      <c r="Z57" s="13" t="str">
        <f t="shared" si="125"/>
        <v>-</v>
      </c>
      <c r="AA57" s="13">
        <f t="shared" si="125"/>
        <v>966.09769122380044</v>
      </c>
    </row>
    <row r="58" spans="1:27" x14ac:dyDescent="0.3">
      <c r="A58" s="5" t="s">
        <v>358</v>
      </c>
      <c r="B58" s="28">
        <f t="shared" ref="B58:C58" si="130">SUM(B14:B16)-SUM(B48:B50)</f>
        <v>34494093.440000057</v>
      </c>
      <c r="C58" s="28">
        <f t="shared" si="130"/>
        <v>17329075.720000058</v>
      </c>
      <c r="D58" s="22"/>
      <c r="E58" s="28">
        <f t="shared" ref="E58:F58" si="131">SUM(E14:E16)-SUM(E48:E50)</f>
        <v>29838550.230000019</v>
      </c>
      <c r="F58" s="28">
        <f t="shared" si="131"/>
        <v>-2226234.119999975</v>
      </c>
      <c r="G58" s="22"/>
      <c r="H58" s="28">
        <f t="shared" ref="H58:I58" si="132">SUM(H14:H16)-SUM(H48:H50)</f>
        <v>31420174.699999928</v>
      </c>
      <c r="I58" s="28">
        <f t="shared" si="132"/>
        <v>4255177.8000000119</v>
      </c>
      <c r="J58" s="22"/>
      <c r="K58" s="28">
        <f t="shared" ref="K58:L58" si="133">SUM(K14:K16)-SUM(K48:K50)</f>
        <v>35161990.080000043</v>
      </c>
      <c r="L58" s="28">
        <f t="shared" si="133"/>
        <v>17190042.889999986</v>
      </c>
      <c r="M58" s="22"/>
      <c r="N58" s="28">
        <f t="shared" ref="N58:O58" si="134">SUM(N14:N16)-SUM(N48:N50)</f>
        <v>40954052.979999959</v>
      </c>
      <c r="O58" s="28">
        <f t="shared" si="134"/>
        <v>48867604.450000048</v>
      </c>
      <c r="P58" s="22"/>
      <c r="Q58" s="28">
        <f t="shared" ref="Q58:R58" si="135">SUM(Q14:Q16)-SUM(Q48:Q50)</f>
        <v>13122445.439999998</v>
      </c>
      <c r="R58" s="28">
        <f t="shared" si="135"/>
        <v>1672415.1399999857</v>
      </c>
      <c r="S58" s="22"/>
      <c r="T58" s="28">
        <f t="shared" ref="T58:U58" si="136">SUM(T14:T16)-SUM(T48:T50)</f>
        <v>24259493.309999943</v>
      </c>
      <c r="U58" s="28">
        <f t="shared" si="136"/>
        <v>17950260.800000012</v>
      </c>
      <c r="V58" s="22"/>
      <c r="W58" s="28">
        <f t="shared" ref="W58:X58" si="137">SUM(W14:W16)-SUM(W48:W50)</f>
        <v>44189671.26000005</v>
      </c>
      <c r="X58" s="28">
        <f t="shared" si="137"/>
        <v>30597519.560000062</v>
      </c>
      <c r="Y58" s="22"/>
      <c r="Z58" s="13">
        <f t="shared" si="125"/>
        <v>82.154139393277177</v>
      </c>
      <c r="AA58" s="13">
        <f t="shared" si="125"/>
        <v>70.457242381681965</v>
      </c>
    </row>
    <row r="59" spans="1:27" x14ac:dyDescent="0.3">
      <c r="A59" s="5" t="s">
        <v>359</v>
      </c>
      <c r="B59" s="28">
        <f t="shared" ref="B59:C59" si="138">B21-B55</f>
        <v>20859626.410000026</v>
      </c>
      <c r="C59" s="28">
        <f t="shared" si="138"/>
        <v>3694608.6900000572</v>
      </c>
      <c r="D59" s="106"/>
      <c r="E59" s="28">
        <f t="shared" ref="E59:F59" si="139">E21-E55</f>
        <v>15290253.100000024</v>
      </c>
      <c r="F59" s="28">
        <f t="shared" si="139"/>
        <v>-16774531.25</v>
      </c>
      <c r="G59" s="106"/>
      <c r="H59" s="28">
        <f t="shared" ref="H59:I59" si="140">H21-H55</f>
        <v>16625326.659999907</v>
      </c>
      <c r="I59" s="28">
        <f t="shared" si="140"/>
        <v>-10539670.24000001</v>
      </c>
      <c r="J59" s="106"/>
      <c r="K59" s="28">
        <f t="shared" ref="K59:L59" si="141">K21-K55</f>
        <v>24963540.400000036</v>
      </c>
      <c r="L59" s="28">
        <f t="shared" si="141"/>
        <v>6991593.2099999785</v>
      </c>
      <c r="M59" s="106"/>
      <c r="N59" s="28">
        <f t="shared" ref="N59:O59" si="142">N21-N55</f>
        <v>33175315.74999994</v>
      </c>
      <c r="O59" s="28">
        <f t="shared" si="142"/>
        <v>41088867.220000029</v>
      </c>
      <c r="P59" s="106"/>
      <c r="Q59" s="28">
        <f t="shared" ref="Q59:R59" si="143">Q21-Q55</f>
        <v>6303834.4200000167</v>
      </c>
      <c r="R59" s="28">
        <f t="shared" si="143"/>
        <v>-5946195.8799999356</v>
      </c>
      <c r="S59" s="106"/>
      <c r="T59" s="28">
        <f t="shared" ref="T59:U59" si="144">T21-T55</f>
        <v>16785574.339999914</v>
      </c>
      <c r="U59" s="28">
        <f t="shared" si="144"/>
        <v>10036341.829999924</v>
      </c>
      <c r="V59" s="106"/>
      <c r="W59" s="28">
        <f t="shared" ref="W59:X59" si="145">W21-W55</f>
        <v>32810594.240000069</v>
      </c>
      <c r="X59" s="28">
        <f t="shared" si="145"/>
        <v>19238442.540000081</v>
      </c>
      <c r="Y59" s="106"/>
      <c r="Z59" s="13">
        <f t="shared" si="125"/>
        <v>95.468999602906877</v>
      </c>
      <c r="AA59" s="13">
        <f t="shared" si="125"/>
        <v>91.687796867319605</v>
      </c>
    </row>
    <row r="60" spans="1:27" x14ac:dyDescent="0.3">
      <c r="A60" s="5" t="s">
        <v>360</v>
      </c>
      <c r="C60" s="6">
        <f>SUM(C14:C16)/SUM(B14:B16)*100</f>
        <v>82.395624759611366</v>
      </c>
      <c r="D60" s="106"/>
      <c r="F60" s="6">
        <f>SUM(F14:F16)/SUM(E14:E16)*100</f>
        <v>77.50433220829494</v>
      </c>
      <c r="G60" s="106"/>
      <c r="I60" s="6">
        <f>SUM(I14:I16)/SUM(H14:H16)*100</f>
        <v>79.976960020066443</v>
      </c>
      <c r="J60" s="106"/>
      <c r="L60" s="6">
        <f>SUM(L14:L16)/SUM(K14:K16)*100</f>
        <v>79.254167639970433</v>
      </c>
      <c r="M60" s="106"/>
      <c r="O60" s="6">
        <f>SUM(O14:O16)/SUM(N14:N16)*100</f>
        <v>85.854855160511491</v>
      </c>
      <c r="P60" s="106"/>
      <c r="R60" s="6">
        <f>SUM(R14:R16)/SUM(Q14:Q16)*100</f>
        <v>81.961067095760441</v>
      </c>
      <c r="S60" s="106"/>
      <c r="U60" s="6">
        <f>SUM(U14:U16)/SUM(T14:T16)*100</f>
        <v>79.465587289108214</v>
      </c>
      <c r="V60" s="106"/>
      <c r="X60" s="6">
        <f>SUM(X14:X16)/SUM(W14:W16)*100</f>
        <v>80.332850375954408</v>
      </c>
      <c r="Y60" s="106"/>
    </row>
    <row r="61" spans="1:27" x14ac:dyDescent="0.3">
      <c r="A61" s="5" t="s">
        <v>361</v>
      </c>
      <c r="C61" s="6">
        <f>SUM(C48:C50)/SUM(B48:B50)*100</f>
        <v>86.005341573733574</v>
      </c>
      <c r="D61" s="106"/>
      <c r="F61" s="6">
        <f>SUM(F48:F50)/SUM(E48:E50)*100</f>
        <v>85.737196345080164</v>
      </c>
      <c r="G61" s="106"/>
      <c r="I61" s="6">
        <f>SUM(I48:I50)/SUM(H48:H50)*100</f>
        <v>86.52028118056667</v>
      </c>
      <c r="J61" s="106"/>
      <c r="L61" s="6">
        <f>SUM(L48:L50)/SUM(K48:K50)*100</f>
        <v>82.536106810329329</v>
      </c>
      <c r="M61" s="106"/>
      <c r="O61" s="6">
        <f>SUM(O48:O50)/SUM(N48:N50)*100</f>
        <v>81.791749388684622</v>
      </c>
      <c r="P61" s="106"/>
      <c r="R61" s="6">
        <f>SUM(R48:R50)/SUM(Q48:Q50)*100</f>
        <v>84.498172445379609</v>
      </c>
      <c r="S61" s="106"/>
      <c r="U61" s="6">
        <f>SUM(U48:U50)/SUM(T48:T50)*100</f>
        <v>79.80778375084644</v>
      </c>
      <c r="V61" s="106"/>
      <c r="X61" s="6">
        <f>SUM(X48:X50)/SUM(W48:W50)*100</f>
        <v>81.544677138212606</v>
      </c>
      <c r="Y61" s="106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workbookViewId="0">
      <selection activeCell="J2" sqref="J2:J28"/>
    </sheetView>
  </sheetViews>
  <sheetFormatPr defaultRowHeight="14.4" x14ac:dyDescent="0.3"/>
  <cols>
    <col min="1" max="1" width="51.6640625" style="32" bestFit="1" customWidth="1"/>
    <col min="2" max="12" width="12.6640625" bestFit="1" customWidth="1"/>
  </cols>
  <sheetData>
    <row r="1" spans="1:10" x14ac:dyDescent="0.3">
      <c r="A1" s="73"/>
      <c r="B1" s="102">
        <v>2015</v>
      </c>
      <c r="C1" s="102">
        <v>2016</v>
      </c>
      <c r="D1" s="102">
        <v>2017</v>
      </c>
      <c r="E1" s="102">
        <v>2018</v>
      </c>
      <c r="F1" s="102">
        <v>2019</v>
      </c>
      <c r="G1" s="102">
        <v>2020</v>
      </c>
      <c r="H1" s="102">
        <v>2021</v>
      </c>
      <c r="I1" s="102">
        <v>2022</v>
      </c>
      <c r="J1" s="102">
        <v>2023</v>
      </c>
    </row>
    <row r="2" spans="1:10" x14ac:dyDescent="0.3">
      <c r="A2" s="32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</row>
    <row r="3" spans="1:10" x14ac:dyDescent="0.3">
      <c r="A3" s="32" t="s">
        <v>213</v>
      </c>
      <c r="B3" s="1">
        <v>115642.14</v>
      </c>
      <c r="C3" s="1">
        <v>0</v>
      </c>
      <c r="D3" s="1">
        <v>0</v>
      </c>
      <c r="E3" s="1">
        <v>0</v>
      </c>
      <c r="F3" s="1">
        <v>3892818.74</v>
      </c>
      <c r="G3" s="1">
        <v>3892818.74</v>
      </c>
      <c r="H3" s="1">
        <v>9661715.5</v>
      </c>
      <c r="I3" s="1">
        <v>9263133.5399999991</v>
      </c>
      <c r="J3" s="1">
        <v>7645666.04</v>
      </c>
    </row>
    <row r="4" spans="1:10" x14ac:dyDescent="0.3">
      <c r="A4" s="32" t="s">
        <v>214</v>
      </c>
      <c r="B4" s="1">
        <v>814529489.04999995</v>
      </c>
      <c r="C4" s="1">
        <v>834001561.48000002</v>
      </c>
      <c r="D4" s="1">
        <v>1174518079.9400001</v>
      </c>
      <c r="E4" s="1">
        <v>1178785658.25</v>
      </c>
      <c r="F4" s="1">
        <v>1177153289.73</v>
      </c>
      <c r="G4" s="1">
        <v>1192178996.77</v>
      </c>
      <c r="H4" s="1">
        <v>1196508878.7</v>
      </c>
      <c r="I4" s="1">
        <v>1196792301.79</v>
      </c>
      <c r="J4" s="1">
        <v>1209081553.8099999</v>
      </c>
    </row>
    <row r="5" spans="1:10" x14ac:dyDescent="0.3">
      <c r="A5" s="32" t="s">
        <v>228</v>
      </c>
      <c r="B5" s="1">
        <v>258647938.44999999</v>
      </c>
      <c r="C5" s="1">
        <v>249296880.88999999</v>
      </c>
      <c r="D5" s="1">
        <v>249296352.11000001</v>
      </c>
      <c r="E5" s="1">
        <v>585276700.50999999</v>
      </c>
      <c r="F5" s="1">
        <v>535963487.06999999</v>
      </c>
      <c r="G5" s="1">
        <v>532434972.76999998</v>
      </c>
      <c r="H5" s="1">
        <v>542604519.57000005</v>
      </c>
      <c r="I5" s="1">
        <v>617234381.54999995</v>
      </c>
      <c r="J5" s="1">
        <v>615371508.13</v>
      </c>
    </row>
    <row r="6" spans="1:10" x14ac:dyDescent="0.3">
      <c r="A6" s="32" t="s">
        <v>229</v>
      </c>
      <c r="B6" s="1">
        <v>115024526.28</v>
      </c>
      <c r="C6" s="1">
        <v>128257846.23</v>
      </c>
      <c r="D6" s="1">
        <v>141510787.41</v>
      </c>
      <c r="E6" s="1">
        <v>154737905.75</v>
      </c>
      <c r="F6" s="1">
        <v>167990846.93000001</v>
      </c>
      <c r="G6" s="1">
        <v>181243788.11000001</v>
      </c>
      <c r="H6" s="1">
        <v>194496729.28999999</v>
      </c>
      <c r="I6" s="1">
        <v>207749670.47</v>
      </c>
      <c r="J6" s="1">
        <v>220505775.97999999</v>
      </c>
    </row>
    <row r="7" spans="1:10" x14ac:dyDescent="0.3">
      <c r="A7" s="32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</row>
    <row r="8" spans="1:10" x14ac:dyDescent="0.3">
      <c r="A8" s="32" t="s">
        <v>231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</row>
    <row r="9" spans="1:10" x14ac:dyDescent="0.3">
      <c r="A9" s="32" t="s">
        <v>215</v>
      </c>
      <c r="B9" s="1">
        <v>84211450.950000003</v>
      </c>
      <c r="C9" s="1">
        <v>80084694.709999993</v>
      </c>
      <c r="D9" s="1">
        <v>75939378.060000002</v>
      </c>
      <c r="E9" s="1">
        <v>80307672.280000001</v>
      </c>
      <c r="F9" s="1">
        <v>78344938.530000001</v>
      </c>
      <c r="G9" s="1">
        <v>62838827.229999997</v>
      </c>
      <c r="H9" s="1">
        <v>89297452.599999994</v>
      </c>
      <c r="I9" s="1">
        <v>119022961.18000001</v>
      </c>
      <c r="J9" s="1">
        <v>126873182.90000001</v>
      </c>
    </row>
    <row r="10" spans="1:10" x14ac:dyDescent="0.3">
      <c r="A10" s="32" t="s">
        <v>232</v>
      </c>
      <c r="B10" s="1">
        <v>212674.22</v>
      </c>
      <c r="C10" s="1">
        <v>259187.12</v>
      </c>
      <c r="D10" s="1">
        <v>259187.12</v>
      </c>
      <c r="E10" s="1">
        <v>259187.12</v>
      </c>
      <c r="F10" s="1">
        <v>259187.12</v>
      </c>
      <c r="G10" s="1">
        <v>259187.12</v>
      </c>
      <c r="H10" s="1">
        <v>259187.12</v>
      </c>
      <c r="I10" s="1">
        <v>0</v>
      </c>
      <c r="J10" s="1">
        <v>0</v>
      </c>
    </row>
    <row r="11" spans="1:10" x14ac:dyDescent="0.3">
      <c r="A11" s="32" t="s">
        <v>216</v>
      </c>
      <c r="B11" s="1">
        <v>89369351.769999996</v>
      </c>
      <c r="C11" s="1">
        <v>108546058.51000001</v>
      </c>
      <c r="D11" s="1">
        <v>124350685.03</v>
      </c>
      <c r="E11" s="1">
        <v>124365564.18000001</v>
      </c>
      <c r="F11" s="1">
        <v>152676134.72999999</v>
      </c>
      <c r="G11" s="1">
        <v>207530582.71000001</v>
      </c>
      <c r="H11" s="1">
        <v>191427811.75999999</v>
      </c>
      <c r="I11" s="1">
        <v>206431782.19</v>
      </c>
      <c r="J11" s="1">
        <v>237697224.59999999</v>
      </c>
    </row>
    <row r="12" spans="1:10" x14ac:dyDescent="0.3">
      <c r="A12" s="32" t="s">
        <v>217</v>
      </c>
      <c r="B12" s="1">
        <v>1942358.4</v>
      </c>
      <c r="C12" s="1">
        <v>1418045.66</v>
      </c>
      <c r="D12" s="1">
        <v>1529544.93</v>
      </c>
      <c r="E12" s="1">
        <v>1235183.42</v>
      </c>
      <c r="F12" s="1">
        <v>1214210.31</v>
      </c>
      <c r="G12" s="1">
        <v>1292813.18</v>
      </c>
      <c r="H12" s="1">
        <v>1190958.6499999999</v>
      </c>
      <c r="I12" s="1">
        <v>1330612.5900000001</v>
      </c>
      <c r="J12" s="1">
        <v>1227903.72</v>
      </c>
    </row>
    <row r="13" spans="1:10" x14ac:dyDescent="0.3">
      <c r="A13" s="10" t="s">
        <v>218</v>
      </c>
      <c r="B13" s="11">
        <f t="shared" ref="B13:E13" si="0">SUM(B2:B12)</f>
        <v>1364053431.26</v>
      </c>
      <c r="C13" s="11">
        <f t="shared" si="0"/>
        <v>1401864274.5999999</v>
      </c>
      <c r="D13" s="11">
        <f t="shared" si="0"/>
        <v>1767404014.6000001</v>
      </c>
      <c r="E13" s="11">
        <f t="shared" si="0"/>
        <v>2124967871.51</v>
      </c>
      <c r="F13" s="11">
        <f t="shared" ref="F13:J13" si="1">SUM(F2:F12)</f>
        <v>2117494913.1599998</v>
      </c>
      <c r="G13" s="11">
        <f t="shared" ref="G13:I13" si="2">SUM(G2:G12)</f>
        <v>2181671986.6299996</v>
      </c>
      <c r="H13" s="11">
        <f t="shared" si="2"/>
        <v>2225447253.1900001</v>
      </c>
      <c r="I13" s="11">
        <f t="shared" si="2"/>
        <v>2357824843.3099999</v>
      </c>
      <c r="J13" s="11">
        <f t="shared" si="1"/>
        <v>2418402815.1799998</v>
      </c>
    </row>
    <row r="14" spans="1:10" x14ac:dyDescent="0.3">
      <c r="A14" s="32" t="s">
        <v>219</v>
      </c>
      <c r="B14" s="1">
        <v>720832274.59000003</v>
      </c>
      <c r="C14" s="1">
        <v>720832274.59000003</v>
      </c>
      <c r="D14" s="1">
        <v>186970.22</v>
      </c>
      <c r="E14" s="1">
        <v>18104908.809999999</v>
      </c>
      <c r="F14" s="1">
        <v>44297523.579999998</v>
      </c>
      <c r="G14" s="1">
        <v>44297523.579999998</v>
      </c>
      <c r="H14" s="1">
        <v>44297523.579999998</v>
      </c>
      <c r="I14" s="1">
        <v>44297523.579999998</v>
      </c>
      <c r="J14" s="1">
        <v>44297523.579999998</v>
      </c>
    </row>
    <row r="15" spans="1:10" x14ac:dyDescent="0.3">
      <c r="A15" s="32" t="s">
        <v>220</v>
      </c>
      <c r="B15" s="1">
        <v>62317567.359999999</v>
      </c>
      <c r="C15" s="1">
        <v>98181420.299999997</v>
      </c>
      <c r="D15" s="1">
        <v>1196524787.52</v>
      </c>
      <c r="E15" s="1">
        <v>1547385747.2</v>
      </c>
      <c r="F15" s="1">
        <v>1499090370.0599999</v>
      </c>
      <c r="G15" s="1">
        <v>1543584142.05</v>
      </c>
      <c r="H15" s="1">
        <v>1525935232.1600001</v>
      </c>
      <c r="I15" s="1">
        <v>1616885769.5999999</v>
      </c>
      <c r="J15" s="1">
        <v>1627121624.46</v>
      </c>
    </row>
    <row r="16" spans="1:10" x14ac:dyDescent="0.3">
      <c r="A16" s="32" t="s">
        <v>235</v>
      </c>
      <c r="B16" s="1">
        <v>62317567.359999999</v>
      </c>
      <c r="C16" s="1">
        <v>69133617.5</v>
      </c>
      <c r="D16" s="1">
        <v>76827099.120000005</v>
      </c>
      <c r="E16" s="1">
        <v>84194777.670000002</v>
      </c>
      <c r="F16" s="1">
        <v>95608662.209999993</v>
      </c>
      <c r="G16" s="1">
        <v>106738137.28</v>
      </c>
      <c r="H16" s="1">
        <v>116471548.39</v>
      </c>
      <c r="I16" s="1">
        <v>124408081.28</v>
      </c>
      <c r="J16" s="1">
        <v>132964343.58</v>
      </c>
    </row>
    <row r="17" spans="1:12" x14ac:dyDescent="0.3">
      <c r="A17" s="32" t="s">
        <v>221</v>
      </c>
      <c r="B17" s="1">
        <v>29047802.800000001</v>
      </c>
      <c r="C17" s="1">
        <v>38114636.359999999</v>
      </c>
      <c r="D17" s="1">
        <v>18726585.210000001</v>
      </c>
      <c r="E17" s="1">
        <v>13519268.470000001</v>
      </c>
      <c r="F17" s="1">
        <v>22507308.489999998</v>
      </c>
      <c r="G17" s="1">
        <v>21716773.73</v>
      </c>
      <c r="H17" s="1">
        <v>33099571.010000002</v>
      </c>
      <c r="I17" s="1">
        <v>18034036.120000001</v>
      </c>
      <c r="J17" s="1">
        <v>48826779.659999996</v>
      </c>
    </row>
    <row r="18" spans="1:12" x14ac:dyDescent="0.3">
      <c r="A18" s="32" t="s">
        <v>362</v>
      </c>
      <c r="B18" s="1"/>
      <c r="C18" s="1"/>
      <c r="D18" s="1"/>
      <c r="E18" s="1"/>
      <c r="F18" s="1"/>
      <c r="G18" s="1">
        <v>0</v>
      </c>
      <c r="H18" s="1">
        <v>37451629.649999999</v>
      </c>
      <c r="I18" s="1">
        <v>62320863.920000002</v>
      </c>
      <c r="J18" s="1">
        <v>70210112.780000001</v>
      </c>
    </row>
    <row r="19" spans="1:12" x14ac:dyDescent="0.3">
      <c r="A19" s="32" t="s">
        <v>363</v>
      </c>
      <c r="B19" s="1"/>
      <c r="C19" s="1"/>
      <c r="D19" s="1"/>
      <c r="E19" s="1"/>
      <c r="F19" s="1"/>
      <c r="G19" s="1">
        <v>0</v>
      </c>
      <c r="H19" s="1">
        <v>0</v>
      </c>
      <c r="I19" s="1">
        <v>0</v>
      </c>
      <c r="J19" s="1">
        <v>0</v>
      </c>
    </row>
    <row r="20" spans="1:12" x14ac:dyDescent="0.3">
      <c r="A20" s="32" t="s">
        <v>222</v>
      </c>
      <c r="B20" s="1">
        <v>0</v>
      </c>
      <c r="C20" s="1">
        <v>241000</v>
      </c>
      <c r="D20" s="1">
        <v>4308257.1399999997</v>
      </c>
      <c r="E20" s="1">
        <v>9267756.6999999993</v>
      </c>
      <c r="F20" s="1">
        <v>9166998.2799999993</v>
      </c>
      <c r="G20" s="1">
        <v>21296480.210000001</v>
      </c>
      <c r="H20" s="1">
        <v>37096138.43</v>
      </c>
      <c r="I20" s="1">
        <v>38088553.439999998</v>
      </c>
      <c r="J20" s="1">
        <v>39925061.090000004</v>
      </c>
    </row>
    <row r="21" spans="1:12" x14ac:dyDescent="0.3">
      <c r="A21" s="32" t="s">
        <v>209</v>
      </c>
      <c r="B21" s="1">
        <v>384993111.13999999</v>
      </c>
      <c r="C21" s="1">
        <v>371260835.80000001</v>
      </c>
      <c r="D21" s="1">
        <v>356712538.67000002</v>
      </c>
      <c r="E21" s="1">
        <v>341917690.63</v>
      </c>
      <c r="F21" s="1">
        <v>331719240.94999999</v>
      </c>
      <c r="G21" s="1">
        <v>323940503.72000003</v>
      </c>
      <c r="H21" s="1">
        <v>316321892.69999999</v>
      </c>
      <c r="I21" s="1">
        <v>309207973.73000002</v>
      </c>
      <c r="J21" s="1">
        <v>298288896.70999998</v>
      </c>
    </row>
    <row r="22" spans="1:12" x14ac:dyDescent="0.3">
      <c r="A22" s="32" t="s">
        <v>223</v>
      </c>
      <c r="B22" s="1">
        <v>31889910.239999998</v>
      </c>
      <c r="C22" s="1">
        <v>27865520.440000001</v>
      </c>
      <c r="D22" s="1">
        <v>33913405.729999997</v>
      </c>
      <c r="E22" s="1">
        <v>37325455.310000002</v>
      </c>
      <c r="F22" s="1">
        <v>48555901.840000004</v>
      </c>
      <c r="G22" s="1">
        <v>50363111.799999997</v>
      </c>
      <c r="H22" s="1">
        <v>53037002.840000004</v>
      </c>
      <c r="I22" s="1">
        <v>62810879.060000002</v>
      </c>
      <c r="J22" s="1">
        <v>65125396.469999999</v>
      </c>
    </row>
    <row r="23" spans="1:12" x14ac:dyDescent="0.3">
      <c r="A23" s="32" t="s">
        <v>224</v>
      </c>
      <c r="B23" s="1">
        <v>5123943.5999999996</v>
      </c>
      <c r="C23" s="1">
        <v>8740588.1699999999</v>
      </c>
      <c r="D23" s="1">
        <v>10468769.85</v>
      </c>
      <c r="E23" s="1">
        <v>8357557.8899999997</v>
      </c>
      <c r="F23" s="1">
        <v>8033655.3300000001</v>
      </c>
      <c r="G23" s="1">
        <v>16426709.050000001</v>
      </c>
      <c r="H23" s="1">
        <v>13620842.68</v>
      </c>
      <c r="I23" s="1">
        <v>23659476.059999999</v>
      </c>
      <c r="J23" s="1">
        <v>20077458.539999999</v>
      </c>
    </row>
    <row r="24" spans="1:12" x14ac:dyDescent="0.3">
      <c r="A24" s="32" t="s">
        <v>225</v>
      </c>
      <c r="B24" s="1">
        <v>11769168.51</v>
      </c>
      <c r="C24" s="1">
        <v>12878872.01</v>
      </c>
      <c r="D24" s="1">
        <v>20816618.920000002</v>
      </c>
      <c r="E24" s="1">
        <v>13709943.949999999</v>
      </c>
      <c r="F24" s="1">
        <v>12519899.75</v>
      </c>
      <c r="G24" s="1">
        <v>15931688.51</v>
      </c>
      <c r="H24" s="1">
        <v>18032510.350000001</v>
      </c>
      <c r="I24" s="1">
        <v>20885545.52</v>
      </c>
      <c r="J24" s="1">
        <v>29298534.949999999</v>
      </c>
      <c r="K24" s="1"/>
      <c r="L24" s="1"/>
    </row>
    <row r="25" spans="1:12" x14ac:dyDescent="0.3">
      <c r="A25" s="32" t="s">
        <v>226</v>
      </c>
      <c r="B25" s="1">
        <v>118079653.02</v>
      </c>
      <c r="C25" s="1">
        <v>123749126.93000001</v>
      </c>
      <c r="D25" s="1">
        <v>125746081.34</v>
      </c>
      <c r="E25" s="1">
        <v>135379542.55000001</v>
      </c>
      <c r="F25" s="1">
        <v>141604014.88</v>
      </c>
      <c r="G25" s="1">
        <v>144115053.97999999</v>
      </c>
      <c r="H25" s="1">
        <v>146554909.78999999</v>
      </c>
      <c r="I25" s="1">
        <v>161634222.28</v>
      </c>
      <c r="J25" s="1">
        <v>175231426.94</v>
      </c>
    </row>
    <row r="26" spans="1:12" x14ac:dyDescent="0.3">
      <c r="A26" s="72" t="s">
        <v>227</v>
      </c>
      <c r="B26" s="3">
        <f>SUM(B14:B25)-B16</f>
        <v>1364053431.26</v>
      </c>
      <c r="C26" s="3">
        <f>SUM(C14:C25)-C16</f>
        <v>1401864274.6000001</v>
      </c>
      <c r="D26" s="3">
        <f t="shared" ref="D26:E26" si="3">SUM(D14:D25)-D16</f>
        <v>1767404014.6000004</v>
      </c>
      <c r="E26" s="3">
        <f t="shared" si="3"/>
        <v>2124967871.5100002</v>
      </c>
      <c r="F26" s="3">
        <f t="shared" ref="F26:J26" si="4">SUM(F14:F25)-F16</f>
        <v>2117494913.1599998</v>
      </c>
      <c r="G26" s="3">
        <f t="shared" ref="G26" si="5">SUM(G14:G25)-G16</f>
        <v>2181671986.6299996</v>
      </c>
      <c r="H26" s="3">
        <f t="shared" ref="H26" si="6">SUM(H14:H25)-H16</f>
        <v>2225447253.1900001</v>
      </c>
      <c r="I26" s="3">
        <f t="shared" ref="I26" si="7">SUM(I14:I25)-I16</f>
        <v>2357824843.3099999</v>
      </c>
      <c r="J26" s="3">
        <f t="shared" si="4"/>
        <v>2418402815.1799994</v>
      </c>
    </row>
    <row r="27" spans="1:12" x14ac:dyDescent="0.3">
      <c r="A27" s="10" t="s">
        <v>267</v>
      </c>
      <c r="B27" s="11">
        <f t="shared" ref="B27:G27" si="8">B14+B15+B17+B18+B19</f>
        <v>812197644.75</v>
      </c>
      <c r="C27" s="11">
        <f t="shared" si="8"/>
        <v>857128331.25</v>
      </c>
      <c r="D27" s="11">
        <f t="shared" si="8"/>
        <v>1215438342.95</v>
      </c>
      <c r="E27" s="11">
        <f t="shared" si="8"/>
        <v>1579009924.48</v>
      </c>
      <c r="F27" s="11">
        <f t="shared" si="8"/>
        <v>1565895202.1299999</v>
      </c>
      <c r="G27" s="11">
        <f t="shared" si="8"/>
        <v>1609598439.3599999</v>
      </c>
      <c r="H27" s="11">
        <f>H14+H15+H17+H18+H19</f>
        <v>1640783956.4000001</v>
      </c>
      <c r="I27" s="11">
        <f>I14+I15+I17+I18+I19</f>
        <v>1741538193.2199998</v>
      </c>
      <c r="J27" s="11">
        <f>J14+J15+J17+J18+J19</f>
        <v>1790456040.48</v>
      </c>
    </row>
    <row r="28" spans="1:12" x14ac:dyDescent="0.3">
      <c r="B28" s="6">
        <f>B27/B26*100</f>
        <v>59.542949428290271</v>
      </c>
      <c r="C28" s="6">
        <f t="shared" ref="C28:J28" si="9">C27/C26*100</f>
        <v>61.142033988601931</v>
      </c>
      <c r="D28" s="6">
        <f t="shared" si="9"/>
        <v>68.769694586502254</v>
      </c>
      <c r="E28" s="6">
        <f t="shared" si="9"/>
        <v>74.307472863481792</v>
      </c>
      <c r="F28" s="6">
        <f t="shared" si="9"/>
        <v>73.950364291226009</v>
      </c>
      <c r="G28" s="6">
        <f t="shared" si="9"/>
        <v>73.778205395868227</v>
      </c>
      <c r="H28" s="6">
        <f t="shared" ref="H28:I28" si="10">H27/H26*100</f>
        <v>73.728278845884489</v>
      </c>
      <c r="I28" s="6">
        <f t="shared" si="10"/>
        <v>73.862068175308792</v>
      </c>
      <c r="J28" s="6">
        <f t="shared" si="9"/>
        <v>74.034649200767575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A79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11" x14ac:dyDescent="0.3">
      <c r="A1" s="135" t="s">
        <v>210</v>
      </c>
      <c r="B1" s="135"/>
      <c r="C1" s="2" t="s">
        <v>211</v>
      </c>
      <c r="D1" s="103">
        <v>2016</v>
      </c>
      <c r="E1" s="103">
        <v>2017</v>
      </c>
      <c r="F1" s="103">
        <v>2018</v>
      </c>
      <c r="G1" s="103">
        <v>2019</v>
      </c>
      <c r="H1" s="103">
        <v>2020</v>
      </c>
      <c r="I1" s="103">
        <v>2021</v>
      </c>
      <c r="J1" s="103">
        <v>2022</v>
      </c>
      <c r="K1" s="103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34.01</v>
      </c>
      <c r="E3" s="7">
        <v>32.75</v>
      </c>
      <c r="F3" s="7">
        <v>33.14</v>
      </c>
      <c r="G3" s="7">
        <v>29.02</v>
      </c>
      <c r="H3" s="7">
        <v>26.36</v>
      </c>
      <c r="I3" s="7">
        <v>26.59</v>
      </c>
      <c r="J3" s="7">
        <v>25.99</v>
      </c>
      <c r="K3" s="7">
        <v>27.31</v>
      </c>
    </row>
    <row r="4" spans="1:11" x14ac:dyDescent="0.3">
      <c r="A4" t="s">
        <v>80</v>
      </c>
      <c r="D4" s="7"/>
      <c r="E4" s="7"/>
      <c r="F4" s="7"/>
      <c r="G4" s="7"/>
      <c r="H4" s="7"/>
      <c r="I4" s="7"/>
      <c r="J4" s="7"/>
      <c r="K4" s="7"/>
    </row>
    <row r="5" spans="1:11" x14ac:dyDescent="0.3">
      <c r="A5" t="s">
        <v>81</v>
      </c>
      <c r="B5" t="s">
        <v>82</v>
      </c>
      <c r="D5" s="7">
        <v>99.33</v>
      </c>
      <c r="E5" s="7">
        <v>104.82</v>
      </c>
      <c r="F5" s="7">
        <v>102.09</v>
      </c>
      <c r="G5" s="7">
        <v>102.02</v>
      </c>
      <c r="H5" s="7">
        <v>101.34</v>
      </c>
      <c r="I5" s="7">
        <v>107.1</v>
      </c>
      <c r="J5" s="7">
        <v>113.23</v>
      </c>
      <c r="K5" s="7">
        <v>103.1</v>
      </c>
    </row>
    <row r="6" spans="1:11" x14ac:dyDescent="0.3">
      <c r="A6" t="s">
        <v>83</v>
      </c>
      <c r="B6" t="s">
        <v>84</v>
      </c>
      <c r="D6" s="7">
        <v>98.78</v>
      </c>
      <c r="E6" s="7">
        <v>101.29</v>
      </c>
      <c r="F6" s="7">
        <v>100.23</v>
      </c>
      <c r="G6" s="7">
        <v>99.63</v>
      </c>
      <c r="H6" s="7">
        <v>104.58</v>
      </c>
      <c r="I6" s="7">
        <v>101.68</v>
      </c>
      <c r="J6" s="7">
        <v>101.74</v>
      </c>
      <c r="K6" s="7">
        <v>100.64</v>
      </c>
    </row>
    <row r="7" spans="1:11" x14ac:dyDescent="0.3">
      <c r="A7" t="s">
        <v>85</v>
      </c>
      <c r="B7" t="s">
        <v>86</v>
      </c>
      <c r="D7" s="7">
        <v>77.510000000000005</v>
      </c>
      <c r="E7" s="7">
        <v>81.22</v>
      </c>
      <c r="F7" s="7">
        <v>80.09</v>
      </c>
      <c r="G7" s="7">
        <v>80.11</v>
      </c>
      <c r="H7" s="7">
        <v>69.11</v>
      </c>
      <c r="I7" s="7">
        <v>76.72</v>
      </c>
      <c r="J7" s="7">
        <v>84.62</v>
      </c>
      <c r="K7" s="7">
        <v>79.010000000000005</v>
      </c>
    </row>
    <row r="8" spans="1:11" x14ac:dyDescent="0.3">
      <c r="A8" t="s">
        <v>87</v>
      </c>
      <c r="B8" t="s">
        <v>88</v>
      </c>
      <c r="D8" s="7">
        <v>77.069999999999993</v>
      </c>
      <c r="E8" s="7">
        <v>78.48</v>
      </c>
      <c r="F8" s="7">
        <v>78.63</v>
      </c>
      <c r="G8" s="7">
        <v>78.23</v>
      </c>
      <c r="H8" s="7">
        <v>71.319999999999993</v>
      </c>
      <c r="I8" s="7">
        <v>72.83</v>
      </c>
      <c r="J8" s="7">
        <v>76.03</v>
      </c>
      <c r="K8" s="7">
        <v>77.13</v>
      </c>
    </row>
    <row r="9" spans="1:11" x14ac:dyDescent="0.3">
      <c r="A9" t="s">
        <v>89</v>
      </c>
      <c r="B9" t="s">
        <v>90</v>
      </c>
      <c r="D9" s="7">
        <v>73.19</v>
      </c>
      <c r="E9" s="7">
        <v>76.33</v>
      </c>
      <c r="F9" s="7">
        <v>70.959999999999994</v>
      </c>
      <c r="G9" s="7">
        <v>72.819999999999993</v>
      </c>
      <c r="H9" s="7">
        <v>84.23</v>
      </c>
      <c r="I9" s="7">
        <v>78.3</v>
      </c>
      <c r="J9" s="7">
        <v>75.41</v>
      </c>
      <c r="K9" s="7">
        <v>74.489999999999995</v>
      </c>
    </row>
    <row r="10" spans="1:11" x14ac:dyDescent="0.3">
      <c r="A10" t="s">
        <v>91</v>
      </c>
      <c r="B10" t="s">
        <v>92</v>
      </c>
      <c r="D10" s="7">
        <v>72.89</v>
      </c>
      <c r="E10" s="7">
        <v>74.430000000000007</v>
      </c>
      <c r="F10" s="7">
        <v>71.489999999999995</v>
      </c>
      <c r="G10" s="7">
        <v>73.05</v>
      </c>
      <c r="H10" s="7">
        <v>86.17</v>
      </c>
      <c r="I10" s="7">
        <v>75.13</v>
      </c>
      <c r="J10" s="7">
        <v>73.150000000000006</v>
      </c>
      <c r="K10" s="7">
        <v>73.17</v>
      </c>
    </row>
    <row r="11" spans="1:11" x14ac:dyDescent="0.3">
      <c r="A11" t="s">
        <v>93</v>
      </c>
      <c r="B11" t="s">
        <v>94</v>
      </c>
      <c r="D11" s="7">
        <v>56.57</v>
      </c>
      <c r="E11" s="7">
        <v>58.27</v>
      </c>
      <c r="F11" s="7">
        <v>53.07</v>
      </c>
      <c r="G11" s="7">
        <v>57.09</v>
      </c>
      <c r="H11" s="7">
        <v>58.41</v>
      </c>
      <c r="I11" s="7">
        <v>54.19</v>
      </c>
      <c r="J11" s="7">
        <v>55.52</v>
      </c>
      <c r="K11" s="7">
        <v>57.65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56.33</v>
      </c>
      <c r="E12" s="7">
        <v>56.81</v>
      </c>
      <c r="F12" s="7">
        <v>53.46</v>
      </c>
      <c r="G12" s="7">
        <v>57.27</v>
      </c>
      <c r="H12" s="7">
        <v>59.76</v>
      </c>
      <c r="I12" s="7">
        <v>52</v>
      </c>
      <c r="J12" s="7">
        <v>53.85</v>
      </c>
      <c r="K12" s="7">
        <v>56.62</v>
      </c>
    </row>
    <row r="13" spans="1:11" x14ac:dyDescent="0.3">
      <c r="A13" t="s">
        <v>97</v>
      </c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3">
      <c r="A16" t="s">
        <v>102</v>
      </c>
      <c r="D16" s="7"/>
      <c r="E16" s="7"/>
      <c r="F16" s="7"/>
      <c r="G16" s="7"/>
      <c r="H16" s="7"/>
      <c r="I16" s="7"/>
      <c r="J16" s="7"/>
      <c r="K16" s="7"/>
    </row>
    <row r="17" spans="1:11" x14ac:dyDescent="0.3">
      <c r="A17" t="s">
        <v>103</v>
      </c>
      <c r="B17" t="s">
        <v>104</v>
      </c>
      <c r="D17" s="7">
        <v>33.56</v>
      </c>
      <c r="E17" s="7">
        <v>30.28</v>
      </c>
      <c r="F17" s="7">
        <v>30.18</v>
      </c>
      <c r="G17" s="7">
        <v>29.07</v>
      </c>
      <c r="H17" s="7">
        <v>29.04</v>
      </c>
      <c r="I17" s="7">
        <v>27.06</v>
      </c>
      <c r="J17" s="7">
        <v>26.6</v>
      </c>
      <c r="K17" s="7">
        <v>26.25</v>
      </c>
    </row>
    <row r="18" spans="1:11" x14ac:dyDescent="0.3">
      <c r="A18" t="s">
        <v>105</v>
      </c>
      <c r="B18" t="s">
        <v>106</v>
      </c>
      <c r="D18" s="7">
        <v>15.43</v>
      </c>
      <c r="E18" s="7">
        <v>16.04</v>
      </c>
      <c r="F18" s="7">
        <v>14.94</v>
      </c>
      <c r="G18" s="7">
        <v>6.83</v>
      </c>
      <c r="H18" s="7">
        <v>7.36</v>
      </c>
      <c r="I18" s="7">
        <v>6.43</v>
      </c>
      <c r="J18" s="7">
        <v>15.17</v>
      </c>
      <c r="K18" s="7">
        <v>5.8</v>
      </c>
    </row>
    <row r="19" spans="1:11" x14ac:dyDescent="0.3">
      <c r="A19" t="s">
        <v>107</v>
      </c>
      <c r="B19" t="s">
        <v>108</v>
      </c>
      <c r="D19" s="7">
        <v>1.29</v>
      </c>
      <c r="E19" s="7">
        <v>1.06</v>
      </c>
      <c r="F19" s="7">
        <v>1.21</v>
      </c>
      <c r="G19" s="7">
        <v>1.27</v>
      </c>
      <c r="H19" s="7">
        <v>1.4</v>
      </c>
      <c r="I19" s="7">
        <v>2.37</v>
      </c>
      <c r="J19" s="7">
        <v>2.3199999999999998</v>
      </c>
      <c r="K19" s="7">
        <v>2.21</v>
      </c>
    </row>
    <row r="20" spans="1:11" x14ac:dyDescent="0.3">
      <c r="A20" t="s">
        <v>109</v>
      </c>
      <c r="B20" t="s">
        <v>110</v>
      </c>
      <c r="D20" s="7">
        <v>322.08999999999997</v>
      </c>
      <c r="E20" s="7">
        <v>317.42</v>
      </c>
      <c r="F20" s="7">
        <v>327.20999999999998</v>
      </c>
      <c r="G20" s="7">
        <v>308.43</v>
      </c>
      <c r="H20" s="7">
        <v>299.7</v>
      </c>
      <c r="I20" s="7">
        <v>300.33999999999997</v>
      </c>
      <c r="J20" s="7">
        <v>318.73</v>
      </c>
      <c r="K20" s="7">
        <v>321.93</v>
      </c>
    </row>
    <row r="21" spans="1:11" x14ac:dyDescent="0.3">
      <c r="A21" t="s">
        <v>111</v>
      </c>
      <c r="D21" s="7"/>
      <c r="E21" s="7"/>
      <c r="F21" s="7"/>
      <c r="G21" s="7"/>
      <c r="H21" s="7"/>
      <c r="I21" s="7"/>
      <c r="J21" s="7"/>
      <c r="K21" s="7"/>
    </row>
    <row r="22" spans="1:11" x14ac:dyDescent="0.3">
      <c r="A22" t="s">
        <v>112</v>
      </c>
      <c r="B22" t="s">
        <v>113</v>
      </c>
      <c r="D22" s="7">
        <v>30.89</v>
      </c>
      <c r="E22" s="7">
        <v>30.77</v>
      </c>
      <c r="F22" s="7">
        <v>29.04</v>
      </c>
      <c r="G22" s="7">
        <v>30.45</v>
      </c>
      <c r="H22" s="7">
        <v>30.13</v>
      </c>
      <c r="I22" s="7">
        <v>30.17</v>
      </c>
      <c r="J22" s="7">
        <v>29.92</v>
      </c>
      <c r="K22" s="7">
        <v>30.59</v>
      </c>
    </row>
    <row r="23" spans="1:11" x14ac:dyDescent="0.3">
      <c r="A23" t="s">
        <v>114</v>
      </c>
      <c r="D23" s="7"/>
      <c r="E23" s="7"/>
      <c r="F23" s="7"/>
      <c r="G23" s="7"/>
      <c r="H23" s="7"/>
      <c r="I23" s="7"/>
      <c r="J23" s="7"/>
      <c r="K23" s="7"/>
    </row>
    <row r="24" spans="1:11" x14ac:dyDescent="0.3">
      <c r="A24" t="s">
        <v>115</v>
      </c>
      <c r="B24" t="s">
        <v>116</v>
      </c>
      <c r="D24" s="7">
        <v>2.86</v>
      </c>
      <c r="E24" s="7">
        <v>2.91</v>
      </c>
      <c r="F24" s="7">
        <v>2.91</v>
      </c>
      <c r="G24" s="7">
        <v>2.14</v>
      </c>
      <c r="H24" s="7">
        <v>1.88</v>
      </c>
      <c r="I24" s="7">
        <v>1.88</v>
      </c>
      <c r="J24" s="7">
        <v>1.51</v>
      </c>
      <c r="K24" s="7">
        <v>2.68</v>
      </c>
    </row>
    <row r="25" spans="1:11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x14ac:dyDescent="0.3">
      <c r="A26" t="s">
        <v>119</v>
      </c>
      <c r="B26" t="s">
        <v>120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1:11" x14ac:dyDescent="0.3">
      <c r="A27" t="s">
        <v>121</v>
      </c>
      <c r="D27" s="7"/>
      <c r="E27" s="7"/>
      <c r="F27" s="7"/>
      <c r="G27" s="7"/>
      <c r="H27" s="7"/>
      <c r="I27" s="7"/>
      <c r="J27" s="7"/>
      <c r="K27" s="7"/>
    </row>
    <row r="28" spans="1:11" x14ac:dyDescent="0.3">
      <c r="A28" t="s">
        <v>122</v>
      </c>
      <c r="B28" t="s">
        <v>123</v>
      </c>
      <c r="D28" s="7">
        <v>5.18</v>
      </c>
      <c r="E28" s="7">
        <v>5.58</v>
      </c>
      <c r="F28" s="7">
        <v>5.94</v>
      </c>
      <c r="G28" s="7">
        <v>7.82</v>
      </c>
      <c r="H28" s="7">
        <v>11.53</v>
      </c>
      <c r="I28" s="7">
        <v>9.01</v>
      </c>
      <c r="J28" s="7">
        <v>12.81</v>
      </c>
      <c r="K28" s="7">
        <v>13.68</v>
      </c>
    </row>
    <row r="29" spans="1:11" x14ac:dyDescent="0.3">
      <c r="A29" t="s">
        <v>124</v>
      </c>
      <c r="B29" t="s">
        <v>125</v>
      </c>
      <c r="D29" s="7">
        <v>50.36</v>
      </c>
      <c r="E29" s="7">
        <v>62.36</v>
      </c>
      <c r="F29" s="7">
        <v>70.290000000000006</v>
      </c>
      <c r="G29" s="7">
        <v>92.32</v>
      </c>
      <c r="H29" s="7">
        <v>141.88</v>
      </c>
      <c r="I29" s="7">
        <v>108.25</v>
      </c>
      <c r="J29" s="7">
        <v>130.13</v>
      </c>
      <c r="K29" s="7">
        <v>188.61</v>
      </c>
    </row>
    <row r="30" spans="1:11" x14ac:dyDescent="0.3">
      <c r="A30" t="s">
        <v>126</v>
      </c>
      <c r="B30" t="s">
        <v>127</v>
      </c>
      <c r="D30" s="7">
        <v>8.7799999999999994</v>
      </c>
      <c r="E30" s="7">
        <v>1.58</v>
      </c>
      <c r="F30" s="7">
        <v>0.27</v>
      </c>
      <c r="G30" s="7">
        <v>1.64</v>
      </c>
      <c r="H30" s="7">
        <v>2.58</v>
      </c>
      <c r="I30" s="7">
        <v>7.34</v>
      </c>
      <c r="J30" s="7">
        <v>54.82</v>
      </c>
      <c r="K30" s="7">
        <v>15.03</v>
      </c>
    </row>
    <row r="31" spans="1:11" x14ac:dyDescent="0.3">
      <c r="A31" t="s">
        <v>128</v>
      </c>
      <c r="B31" t="s">
        <v>129</v>
      </c>
      <c r="D31" s="7">
        <v>59.14</v>
      </c>
      <c r="E31" s="7">
        <v>63.94</v>
      </c>
      <c r="F31" s="7">
        <v>70.56</v>
      </c>
      <c r="G31" s="7">
        <v>93.96</v>
      </c>
      <c r="H31" s="7">
        <v>144.44999999999999</v>
      </c>
      <c r="I31" s="7">
        <v>115.59</v>
      </c>
      <c r="J31" s="7">
        <v>184.95</v>
      </c>
      <c r="K31" s="7">
        <v>203.64</v>
      </c>
    </row>
    <row r="32" spans="1:11" x14ac:dyDescent="0.3">
      <c r="A32" t="s">
        <v>130</v>
      </c>
      <c r="B32" t="s">
        <v>131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</row>
    <row r="33" spans="1:11" x14ac:dyDescent="0.3">
      <c r="A33" t="s">
        <v>132</v>
      </c>
      <c r="B33" t="s">
        <v>133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</row>
    <row r="34" spans="1:11" x14ac:dyDescent="0.3">
      <c r="A34" t="s">
        <v>134</v>
      </c>
      <c r="B34" t="s">
        <v>135</v>
      </c>
      <c r="D34" s="7">
        <v>0.17</v>
      </c>
      <c r="E34" s="7">
        <v>0</v>
      </c>
      <c r="F34" s="7">
        <v>0</v>
      </c>
      <c r="G34" s="7">
        <v>0</v>
      </c>
      <c r="H34" s="7">
        <v>0</v>
      </c>
      <c r="I34" s="7">
        <v>1.25</v>
      </c>
      <c r="J34" s="7">
        <v>0.51</v>
      </c>
      <c r="K34" s="7">
        <v>0</v>
      </c>
    </row>
    <row r="35" spans="1:11" x14ac:dyDescent="0.3">
      <c r="A35" t="s">
        <v>136</v>
      </c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t="s">
        <v>137</v>
      </c>
      <c r="B36" t="s">
        <v>138</v>
      </c>
      <c r="D36" s="7">
        <v>90.39</v>
      </c>
      <c r="E36" s="7">
        <v>92.97</v>
      </c>
      <c r="F36" s="7">
        <v>93.12</v>
      </c>
      <c r="G36" s="7">
        <v>93.67</v>
      </c>
      <c r="H36" s="7">
        <v>87.47</v>
      </c>
      <c r="I36" s="7">
        <v>83.9</v>
      </c>
      <c r="J36" s="7">
        <v>87.36</v>
      </c>
      <c r="K36" s="7">
        <v>80.650000000000006</v>
      </c>
    </row>
    <row r="37" spans="1:11" x14ac:dyDescent="0.3">
      <c r="A37" t="s">
        <v>139</v>
      </c>
      <c r="B37" t="s">
        <v>140</v>
      </c>
      <c r="D37" s="7">
        <v>69.08</v>
      </c>
      <c r="E37" s="7">
        <v>56.65</v>
      </c>
      <c r="F37" s="7">
        <v>39.25</v>
      </c>
      <c r="G37" s="7">
        <v>69.25</v>
      </c>
      <c r="H37" s="7">
        <v>62.16</v>
      </c>
      <c r="I37" s="7">
        <v>37.380000000000003</v>
      </c>
      <c r="J37" s="7">
        <v>55.74</v>
      </c>
      <c r="K37" s="7">
        <v>49.06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100</v>
      </c>
      <c r="K38" s="7">
        <v>100</v>
      </c>
    </row>
    <row r="39" spans="1:11" x14ac:dyDescent="0.3">
      <c r="A39" t="s">
        <v>143</v>
      </c>
      <c r="B39" t="s">
        <v>144</v>
      </c>
      <c r="D39" s="7">
        <v>52.08</v>
      </c>
      <c r="E39" s="7">
        <v>71.73</v>
      </c>
      <c r="F39" s="7">
        <v>58.05</v>
      </c>
      <c r="G39" s="7">
        <v>56.43</v>
      </c>
      <c r="H39" s="7">
        <v>41.91</v>
      </c>
      <c r="I39" s="7">
        <v>49.26</v>
      </c>
      <c r="J39" s="7">
        <v>48.8</v>
      </c>
      <c r="K39" s="7">
        <v>50.17</v>
      </c>
    </row>
    <row r="40" spans="1:11" x14ac:dyDescent="0.3">
      <c r="A40" t="s">
        <v>145</v>
      </c>
      <c r="B40" t="s">
        <v>146</v>
      </c>
      <c r="D40" s="7">
        <v>36.18</v>
      </c>
      <c r="E40" s="7">
        <v>36.869999999999997</v>
      </c>
      <c r="F40" s="7">
        <v>27.01</v>
      </c>
      <c r="G40" s="7">
        <v>61.52</v>
      </c>
      <c r="H40" s="7">
        <v>61.92</v>
      </c>
      <c r="I40" s="7">
        <v>35.76</v>
      </c>
      <c r="J40" s="7">
        <v>45.62</v>
      </c>
      <c r="K40" s="7">
        <v>43.53</v>
      </c>
    </row>
    <row r="41" spans="1:11" x14ac:dyDescent="0.3">
      <c r="A41" t="s">
        <v>147</v>
      </c>
      <c r="B41" t="s">
        <v>148</v>
      </c>
      <c r="D41" s="7">
        <v>0</v>
      </c>
      <c r="E41" s="7">
        <v>0</v>
      </c>
      <c r="F41" s="7">
        <v>0</v>
      </c>
      <c r="G41" s="7">
        <v>0.26</v>
      </c>
      <c r="H41" s="7">
        <v>39.630000000000003</v>
      </c>
      <c r="I41" s="7">
        <v>0</v>
      </c>
      <c r="J41" s="7">
        <v>0</v>
      </c>
      <c r="K41" s="7">
        <v>0</v>
      </c>
    </row>
    <row r="42" spans="1:11" x14ac:dyDescent="0.3">
      <c r="A42" t="s">
        <v>149</v>
      </c>
      <c r="D42" s="7"/>
      <c r="E42" s="7"/>
      <c r="F42" s="7"/>
      <c r="G42" s="7"/>
      <c r="H42" s="7"/>
      <c r="I42" s="7"/>
      <c r="J42" s="7"/>
      <c r="K42" s="7"/>
    </row>
    <row r="43" spans="1:11" x14ac:dyDescent="0.3">
      <c r="A43" t="s">
        <v>150</v>
      </c>
      <c r="B43" t="s">
        <v>151</v>
      </c>
      <c r="D43" s="7">
        <v>79.23</v>
      </c>
      <c r="E43" s="7">
        <v>79.27</v>
      </c>
      <c r="F43" s="7">
        <v>78.89</v>
      </c>
      <c r="G43" s="7">
        <v>72.900000000000006</v>
      </c>
      <c r="H43" s="7">
        <v>75.42</v>
      </c>
      <c r="I43" s="7">
        <v>76.81</v>
      </c>
      <c r="J43" s="7">
        <v>76.150000000000006</v>
      </c>
      <c r="K43" s="7">
        <v>77.41</v>
      </c>
    </row>
    <row r="44" spans="1:11" x14ac:dyDescent="0.3">
      <c r="A44" t="s">
        <v>152</v>
      </c>
      <c r="B44" t="s">
        <v>153</v>
      </c>
      <c r="D44" s="7">
        <v>82.17</v>
      </c>
      <c r="E44" s="7">
        <v>85.11</v>
      </c>
      <c r="F44" s="7">
        <v>75.959999999999994</v>
      </c>
      <c r="G44" s="7">
        <v>76.400000000000006</v>
      </c>
      <c r="H44" s="7">
        <v>75.09</v>
      </c>
      <c r="I44" s="7">
        <v>55.97</v>
      </c>
      <c r="J44" s="7">
        <v>58.58</v>
      </c>
      <c r="K44" s="7">
        <v>50.47</v>
      </c>
    </row>
    <row r="45" spans="1:11" x14ac:dyDescent="0.3">
      <c r="A45" t="s">
        <v>154</v>
      </c>
      <c r="B45" t="s">
        <v>155</v>
      </c>
      <c r="D45" s="7">
        <v>69.97</v>
      </c>
      <c r="E45" s="7">
        <v>70.69</v>
      </c>
      <c r="F45" s="7">
        <v>85.54</v>
      </c>
      <c r="G45" s="7">
        <v>87.22</v>
      </c>
      <c r="H45" s="7">
        <v>73.540000000000006</v>
      </c>
      <c r="I45" s="7">
        <v>80.099999999999994</v>
      </c>
      <c r="J45" s="7">
        <v>82.56</v>
      </c>
      <c r="K45" s="7">
        <v>72.349999999999994</v>
      </c>
    </row>
    <row r="46" spans="1:11" x14ac:dyDescent="0.3">
      <c r="A46" t="s">
        <v>156</v>
      </c>
      <c r="B46" t="s">
        <v>157</v>
      </c>
      <c r="D46" s="7">
        <v>59.66</v>
      </c>
      <c r="E46" s="7">
        <v>95.78</v>
      </c>
      <c r="F46" s="7">
        <v>92.67</v>
      </c>
      <c r="G46" s="7">
        <v>92.7</v>
      </c>
      <c r="H46" s="7">
        <v>63.25</v>
      </c>
      <c r="I46" s="7">
        <v>80.97</v>
      </c>
      <c r="J46" s="7">
        <v>88.9</v>
      </c>
      <c r="K46" s="7">
        <v>69.510000000000005</v>
      </c>
    </row>
    <row r="47" spans="1:11" x14ac:dyDescent="0.3">
      <c r="A47" t="s">
        <v>158</v>
      </c>
      <c r="B47" t="s">
        <v>159</v>
      </c>
      <c r="D47" s="7">
        <v>-23</v>
      </c>
      <c r="E47" s="7">
        <v>-21</v>
      </c>
      <c r="F47" s="7">
        <v>-25</v>
      </c>
      <c r="G47" s="7">
        <v>-24</v>
      </c>
      <c r="H47" s="7">
        <v>-23</v>
      </c>
      <c r="I47" s="7">
        <v>-22</v>
      </c>
      <c r="J47" s="7">
        <v>-22</v>
      </c>
      <c r="K47" s="7">
        <v>-21</v>
      </c>
    </row>
    <row r="48" spans="1:11" x14ac:dyDescent="0.3">
      <c r="A48" t="s">
        <v>160</v>
      </c>
      <c r="D48" s="7"/>
      <c r="E48" s="7"/>
      <c r="F48" s="7"/>
      <c r="G48" s="7"/>
      <c r="H48" s="7"/>
      <c r="I48" s="7"/>
      <c r="J48" s="7"/>
      <c r="K48" s="7"/>
    </row>
    <row r="49" spans="1:11" x14ac:dyDescent="0.3">
      <c r="A49" t="s">
        <v>161</v>
      </c>
      <c r="B49" t="s">
        <v>162</v>
      </c>
      <c r="D49" s="7">
        <v>1.03</v>
      </c>
      <c r="E49" s="7">
        <v>1.92</v>
      </c>
      <c r="F49" s="7">
        <v>1.19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</row>
    <row r="50" spans="1:11" x14ac:dyDescent="0.3">
      <c r="A50" t="s">
        <v>163</v>
      </c>
      <c r="B50" t="s">
        <v>164</v>
      </c>
      <c r="D50" s="7">
        <v>2.5299999999999998</v>
      </c>
      <c r="E50" s="7">
        <v>3.97</v>
      </c>
      <c r="F50" s="7">
        <v>2.3199999999999998</v>
      </c>
      <c r="G50" s="7">
        <v>2.98</v>
      </c>
      <c r="H50" s="7">
        <v>2.34</v>
      </c>
      <c r="I50" s="7">
        <v>2.35</v>
      </c>
      <c r="J50" s="7">
        <v>2.5</v>
      </c>
      <c r="K50" s="7">
        <v>3.68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6.2</v>
      </c>
      <c r="E51" s="7">
        <v>7.42</v>
      </c>
      <c r="F51" s="7">
        <v>7.43</v>
      </c>
      <c r="G51" s="7">
        <v>5.17</v>
      </c>
      <c r="H51" s="7">
        <v>4.1100000000000003</v>
      </c>
      <c r="I51" s="7">
        <v>4.3090000000000002</v>
      </c>
      <c r="J51" s="7">
        <v>3.66</v>
      </c>
      <c r="K51" s="7">
        <v>5.66</v>
      </c>
    </row>
    <row r="52" spans="1:11" x14ac:dyDescent="0.3">
      <c r="A52" t="s">
        <v>167</v>
      </c>
      <c r="B52" t="s">
        <v>168</v>
      </c>
      <c r="D52" s="7">
        <v>1434.7413127741388</v>
      </c>
      <c r="E52" s="7">
        <v>1386.0826905845279</v>
      </c>
      <c r="F52" s="7">
        <v>1328.9969512389466</v>
      </c>
      <c r="G52" s="7">
        <v>1276.9000000000001</v>
      </c>
      <c r="H52" s="7">
        <v>1252.24</v>
      </c>
      <c r="I52" s="7">
        <v>1225.05</v>
      </c>
      <c r="J52" s="7">
        <v>1198.8800000000001</v>
      </c>
      <c r="K52" s="7">
        <v>1159.6400000000001</v>
      </c>
    </row>
    <row r="53" spans="1:11" x14ac:dyDescent="0.3">
      <c r="A53" t="s">
        <v>169</v>
      </c>
      <c r="D53" s="7">
        <v>33.879248086954107</v>
      </c>
      <c r="E53" s="7">
        <v>48.154909231380721</v>
      </c>
      <c r="F53" s="7">
        <v>39.824087506768848</v>
      </c>
      <c r="G53" s="7">
        <v>39.29218811991246</v>
      </c>
      <c r="H53" s="7">
        <v>25.192407545346505</v>
      </c>
      <c r="I53" s="7">
        <v>21.846797085056455</v>
      </c>
      <c r="J53" s="7">
        <v>27.935913815828357</v>
      </c>
      <c r="K53" s="7">
        <v>22.779820725550522</v>
      </c>
    </row>
    <row r="54" spans="1:11" x14ac:dyDescent="0.3">
      <c r="A54" t="s">
        <v>170</v>
      </c>
      <c r="B54" t="s">
        <v>171</v>
      </c>
      <c r="D54" s="7">
        <v>11.144239313307194</v>
      </c>
      <c r="E54" s="7">
        <v>12.080727241187462</v>
      </c>
      <c r="F54" s="7">
        <v>14.178553997440252</v>
      </c>
      <c r="G54" s="7">
        <v>25.714376536041485</v>
      </c>
      <c r="H54" s="7">
        <v>18.708262685205078</v>
      </c>
      <c r="I54" s="7">
        <v>18.136180608395154</v>
      </c>
      <c r="J54" s="7">
        <v>22.85608933915346</v>
      </c>
      <c r="K54" s="7">
        <v>18.525551287980811</v>
      </c>
    </row>
    <row r="55" spans="1:11" x14ac:dyDescent="0.3">
      <c r="A55" t="s">
        <v>172</v>
      </c>
      <c r="B55" t="s">
        <v>173</v>
      </c>
      <c r="D55" s="7">
        <v>22.735008773646911</v>
      </c>
      <c r="E55" s="7">
        <v>36.07418199019326</v>
      </c>
      <c r="F55" s="7">
        <v>25.645533509328594</v>
      </c>
      <c r="G55" s="7">
        <v>13.577811583870977</v>
      </c>
      <c r="H55" s="7">
        <v>6.4841448601414289</v>
      </c>
      <c r="I55" s="7">
        <v>3.7106164766613019</v>
      </c>
      <c r="J55" s="7">
        <v>5.079824476674899</v>
      </c>
      <c r="K55" s="7">
        <v>4.2542694375697128</v>
      </c>
    </row>
    <row r="56" spans="1:11" x14ac:dyDescent="0.3">
      <c r="A56" t="s">
        <v>174</v>
      </c>
      <c r="B56" t="s">
        <v>175</v>
      </c>
      <c r="D56" s="7">
        <v>33.342748648492623</v>
      </c>
      <c r="E56" s="7">
        <v>38.554504412376602</v>
      </c>
      <c r="F56" s="7">
        <v>44.813405350311868</v>
      </c>
      <c r="G56" s="7">
        <v>45.949970912534759</v>
      </c>
      <c r="H56" s="7">
        <v>53.292817866269637</v>
      </c>
      <c r="I56" s="7">
        <v>57.505325351441606</v>
      </c>
      <c r="J56" s="7">
        <v>51.922908684418715</v>
      </c>
      <c r="K56" s="7">
        <v>49.846619932083648</v>
      </c>
    </row>
    <row r="57" spans="1:11" x14ac:dyDescent="0.3">
      <c r="A57" t="s">
        <v>176</v>
      </c>
      <c r="B57" t="s">
        <v>177</v>
      </c>
      <c r="D57" s="7">
        <v>32.77800326455327</v>
      </c>
      <c r="E57" s="7">
        <v>13.290586356242686</v>
      </c>
      <c r="F57" s="7">
        <v>15.362507142919277</v>
      </c>
      <c r="G57" s="7">
        <v>14.757840967552774</v>
      </c>
      <c r="H57" s="7">
        <v>21.514774588383855</v>
      </c>
      <c r="I57" s="7">
        <v>20.64787756350194</v>
      </c>
      <c r="J57" s="7">
        <v>20.141177499752931</v>
      </c>
      <c r="K57" s="7">
        <v>27.373559342365834</v>
      </c>
    </row>
    <row r="58" spans="1:11" x14ac:dyDescent="0.3">
      <c r="A58" t="s">
        <v>178</v>
      </c>
      <c r="D58" s="7"/>
      <c r="E58" s="7"/>
      <c r="F58" s="7"/>
      <c r="G58" s="7"/>
      <c r="H58" s="7"/>
      <c r="I58" s="7"/>
      <c r="J58" s="7"/>
      <c r="K58" s="7"/>
    </row>
    <row r="59" spans="1:11" x14ac:dyDescent="0.3">
      <c r="A59" t="s">
        <v>179</v>
      </c>
      <c r="B59" t="s">
        <v>180</v>
      </c>
      <c r="D59" s="7" t="s">
        <v>355</v>
      </c>
      <c r="E59" s="7" t="s">
        <v>355</v>
      </c>
      <c r="F59" s="7" t="s">
        <v>355</v>
      </c>
      <c r="G59" s="7" t="s">
        <v>355</v>
      </c>
      <c r="H59" s="7" t="s">
        <v>355</v>
      </c>
      <c r="I59" s="7" t="s">
        <v>355</v>
      </c>
      <c r="J59" s="7" t="s">
        <v>355</v>
      </c>
      <c r="K59" s="7" t="s">
        <v>355</v>
      </c>
    </row>
    <row r="60" spans="1:11" x14ac:dyDescent="0.3">
      <c r="A60" t="s">
        <v>181</v>
      </c>
      <c r="B60" t="s">
        <v>182</v>
      </c>
      <c r="D60" s="7" t="s">
        <v>355</v>
      </c>
      <c r="E60" s="7" t="s">
        <v>355</v>
      </c>
      <c r="F60" s="7" t="s">
        <v>355</v>
      </c>
      <c r="G60" s="7" t="s">
        <v>355</v>
      </c>
      <c r="H60" s="7" t="s">
        <v>355</v>
      </c>
      <c r="I60" s="7" t="s">
        <v>355</v>
      </c>
      <c r="J60" s="7" t="s">
        <v>355</v>
      </c>
      <c r="K60" s="7" t="s">
        <v>355</v>
      </c>
    </row>
    <row r="61" spans="1:11" x14ac:dyDescent="0.3">
      <c r="A61" t="s">
        <v>183</v>
      </c>
      <c r="B61" t="s">
        <v>184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</row>
    <row r="63" spans="1:11" x14ac:dyDescent="0.3">
      <c r="A63" t="s">
        <v>187</v>
      </c>
      <c r="D63" s="7"/>
      <c r="E63" s="7"/>
      <c r="F63" s="7"/>
      <c r="G63" s="7"/>
      <c r="H63" s="7"/>
      <c r="I63" s="7"/>
      <c r="J63" s="7"/>
      <c r="K63" s="7"/>
    </row>
    <row r="64" spans="1:11" x14ac:dyDescent="0.3">
      <c r="A64" s="8" t="s">
        <v>188</v>
      </c>
      <c r="B64" s="8" t="s">
        <v>189</v>
      </c>
      <c r="C64" s="9">
        <v>1</v>
      </c>
      <c r="D64" s="7">
        <v>0.74</v>
      </c>
      <c r="E64" s="7">
        <v>0.06</v>
      </c>
      <c r="F64" s="7">
        <v>0.38</v>
      </c>
      <c r="G64" s="7">
        <v>0.39</v>
      </c>
      <c r="H64" s="7">
        <v>0.11</v>
      </c>
      <c r="I64" s="7">
        <v>0.46</v>
      </c>
      <c r="J64" s="7">
        <v>0.72</v>
      </c>
      <c r="K64" s="7">
        <v>0.44</v>
      </c>
    </row>
    <row r="65" spans="1:11" x14ac:dyDescent="0.3">
      <c r="A65" s="8" t="s">
        <v>190</v>
      </c>
      <c r="B65" s="8" t="s">
        <v>191</v>
      </c>
      <c r="C65" s="9"/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</v>
      </c>
      <c r="E66" s="7">
        <v>0.06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</row>
    <row r="67" spans="1:11" x14ac:dyDescent="0.3">
      <c r="A67" t="s">
        <v>194</v>
      </c>
      <c r="D67" s="7"/>
      <c r="E67" s="7"/>
      <c r="F67" s="7"/>
      <c r="G67" s="7"/>
      <c r="H67" s="7"/>
      <c r="I67" s="7"/>
      <c r="J67" s="7"/>
      <c r="K67" s="7"/>
    </row>
    <row r="68" spans="1:11" x14ac:dyDescent="0.3">
      <c r="A68" t="s">
        <v>195</v>
      </c>
      <c r="B68" t="s">
        <v>196</v>
      </c>
      <c r="D68" s="7">
        <v>42.15</v>
      </c>
      <c r="E68" s="7">
        <v>42.75</v>
      </c>
      <c r="F68" s="30">
        <v>32.04</v>
      </c>
      <c r="G68" s="30">
        <v>30.38</v>
      </c>
      <c r="H68" s="30">
        <v>33.159999999999997</v>
      </c>
      <c r="I68" s="30">
        <v>45.78</v>
      </c>
      <c r="J68" s="30">
        <v>43.53</v>
      </c>
      <c r="K68" s="30">
        <v>39.03</v>
      </c>
    </row>
    <row r="69" spans="1:11" x14ac:dyDescent="0.3">
      <c r="A69" t="s">
        <v>197</v>
      </c>
      <c r="D69" s="7"/>
      <c r="E69" s="7"/>
      <c r="F69" s="7"/>
      <c r="G69" s="7"/>
      <c r="H69" s="7"/>
      <c r="I69" s="7"/>
      <c r="J69" s="7"/>
      <c r="K69" s="7"/>
    </row>
    <row r="70" spans="1:11" x14ac:dyDescent="0.3">
      <c r="A70" t="s">
        <v>198</v>
      </c>
      <c r="B70" t="s">
        <v>199</v>
      </c>
      <c r="D70" s="7">
        <v>12.42</v>
      </c>
      <c r="E70" s="30">
        <v>15.21</v>
      </c>
      <c r="F70" s="7">
        <v>12.37</v>
      </c>
      <c r="G70" s="7">
        <v>11.71</v>
      </c>
      <c r="H70" s="7">
        <v>11.29</v>
      </c>
      <c r="I70" s="7">
        <v>11.52</v>
      </c>
      <c r="J70" s="7">
        <v>10.38</v>
      </c>
      <c r="K70" s="7">
        <v>12.43</v>
      </c>
    </row>
    <row r="71" spans="1:11" x14ac:dyDescent="0.3">
      <c r="A71" t="s">
        <v>200</v>
      </c>
      <c r="B71" t="s">
        <v>201</v>
      </c>
      <c r="D71" s="7">
        <v>13.93</v>
      </c>
      <c r="E71" s="30">
        <v>17.649999999999999</v>
      </c>
      <c r="F71" s="7">
        <v>14.1</v>
      </c>
      <c r="G71" s="7">
        <v>13.71</v>
      </c>
      <c r="H71" s="7">
        <v>13.73</v>
      </c>
      <c r="I71" s="7">
        <v>13.22</v>
      </c>
      <c r="J71" s="7">
        <v>11.79</v>
      </c>
      <c r="K71" s="7">
        <v>14.43</v>
      </c>
    </row>
    <row r="72" spans="1:11" x14ac:dyDescent="0.3">
      <c r="A72" t="s">
        <v>305</v>
      </c>
      <c r="D72" s="7"/>
      <c r="E72" s="7"/>
      <c r="F72" s="7"/>
      <c r="G72" s="7"/>
      <c r="H72" s="7"/>
      <c r="I72" s="7"/>
      <c r="J72" s="7"/>
      <c r="K72" s="7"/>
    </row>
    <row r="73" spans="1:11" x14ac:dyDescent="0.3">
      <c r="B73" t="s">
        <v>202</v>
      </c>
      <c r="D73" s="7">
        <v>83.381452516638007</v>
      </c>
      <c r="E73" s="7">
        <v>82.26</v>
      </c>
      <c r="F73" s="7">
        <v>83.7981325534126</v>
      </c>
      <c r="G73" s="7">
        <v>85.391113369092565</v>
      </c>
      <c r="H73" s="7">
        <v>84.487150439585776</v>
      </c>
      <c r="I73" s="7">
        <v>85.2</v>
      </c>
      <c r="J73" s="7">
        <v>86.9</v>
      </c>
      <c r="K73" s="7">
        <v>88.232936694757186</v>
      </c>
    </row>
    <row r="74" spans="1:11" x14ac:dyDescent="0.3">
      <c r="B74" t="s">
        <v>203</v>
      </c>
      <c r="D74" s="7">
        <v>87.184590929341439</v>
      </c>
      <c r="E74" s="7">
        <v>84.37</v>
      </c>
      <c r="F74" s="7">
        <v>88.358576938227813</v>
      </c>
      <c r="G74" s="7">
        <v>89.805266391728139</v>
      </c>
      <c r="H74" s="7">
        <v>89.287326463101422</v>
      </c>
      <c r="I74" s="7">
        <v>89.83</v>
      </c>
      <c r="J74" s="7">
        <v>90.37</v>
      </c>
      <c r="K74" s="7">
        <v>92.330797687567866</v>
      </c>
    </row>
    <row r="75" spans="1:11" x14ac:dyDescent="0.3">
      <c r="B75" t="s">
        <v>204</v>
      </c>
      <c r="D75" s="7">
        <v>62.05334481137146</v>
      </c>
      <c r="E75" s="7">
        <v>71.209999999999994</v>
      </c>
      <c r="F75" s="7">
        <v>59.227862030422415</v>
      </c>
      <c r="G75" s="7">
        <v>59.953374971081672</v>
      </c>
      <c r="H75" s="7">
        <v>55.587392867030083</v>
      </c>
      <c r="I75" s="7">
        <v>58.73</v>
      </c>
      <c r="J75" s="7">
        <v>65.88</v>
      </c>
      <c r="K75" s="7">
        <v>57.390758171218046</v>
      </c>
    </row>
    <row r="76" spans="1:11" x14ac:dyDescent="0.3">
      <c r="A76" s="8" t="s">
        <v>37</v>
      </c>
      <c r="B76" s="8"/>
      <c r="C76" s="9">
        <v>47</v>
      </c>
      <c r="D76" s="7">
        <v>76.22044197932189</v>
      </c>
      <c r="E76" s="7">
        <v>75.652448548576487</v>
      </c>
      <c r="F76" s="30">
        <v>74.051813131851787</v>
      </c>
      <c r="G76" s="30">
        <v>74.534721339781697</v>
      </c>
      <c r="H76" s="30">
        <v>77.746400155498335</v>
      </c>
      <c r="I76" s="30">
        <v>72.184564968068798</v>
      </c>
      <c r="J76" s="30">
        <v>70.236319513337435</v>
      </c>
      <c r="K76" s="30">
        <v>71.506620968592728</v>
      </c>
    </row>
    <row r="77" spans="1:11" x14ac:dyDescent="0.3">
      <c r="A77" s="31" t="s">
        <v>338</v>
      </c>
      <c r="B77" s="31"/>
      <c r="C77" s="63"/>
      <c r="D77" s="30">
        <v>74.477180083908465</v>
      </c>
      <c r="E77" s="30">
        <v>75.280134235867322</v>
      </c>
      <c r="F77" s="30">
        <v>72.139115265438733</v>
      </c>
      <c r="G77" s="30">
        <v>72.644815752005627</v>
      </c>
      <c r="H77" s="30">
        <v>76.455562375351477</v>
      </c>
      <c r="I77" s="30">
        <v>70.375863154167305</v>
      </c>
      <c r="J77" s="30">
        <v>68.32471952110653</v>
      </c>
      <c r="K77" s="30">
        <v>70.498237283778963</v>
      </c>
    </row>
    <row r="78" spans="1:11" x14ac:dyDescent="0.3">
      <c r="A78" t="s">
        <v>268</v>
      </c>
      <c r="D78" s="7"/>
      <c r="E78" s="7"/>
      <c r="F78" s="7"/>
      <c r="G78" s="7"/>
      <c r="H78" s="7"/>
      <c r="I78" s="7"/>
      <c r="J78" s="7"/>
      <c r="K78" s="7"/>
    </row>
    <row r="79" spans="1:11" x14ac:dyDescent="0.3">
      <c r="A79">
        <v>4</v>
      </c>
      <c r="B79" t="s">
        <v>205</v>
      </c>
      <c r="D79" s="7">
        <v>14.032928625557886</v>
      </c>
      <c r="E79" s="7">
        <v>14.0176350893059</v>
      </c>
      <c r="F79" s="30">
        <v>13.678414096916299</v>
      </c>
      <c r="G79" s="30">
        <v>12.90110612200197</v>
      </c>
      <c r="H79" s="30">
        <v>12.447905242377713</v>
      </c>
      <c r="I79" s="30">
        <v>12.723701440419029</v>
      </c>
      <c r="J79" s="30">
        <v>11.410631157302154</v>
      </c>
      <c r="K79" s="30">
        <v>10.432289369210411</v>
      </c>
    </row>
    <row r="80" spans="1:11" x14ac:dyDescent="0.3">
      <c r="A80">
        <v>9</v>
      </c>
      <c r="B80" t="s">
        <v>350</v>
      </c>
      <c r="D80" s="7">
        <v>13.508245517954123</v>
      </c>
      <c r="E80" s="7">
        <v>13.14718516843771</v>
      </c>
      <c r="F80" s="30">
        <v>12.797356828193832</v>
      </c>
      <c r="G80" s="30">
        <v>12.397327784470486</v>
      </c>
      <c r="H80" s="30">
        <v>12.656284272866856</v>
      </c>
      <c r="I80" s="30">
        <v>12.745525971191618</v>
      </c>
      <c r="J80" s="30">
        <v>12.623146043087582</v>
      </c>
      <c r="K80" s="30">
        <v>12.946625496250549</v>
      </c>
    </row>
    <row r="81" spans="1:11" x14ac:dyDescent="0.3">
      <c r="A81">
        <v>10</v>
      </c>
      <c r="B81" t="s">
        <v>206</v>
      </c>
      <c r="D81" s="7">
        <v>14.024240663215792</v>
      </c>
      <c r="E81" s="7">
        <v>13.667194212073252</v>
      </c>
      <c r="F81" s="30">
        <v>13.777533039647578</v>
      </c>
      <c r="G81" s="30">
        <v>15.912824444201071</v>
      </c>
      <c r="H81" s="30">
        <v>18.896687870146962</v>
      </c>
      <c r="I81" s="30">
        <v>15.571802706241817</v>
      </c>
      <c r="J81" s="30">
        <v>17.170076864782938</v>
      </c>
      <c r="K81" s="30">
        <v>15.383767093074546</v>
      </c>
    </row>
    <row r="82" spans="1:11" x14ac:dyDescent="0.3">
      <c r="A82">
        <v>12</v>
      </c>
      <c r="B82" t="s">
        <v>207</v>
      </c>
      <c r="D82" s="7">
        <v>13.957589360166512</v>
      </c>
      <c r="E82" s="7">
        <v>13.780239656341847</v>
      </c>
      <c r="F82" s="30">
        <v>13.43612334801762</v>
      </c>
      <c r="G82" s="30">
        <v>13.382981053553827</v>
      </c>
      <c r="H82" s="30">
        <v>14.531695547269136</v>
      </c>
      <c r="I82" s="30">
        <v>14.578786556089044</v>
      </c>
      <c r="J82" s="30">
        <v>15.676085309083035</v>
      </c>
      <c r="K82" s="30">
        <v>14.644905161005733</v>
      </c>
    </row>
    <row r="83" spans="1:11" x14ac:dyDescent="0.3">
      <c r="A83" t="s">
        <v>208</v>
      </c>
      <c r="D83" s="7"/>
      <c r="E83" s="7"/>
      <c r="F83" s="7"/>
      <c r="G83" s="7"/>
      <c r="H83" s="7"/>
      <c r="I83" s="7"/>
      <c r="J83" s="7"/>
      <c r="K83" s="7"/>
    </row>
    <row r="84" spans="1:11" x14ac:dyDescent="0.3">
      <c r="A84">
        <v>4</v>
      </c>
      <c r="B84" t="s">
        <v>205</v>
      </c>
      <c r="D84" s="7">
        <v>85.591069766086861</v>
      </c>
      <c r="E84" s="7">
        <v>89.7</v>
      </c>
      <c r="F84" s="7">
        <v>81.75</v>
      </c>
      <c r="G84" s="7">
        <v>80.97</v>
      </c>
      <c r="H84" s="7">
        <v>86.15</v>
      </c>
      <c r="I84" s="7">
        <v>84.342745607794456</v>
      </c>
      <c r="J84" s="7">
        <v>88.939817700129652</v>
      </c>
      <c r="K84" s="7">
        <v>89.445340245755716</v>
      </c>
    </row>
    <row r="85" spans="1:11" x14ac:dyDescent="0.3">
      <c r="A85">
        <v>9</v>
      </c>
      <c r="B85" t="s">
        <v>350</v>
      </c>
      <c r="D85" s="7">
        <v>86.995478131695037</v>
      </c>
      <c r="E85" s="7">
        <v>88.55</v>
      </c>
      <c r="F85" s="7">
        <v>87.91</v>
      </c>
      <c r="G85" s="7">
        <v>87.02</v>
      </c>
      <c r="H85" s="7">
        <v>88.22</v>
      </c>
      <c r="I85" s="7">
        <v>87.230152585610952</v>
      </c>
      <c r="J85" s="7">
        <v>86.754939198354947</v>
      </c>
      <c r="K85" s="7">
        <v>88.606470403973915</v>
      </c>
    </row>
    <row r="86" spans="1:11" x14ac:dyDescent="0.3">
      <c r="A86">
        <v>10</v>
      </c>
      <c r="B86" t="s">
        <v>206</v>
      </c>
      <c r="D86" s="7">
        <v>77.308548763944501</v>
      </c>
      <c r="E86" s="7">
        <v>74.98</v>
      </c>
      <c r="F86" s="7">
        <v>83.86</v>
      </c>
      <c r="G86" s="7">
        <v>66.88</v>
      </c>
      <c r="H86" s="7">
        <v>76.459999999999994</v>
      </c>
      <c r="I86" s="7">
        <v>72.70696735360913</v>
      </c>
      <c r="J86" s="7">
        <v>58.622803616236482</v>
      </c>
      <c r="K86" s="7">
        <v>67.984398041768074</v>
      </c>
    </row>
    <row r="87" spans="1:11" x14ac:dyDescent="0.3">
      <c r="A87">
        <v>12</v>
      </c>
      <c r="B87" t="s">
        <v>207</v>
      </c>
      <c r="D87" s="7">
        <v>90.870015386044926</v>
      </c>
      <c r="E87" s="7">
        <v>88.93</v>
      </c>
      <c r="F87" s="7">
        <v>86.57</v>
      </c>
      <c r="G87" s="7">
        <v>87.26</v>
      </c>
      <c r="H87" s="7">
        <v>78.8</v>
      </c>
      <c r="I87" s="7">
        <v>83.920801201160572</v>
      </c>
      <c r="J87" s="7">
        <v>80.031734378460158</v>
      </c>
      <c r="K87" s="7">
        <v>84.362485525510422</v>
      </c>
    </row>
    <row r="88" spans="1:11" x14ac:dyDescent="0.3">
      <c r="B88" s="68" t="s">
        <v>306</v>
      </c>
      <c r="D88" s="7"/>
      <c r="E88" s="7"/>
      <c r="F88" s="7"/>
      <c r="G88" s="7"/>
      <c r="H88" s="7"/>
      <c r="I88" s="7"/>
      <c r="J88" s="7"/>
      <c r="K88" s="7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7">
        <v>355.01394750014094</v>
      </c>
      <c r="H89" s="7">
        <v>354.72657825926274</v>
      </c>
      <c r="I89" s="7">
        <v>352.25227220007974</v>
      </c>
      <c r="J89" s="7">
        <v>369.77947768871218</v>
      </c>
      <c r="K89" s="7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7">
        <v>180.492157874811</v>
      </c>
      <c r="H90" s="7">
        <v>204.57029658165237</v>
      </c>
      <c r="I90" s="7">
        <v>209.21258224469867</v>
      </c>
      <c r="J90" s="7">
        <v>229.38618194069946</v>
      </c>
      <c r="K90" s="7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7">
        <v>24.474374999999998</v>
      </c>
      <c r="H91" s="7">
        <v>18.420312500000001</v>
      </c>
      <c r="I91" s="7">
        <v>10.619375</v>
      </c>
      <c r="J91" s="7">
        <v>3.849687499999999</v>
      </c>
      <c r="K91" s="7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7">
        <v>1688.3834954123995</v>
      </c>
      <c r="H92" s="7">
        <v>1744.0187221199872</v>
      </c>
      <c r="I92" s="7">
        <v>1744.7789254873785</v>
      </c>
      <c r="J92" s="7">
        <v>1726.9557160967668</v>
      </c>
      <c r="K92" s="7">
        <v>1697.0701833805592</v>
      </c>
    </row>
    <row r="93" spans="1:11" x14ac:dyDescent="0.3">
      <c r="D93" s="7"/>
      <c r="E93" s="7"/>
      <c r="F93" s="7"/>
      <c r="G93" s="7"/>
      <c r="H93" s="7"/>
      <c r="I93" s="7"/>
      <c r="J93" s="7"/>
      <c r="K93" s="7"/>
    </row>
    <row r="94" spans="1:11" x14ac:dyDescent="0.3">
      <c r="B94" s="39" t="s">
        <v>303</v>
      </c>
      <c r="D94" s="7"/>
      <c r="E94" s="7"/>
      <c r="F94" s="7"/>
      <c r="G94" s="7"/>
      <c r="H94" s="7"/>
      <c r="I94" s="7"/>
      <c r="J94" s="7"/>
      <c r="K94" s="7"/>
    </row>
    <row r="95" spans="1:11" x14ac:dyDescent="0.3">
      <c r="D95" s="7"/>
      <c r="E95" s="7"/>
      <c r="F95" s="7"/>
      <c r="G95" s="7"/>
      <c r="H95" s="7"/>
      <c r="I95" s="7"/>
      <c r="J95" s="7"/>
      <c r="K95" s="7"/>
    </row>
    <row r="96" spans="1:11" x14ac:dyDescent="0.3">
      <c r="D96" s="7"/>
      <c r="E96" s="7"/>
      <c r="F96" s="7"/>
      <c r="G96" s="7"/>
      <c r="H96" s="7"/>
      <c r="I96" s="7"/>
      <c r="J96" s="7"/>
      <c r="K96" s="7"/>
    </row>
    <row r="97" spans="4:11" x14ac:dyDescent="0.3">
      <c r="D97" s="7"/>
      <c r="E97" s="7"/>
      <c r="F97" s="7"/>
      <c r="G97" s="7"/>
      <c r="H97" s="7"/>
      <c r="I97" s="7"/>
      <c r="J97" s="7"/>
      <c r="K97" s="7"/>
    </row>
    <row r="98" spans="4:11" x14ac:dyDescent="0.3">
      <c r="D98" s="7"/>
      <c r="E98" s="7"/>
      <c r="F98" s="7"/>
      <c r="G98" s="7"/>
      <c r="H98" s="7"/>
      <c r="I98" s="7"/>
      <c r="J98" s="7"/>
      <c r="K98" s="7"/>
    </row>
    <row r="99" spans="4:11" x14ac:dyDescent="0.3">
      <c r="D99" s="7"/>
      <c r="E99" s="7"/>
      <c r="F99" s="7"/>
      <c r="G99" s="7"/>
      <c r="H99" s="7"/>
      <c r="I99" s="7"/>
      <c r="J99" s="7"/>
      <c r="K99" s="7"/>
    </row>
    <row r="100" spans="4:11" x14ac:dyDescent="0.3">
      <c r="D100" s="7"/>
      <c r="E100" s="7"/>
      <c r="F100" s="7"/>
      <c r="G100" s="7"/>
      <c r="H100" s="7"/>
      <c r="I100" s="7"/>
      <c r="J100" s="7"/>
      <c r="K100" s="7"/>
    </row>
    <row r="101" spans="4:11" x14ac:dyDescent="0.3">
      <c r="D101" s="7"/>
      <c r="E101" s="7"/>
      <c r="F101" s="7"/>
      <c r="G101" s="7"/>
      <c r="H101" s="7"/>
      <c r="I101" s="7"/>
      <c r="J101" s="7"/>
      <c r="K101" s="7"/>
    </row>
    <row r="102" spans="4:11" x14ac:dyDescent="0.3">
      <c r="D102" s="7"/>
      <c r="E102" s="7"/>
      <c r="F102" s="7"/>
      <c r="G102" s="7"/>
      <c r="H102" s="7"/>
      <c r="I102" s="7"/>
      <c r="J102" s="7"/>
      <c r="K102" s="7"/>
    </row>
    <row r="103" spans="4:11" x14ac:dyDescent="0.3">
      <c r="D103" s="7"/>
      <c r="E103" s="7"/>
      <c r="F103" s="7"/>
      <c r="G103" s="7"/>
      <c r="H103" s="7"/>
      <c r="I103" s="7"/>
      <c r="J103" s="7"/>
      <c r="K103" s="7"/>
    </row>
    <row r="104" spans="4:11" x14ac:dyDescent="0.3">
      <c r="D104" s="7"/>
      <c r="E104" s="7"/>
      <c r="F104" s="7"/>
      <c r="G104" s="7"/>
      <c r="H104" s="7"/>
      <c r="I104" s="7"/>
      <c r="J104" s="7"/>
      <c r="K104" s="7"/>
    </row>
    <row r="105" spans="4:11" x14ac:dyDescent="0.3">
      <c r="D105" s="7"/>
      <c r="E105" s="7"/>
      <c r="F105" s="7"/>
      <c r="G105" s="7"/>
      <c r="H105" s="7"/>
      <c r="I105" s="7"/>
      <c r="J105" s="7"/>
      <c r="K105" s="7"/>
    </row>
    <row r="106" spans="4:11" x14ac:dyDescent="0.3">
      <c r="D106" s="7"/>
      <c r="E106" s="7"/>
      <c r="F106" s="7"/>
      <c r="G106" s="7"/>
      <c r="H106" s="7"/>
      <c r="I106" s="7"/>
      <c r="J106" s="7"/>
      <c r="K106" s="7"/>
    </row>
    <row r="107" spans="4:11" x14ac:dyDescent="0.3">
      <c r="D107" s="7"/>
      <c r="E107" s="7"/>
      <c r="F107" s="7"/>
      <c r="G107" s="7"/>
      <c r="H107" s="7"/>
      <c r="I107" s="7"/>
      <c r="J107" s="7"/>
      <c r="K107" s="7"/>
    </row>
    <row r="108" spans="4:11" x14ac:dyDescent="0.3">
      <c r="D108" s="7"/>
      <c r="E108" s="7"/>
      <c r="F108" s="7"/>
      <c r="G108" s="7"/>
      <c r="H108" s="7"/>
      <c r="I108" s="7"/>
      <c r="J108" s="7"/>
      <c r="K108" s="7"/>
    </row>
    <row r="109" spans="4:11" x14ac:dyDescent="0.3">
      <c r="D109" s="7"/>
      <c r="E109" s="7"/>
      <c r="F109" s="7"/>
      <c r="G109" s="7"/>
      <c r="H109" s="7"/>
      <c r="I109" s="7"/>
      <c r="J109" s="7"/>
      <c r="K109" s="7"/>
    </row>
    <row r="110" spans="4:11" x14ac:dyDescent="0.3">
      <c r="D110" s="7"/>
      <c r="E110" s="7"/>
      <c r="F110" s="7"/>
      <c r="G110" s="7"/>
      <c r="H110" s="7"/>
      <c r="I110" s="7"/>
      <c r="J110" s="7"/>
      <c r="K110" s="7"/>
    </row>
    <row r="111" spans="4:11" x14ac:dyDescent="0.3">
      <c r="D111" s="7"/>
      <c r="E111" s="7"/>
      <c r="F111" s="7"/>
      <c r="G111" s="7"/>
      <c r="H111" s="7"/>
      <c r="I111" s="7"/>
      <c r="J111" s="7"/>
      <c r="K111" s="7"/>
    </row>
    <row r="112" spans="4:11" x14ac:dyDescent="0.3">
      <c r="D112" s="7"/>
      <c r="E112" s="7"/>
      <c r="F112" s="7"/>
      <c r="G112" s="7"/>
      <c r="H112" s="7"/>
      <c r="I112" s="7"/>
      <c r="J112" s="7"/>
      <c r="K112" s="7"/>
    </row>
    <row r="113" spans="2:11" x14ac:dyDescent="0.3">
      <c r="D113" s="7"/>
      <c r="E113" s="7"/>
      <c r="F113" s="7"/>
      <c r="G113" s="7"/>
      <c r="H113" s="7"/>
      <c r="I113" s="7"/>
      <c r="J113" s="7"/>
      <c r="K113" s="7"/>
    </row>
    <row r="114" spans="2:11" x14ac:dyDescent="0.3">
      <c r="D114" s="7"/>
      <c r="E114" s="7"/>
      <c r="F114" s="7"/>
      <c r="G114" s="7"/>
      <c r="H114" s="7"/>
      <c r="I114" s="7"/>
      <c r="J114" s="7"/>
      <c r="K114" s="7"/>
    </row>
    <row r="115" spans="2:11" x14ac:dyDescent="0.3">
      <c r="B115" s="39" t="s">
        <v>304</v>
      </c>
      <c r="D115" s="7"/>
      <c r="E115" s="7"/>
      <c r="F115" s="7"/>
      <c r="G115" s="7"/>
      <c r="H115" s="7"/>
      <c r="I115" s="7"/>
      <c r="J115" s="7"/>
      <c r="K115" s="7"/>
    </row>
    <row r="116" spans="2:11" x14ac:dyDescent="0.3">
      <c r="D116" s="7"/>
      <c r="E116" s="7"/>
      <c r="F116" s="7"/>
      <c r="G116" s="7"/>
      <c r="H116" s="7"/>
      <c r="I116" s="7"/>
      <c r="J116" s="7"/>
      <c r="K116" s="7"/>
    </row>
    <row r="117" spans="2:11" x14ac:dyDescent="0.3">
      <c r="D117" s="7"/>
      <c r="E117" s="7"/>
      <c r="F117" s="7"/>
      <c r="G117" s="7"/>
      <c r="H117" s="7"/>
      <c r="I117" s="7"/>
      <c r="J117" s="7"/>
      <c r="K117" s="7"/>
    </row>
    <row r="118" spans="2:11" x14ac:dyDescent="0.3">
      <c r="D118" s="7"/>
      <c r="E118" s="7"/>
      <c r="F118" s="7"/>
      <c r="G118" s="7"/>
      <c r="H118" s="7"/>
      <c r="I118" s="7"/>
      <c r="J118" s="7"/>
      <c r="K118" s="7"/>
    </row>
    <row r="119" spans="2:11" x14ac:dyDescent="0.3">
      <c r="D119" s="7"/>
      <c r="E119" s="7"/>
      <c r="F119" s="7"/>
      <c r="G119" s="7"/>
      <c r="H119" s="7"/>
      <c r="I119" s="7"/>
      <c r="J119" s="7"/>
      <c r="K119" s="7"/>
    </row>
    <row r="120" spans="2:11" x14ac:dyDescent="0.3">
      <c r="D120" s="7"/>
      <c r="E120" s="7"/>
      <c r="F120" s="7"/>
      <c r="G120" s="7"/>
      <c r="H120" s="7"/>
      <c r="I120" s="7"/>
      <c r="J120" s="7"/>
      <c r="K120" s="7"/>
    </row>
    <row r="121" spans="2:11" x14ac:dyDescent="0.3">
      <c r="D121" s="7"/>
      <c r="E121" s="7"/>
      <c r="F121" s="7"/>
      <c r="G121" s="7"/>
      <c r="H121" s="7"/>
      <c r="I121" s="7"/>
      <c r="J121" s="7"/>
      <c r="K121" s="7"/>
    </row>
    <row r="122" spans="2:11" x14ac:dyDescent="0.3">
      <c r="D122" s="7"/>
      <c r="E122" s="7"/>
      <c r="F122" s="7"/>
      <c r="G122" s="7"/>
      <c r="H122" s="7"/>
      <c r="I122" s="7"/>
      <c r="J122" s="7"/>
      <c r="K122" s="7"/>
    </row>
    <row r="123" spans="2:11" x14ac:dyDescent="0.3">
      <c r="D123" s="7"/>
      <c r="E123" s="7"/>
      <c r="F123" s="7"/>
      <c r="G123" s="7"/>
      <c r="H123" s="7"/>
      <c r="I123" s="7"/>
      <c r="J123" s="7"/>
      <c r="K123" s="7"/>
    </row>
    <row r="124" spans="2:11" x14ac:dyDescent="0.3">
      <c r="D124" s="7"/>
      <c r="E124" s="7"/>
      <c r="F124" s="7"/>
      <c r="G124" s="7"/>
      <c r="H124" s="7"/>
      <c r="I124" s="7"/>
      <c r="J124" s="7"/>
      <c r="K124" s="7"/>
    </row>
    <row r="125" spans="2:11" x14ac:dyDescent="0.3">
      <c r="D125" s="7"/>
      <c r="E125" s="7"/>
      <c r="F125" s="7"/>
      <c r="G125" s="7"/>
      <c r="H125" s="7"/>
      <c r="I125" s="7"/>
      <c r="J125" s="7"/>
      <c r="K125" s="7"/>
    </row>
    <row r="126" spans="2:11" x14ac:dyDescent="0.3">
      <c r="D126" s="7"/>
      <c r="E126" s="7"/>
      <c r="F126" s="7"/>
      <c r="G126" s="7"/>
      <c r="H126" s="7"/>
      <c r="I126" s="7"/>
      <c r="J126" s="7"/>
      <c r="K126" s="7"/>
    </row>
    <row r="127" spans="2:11" x14ac:dyDescent="0.3">
      <c r="D127" s="7"/>
      <c r="E127" s="7"/>
      <c r="F127" s="7"/>
      <c r="G127" s="7"/>
      <c r="H127" s="7"/>
      <c r="I127" s="7"/>
      <c r="J127" s="7"/>
      <c r="K127" s="7"/>
    </row>
    <row r="128" spans="2:11" x14ac:dyDescent="0.3">
      <c r="D128" s="7"/>
      <c r="E128" s="7"/>
      <c r="F128" s="7"/>
      <c r="G128" s="7"/>
      <c r="H128" s="7"/>
      <c r="I128" s="7"/>
      <c r="J128" s="7"/>
      <c r="K128" s="7"/>
    </row>
    <row r="129" spans="2:11" x14ac:dyDescent="0.3">
      <c r="D129" s="7"/>
      <c r="E129" s="7"/>
      <c r="F129" s="7"/>
      <c r="G129" s="7"/>
      <c r="H129" s="7"/>
      <c r="I129" s="7"/>
      <c r="J129" s="7"/>
      <c r="K129" s="7"/>
    </row>
    <row r="130" spans="2:11" x14ac:dyDescent="0.3">
      <c r="D130" s="7"/>
      <c r="E130" s="7"/>
      <c r="F130" s="7"/>
      <c r="G130" s="7"/>
      <c r="H130" s="7"/>
      <c r="I130" s="7"/>
      <c r="J130" s="7"/>
      <c r="K130" s="7"/>
    </row>
    <row r="131" spans="2:11" x14ac:dyDescent="0.3">
      <c r="D131" s="7"/>
      <c r="E131" s="7"/>
      <c r="F131" s="7"/>
      <c r="G131" s="7"/>
      <c r="H131" s="7"/>
      <c r="I131" s="7"/>
      <c r="J131" s="7"/>
      <c r="K131" s="7"/>
    </row>
    <row r="132" spans="2:11" x14ac:dyDescent="0.3">
      <c r="D132" s="7"/>
      <c r="E132" s="7"/>
      <c r="F132" s="7"/>
      <c r="G132" s="7"/>
      <c r="H132" s="7"/>
      <c r="I132" s="7"/>
      <c r="J132" s="7"/>
      <c r="K132" s="7"/>
    </row>
    <row r="133" spans="2:11" x14ac:dyDescent="0.3">
      <c r="D133" s="7"/>
      <c r="E133" s="7"/>
      <c r="F133" s="7"/>
      <c r="G133" s="7"/>
      <c r="H133" s="7"/>
      <c r="I133" s="7"/>
      <c r="J133" s="7"/>
      <c r="K133" s="7"/>
    </row>
    <row r="134" spans="2:11" x14ac:dyDescent="0.3">
      <c r="D134" s="7"/>
      <c r="E134" s="7"/>
      <c r="F134" s="7"/>
      <c r="G134" s="7"/>
      <c r="H134" s="7"/>
      <c r="I134" s="7"/>
      <c r="J134" s="7"/>
      <c r="K134" s="7"/>
    </row>
    <row r="135" spans="2:11" x14ac:dyDescent="0.3">
      <c r="D135" s="7"/>
      <c r="E135" s="7"/>
      <c r="F135" s="7"/>
      <c r="G135" s="7"/>
      <c r="H135" s="7"/>
      <c r="I135" s="7"/>
      <c r="J135" s="7"/>
      <c r="K135" s="7"/>
    </row>
    <row r="136" spans="2:11" x14ac:dyDescent="0.3">
      <c r="B136" s="39" t="s">
        <v>159</v>
      </c>
      <c r="D136" s="7"/>
      <c r="E136" s="7"/>
      <c r="F136" s="7"/>
      <c r="G136" s="7"/>
      <c r="H136" s="7"/>
      <c r="I136" s="7"/>
      <c r="J136" s="7"/>
      <c r="K136" s="7"/>
    </row>
    <row r="137" spans="2:11" x14ac:dyDescent="0.3">
      <c r="D137" s="7"/>
      <c r="E137" s="7"/>
      <c r="F137" s="7"/>
      <c r="G137" s="7"/>
      <c r="H137" s="7"/>
      <c r="I137" s="7"/>
      <c r="J137" s="7"/>
      <c r="K137" s="7"/>
    </row>
    <row r="138" spans="2:11" x14ac:dyDescent="0.3">
      <c r="D138" s="7"/>
      <c r="E138" s="7"/>
      <c r="F138" s="7"/>
      <c r="G138" s="7"/>
      <c r="H138" s="7"/>
      <c r="I138" s="7"/>
      <c r="J138" s="7"/>
      <c r="K138" s="7"/>
    </row>
    <row r="139" spans="2:11" x14ac:dyDescent="0.3">
      <c r="D139" s="7"/>
      <c r="E139" s="7"/>
      <c r="F139" s="7"/>
      <c r="G139" s="7"/>
      <c r="H139" s="7"/>
      <c r="I139" s="7"/>
      <c r="J139" s="7"/>
      <c r="K139" s="7"/>
    </row>
    <row r="140" spans="2:11" x14ac:dyDescent="0.3">
      <c r="D140" s="7"/>
      <c r="E140" s="7"/>
      <c r="F140" s="7"/>
      <c r="G140" s="7"/>
      <c r="H140" s="7"/>
      <c r="I140" s="7"/>
      <c r="J140" s="7"/>
      <c r="K140" s="7"/>
    </row>
    <row r="141" spans="2:11" x14ac:dyDescent="0.3">
      <c r="D141" s="7"/>
      <c r="E141" s="7"/>
      <c r="F141" s="7"/>
      <c r="G141" s="7"/>
      <c r="H141" s="7"/>
      <c r="I141" s="7"/>
      <c r="J141" s="7"/>
      <c r="K141" s="7"/>
    </row>
    <row r="142" spans="2:11" x14ac:dyDescent="0.3">
      <c r="D142" s="7"/>
      <c r="E142" s="7"/>
      <c r="F142" s="7"/>
      <c r="G142" s="7"/>
      <c r="H142" s="7"/>
      <c r="I142" s="7"/>
      <c r="J142" s="7"/>
      <c r="K142" s="7"/>
    </row>
    <row r="143" spans="2:11" x14ac:dyDescent="0.3">
      <c r="D143" s="7"/>
      <c r="E143" s="7"/>
      <c r="F143" s="7"/>
      <c r="G143" s="7"/>
      <c r="H143" s="7"/>
      <c r="I143" s="7"/>
      <c r="J143" s="7"/>
      <c r="K143" s="7"/>
    </row>
    <row r="144" spans="2:11" x14ac:dyDescent="0.3">
      <c r="D144" s="7"/>
      <c r="E144" s="7"/>
      <c r="F144" s="7"/>
      <c r="G144" s="7"/>
      <c r="H144" s="7"/>
      <c r="I144" s="7"/>
      <c r="J144" s="7"/>
      <c r="K144" s="7"/>
    </row>
    <row r="145" spans="2:11" x14ac:dyDescent="0.3">
      <c r="D145" s="7"/>
      <c r="E145" s="7"/>
      <c r="F145" s="7"/>
      <c r="G145" s="7"/>
      <c r="H145" s="7"/>
      <c r="I145" s="7"/>
      <c r="J145" s="7"/>
      <c r="K145" s="7"/>
    </row>
    <row r="146" spans="2:11" x14ac:dyDescent="0.3">
      <c r="D146" s="7"/>
      <c r="E146" s="7"/>
      <c r="F146" s="7"/>
      <c r="G146" s="7"/>
      <c r="H146" s="7"/>
      <c r="I146" s="7"/>
      <c r="J146" s="7"/>
      <c r="K146" s="7"/>
    </row>
    <row r="147" spans="2:11" x14ac:dyDescent="0.3">
      <c r="D147" s="7"/>
      <c r="E147" s="7"/>
      <c r="F147" s="7"/>
      <c r="G147" s="7"/>
      <c r="H147" s="7"/>
      <c r="I147" s="7"/>
      <c r="J147" s="7"/>
      <c r="K147" s="7"/>
    </row>
    <row r="148" spans="2:11" x14ac:dyDescent="0.3">
      <c r="D148" s="7"/>
      <c r="E148" s="7"/>
      <c r="F148" s="7"/>
      <c r="G148" s="7"/>
      <c r="H148" s="7"/>
      <c r="I148" s="7"/>
      <c r="J148" s="7"/>
      <c r="K148" s="7"/>
    </row>
    <row r="149" spans="2:11" x14ac:dyDescent="0.3">
      <c r="D149" s="7"/>
      <c r="E149" s="7"/>
      <c r="F149" s="7"/>
      <c r="G149" s="7"/>
      <c r="H149" s="7"/>
      <c r="I149" s="7"/>
      <c r="J149" s="7"/>
      <c r="K149" s="7"/>
    </row>
    <row r="150" spans="2:11" x14ac:dyDescent="0.3">
      <c r="D150" s="7"/>
      <c r="E150" s="7"/>
      <c r="F150" s="7"/>
      <c r="G150" s="7"/>
      <c r="H150" s="7"/>
      <c r="I150" s="7"/>
      <c r="J150" s="7"/>
      <c r="K150" s="7"/>
    </row>
    <row r="151" spans="2:11" x14ac:dyDescent="0.3">
      <c r="D151" s="7"/>
      <c r="E151" s="7"/>
      <c r="F151" s="7"/>
      <c r="G151" s="7"/>
      <c r="H151" s="7"/>
      <c r="I151" s="7"/>
      <c r="J151" s="7"/>
      <c r="K151" s="7"/>
    </row>
    <row r="152" spans="2:11" x14ac:dyDescent="0.3">
      <c r="D152" s="7"/>
      <c r="E152" s="7"/>
      <c r="F152" s="7"/>
      <c r="G152" s="7"/>
      <c r="H152" s="7"/>
      <c r="I152" s="7"/>
      <c r="J152" s="7"/>
      <c r="K152" s="7"/>
    </row>
    <row r="153" spans="2:11" x14ac:dyDescent="0.3">
      <c r="D153" s="7"/>
      <c r="E153" s="7"/>
      <c r="F153" s="7"/>
      <c r="G153" s="7"/>
      <c r="H153" s="7"/>
      <c r="I153" s="7"/>
      <c r="J153" s="7"/>
      <c r="K153" s="7"/>
    </row>
    <row r="154" spans="2:11" x14ac:dyDescent="0.3">
      <c r="D154" s="7"/>
      <c r="E154" s="7"/>
      <c r="F154" s="7"/>
      <c r="G154" s="7"/>
      <c r="H154" s="7"/>
      <c r="I154" s="7"/>
      <c r="J154" s="7"/>
      <c r="K154" s="7"/>
    </row>
    <row r="155" spans="2:11" x14ac:dyDescent="0.3">
      <c r="D155" s="7"/>
      <c r="E155" s="7"/>
      <c r="F155" s="7"/>
      <c r="G155" s="7"/>
      <c r="H155" s="7"/>
      <c r="I155" s="7"/>
      <c r="J155" s="7"/>
      <c r="K155" s="7"/>
    </row>
    <row r="156" spans="2:11" x14ac:dyDescent="0.3">
      <c r="D156" s="7"/>
      <c r="E156" s="7"/>
      <c r="F156" s="7"/>
      <c r="G156" s="7"/>
      <c r="H156" s="7"/>
      <c r="I156" s="7"/>
      <c r="J156" s="7"/>
      <c r="K156" s="7"/>
    </row>
    <row r="157" spans="2:11" x14ac:dyDescent="0.3">
      <c r="B157" s="39" t="s">
        <v>168</v>
      </c>
      <c r="D157" s="7"/>
      <c r="E157" s="7"/>
      <c r="F157" s="7"/>
      <c r="G157" s="7"/>
      <c r="H157" s="7"/>
      <c r="I157" s="7"/>
      <c r="J157" s="7"/>
      <c r="K157" s="7"/>
    </row>
    <row r="158" spans="2:11" x14ac:dyDescent="0.3">
      <c r="D158" s="7"/>
      <c r="E158" s="7"/>
      <c r="F158" s="7"/>
      <c r="G158" s="7"/>
      <c r="H158" s="7"/>
      <c r="I158" s="7"/>
      <c r="J158" s="7"/>
      <c r="K158" s="7"/>
    </row>
    <row r="159" spans="2:11" x14ac:dyDescent="0.3">
      <c r="D159" s="7"/>
      <c r="E159" s="7"/>
      <c r="F159" s="7"/>
      <c r="G159" s="7"/>
      <c r="H159" s="7"/>
      <c r="I159" s="7"/>
      <c r="J159" s="7"/>
      <c r="K159" s="7"/>
    </row>
    <row r="160" spans="2:11" x14ac:dyDescent="0.3">
      <c r="D160" s="7"/>
      <c r="E160" s="7"/>
      <c r="F160" s="7"/>
      <c r="G160" s="7"/>
      <c r="H160" s="7"/>
      <c r="I160" s="7"/>
      <c r="J160" s="7"/>
      <c r="K160" s="7"/>
    </row>
    <row r="161" spans="4:11" x14ac:dyDescent="0.3">
      <c r="D161" s="7"/>
      <c r="E161" s="7"/>
      <c r="F161" s="7"/>
      <c r="G161" s="7"/>
      <c r="H161" s="7"/>
      <c r="I161" s="7"/>
      <c r="J161" s="7"/>
      <c r="K161" s="7"/>
    </row>
    <row r="162" spans="4:11" x14ac:dyDescent="0.3">
      <c r="D162" s="7"/>
      <c r="E162" s="7"/>
      <c r="F162" s="7"/>
      <c r="G162" s="7"/>
      <c r="H162" s="7"/>
      <c r="I162" s="7"/>
      <c r="J162" s="7"/>
      <c r="K162" s="7"/>
    </row>
    <row r="163" spans="4:11" x14ac:dyDescent="0.3">
      <c r="D163" s="7"/>
      <c r="E163" s="7"/>
      <c r="F163" s="7"/>
      <c r="G163" s="7"/>
      <c r="H163" s="7"/>
      <c r="I163" s="7"/>
      <c r="J163" s="7"/>
      <c r="K163" s="7"/>
    </row>
    <row r="164" spans="4:11" x14ac:dyDescent="0.3">
      <c r="D164" s="7"/>
      <c r="E164" s="7"/>
      <c r="F164" s="7"/>
      <c r="G164" s="7"/>
      <c r="H164" s="7"/>
      <c r="I164" s="7"/>
      <c r="J164" s="7"/>
      <c r="K164" s="7"/>
    </row>
    <row r="165" spans="4:11" x14ac:dyDescent="0.3">
      <c r="D165" s="7"/>
      <c r="E165" s="7"/>
      <c r="F165" s="7"/>
      <c r="G165" s="7"/>
      <c r="H165" s="7"/>
      <c r="I165" s="7"/>
      <c r="J165" s="7"/>
      <c r="K165" s="7"/>
    </row>
    <row r="166" spans="4:11" x14ac:dyDescent="0.3">
      <c r="D166" s="7"/>
      <c r="E166" s="7"/>
      <c r="F166" s="7"/>
      <c r="G166" s="7"/>
      <c r="H166" s="7"/>
      <c r="I166" s="7"/>
      <c r="J166" s="7"/>
      <c r="K166" s="7"/>
    </row>
    <row r="167" spans="4:11" x14ac:dyDescent="0.3">
      <c r="D167" s="7"/>
      <c r="E167" s="7"/>
      <c r="F167" s="7"/>
      <c r="G167" s="7"/>
      <c r="H167" s="7"/>
      <c r="I167" s="7"/>
      <c r="J167" s="7"/>
      <c r="K167" s="7"/>
    </row>
    <row r="168" spans="4:11" x14ac:dyDescent="0.3">
      <c r="D168" s="7"/>
      <c r="E168" s="7"/>
      <c r="F168" s="7"/>
      <c r="G168" s="7"/>
      <c r="H168" s="7"/>
      <c r="I168" s="7"/>
      <c r="J168" s="7"/>
      <c r="K168" s="7"/>
    </row>
    <row r="169" spans="4:11" x14ac:dyDescent="0.3">
      <c r="D169" s="7"/>
      <c r="E169" s="7"/>
      <c r="F169" s="7"/>
      <c r="G169" s="7"/>
      <c r="H169" s="7"/>
      <c r="I169" s="7"/>
      <c r="J169" s="7"/>
      <c r="K169" s="7"/>
    </row>
    <row r="170" spans="4:11" x14ac:dyDescent="0.3">
      <c r="D170" s="7"/>
      <c r="E170" s="7"/>
      <c r="F170" s="7"/>
      <c r="G170" s="7"/>
      <c r="H170" s="7"/>
      <c r="I170" s="7"/>
      <c r="J170" s="7"/>
      <c r="K170" s="7"/>
    </row>
    <row r="171" spans="4:11" x14ac:dyDescent="0.3">
      <c r="D171" s="7"/>
      <c r="E171" s="7"/>
      <c r="F171" s="7"/>
      <c r="G171" s="7"/>
      <c r="H171" s="7"/>
      <c r="I171" s="7"/>
      <c r="J171" s="7"/>
      <c r="K171" s="7"/>
    </row>
    <row r="172" spans="4:11" x14ac:dyDescent="0.3">
      <c r="D172" s="7"/>
      <c r="E172" s="7"/>
      <c r="F172" s="7"/>
      <c r="G172" s="7"/>
      <c r="H172" s="7"/>
      <c r="I172" s="7"/>
      <c r="J172" s="7"/>
      <c r="K172" s="7"/>
    </row>
    <row r="173" spans="4:11" x14ac:dyDescent="0.3">
      <c r="D173" s="7"/>
      <c r="E173" s="7"/>
      <c r="F173" s="7"/>
      <c r="G173" s="7"/>
      <c r="H173" s="7"/>
      <c r="I173" s="7"/>
      <c r="J173" s="7"/>
      <c r="K173" s="7"/>
    </row>
    <row r="174" spans="4:11" x14ac:dyDescent="0.3">
      <c r="D174" s="7"/>
      <c r="E174" s="7"/>
      <c r="F174" s="7"/>
      <c r="G174" s="7"/>
      <c r="H174" s="7"/>
      <c r="I174" s="7"/>
      <c r="J174" s="7"/>
      <c r="K174" s="7"/>
    </row>
    <row r="175" spans="4:11" x14ac:dyDescent="0.3">
      <c r="D175" s="7"/>
      <c r="E175" s="7"/>
      <c r="F175" s="7"/>
      <c r="G175" s="7"/>
      <c r="H175" s="7"/>
      <c r="I175" s="7"/>
      <c r="J175" s="7"/>
      <c r="K175" s="7"/>
    </row>
    <row r="176" spans="4:11" x14ac:dyDescent="0.3">
      <c r="D176" s="7"/>
      <c r="E176" s="7"/>
      <c r="F176" s="7"/>
      <c r="G176" s="7"/>
      <c r="H176" s="7"/>
      <c r="I176" s="7"/>
      <c r="J176" s="7"/>
      <c r="K176" s="7"/>
    </row>
    <row r="177" spans="2:11" x14ac:dyDescent="0.3">
      <c r="D177" s="7"/>
      <c r="E177" s="7"/>
      <c r="F177" s="7"/>
      <c r="G177" s="7"/>
      <c r="H177" s="7"/>
      <c r="I177" s="7"/>
      <c r="J177" s="7"/>
      <c r="K177" s="7"/>
    </row>
    <row r="178" spans="2:11" x14ac:dyDescent="0.3">
      <c r="B178" s="39" t="s">
        <v>302</v>
      </c>
    </row>
    <row r="179" spans="2:11" x14ac:dyDescent="0.3">
      <c r="E179" s="31"/>
    </row>
    <row r="199" spans="2:2" x14ac:dyDescent="0.3">
      <c r="B199" s="39" t="s">
        <v>268</v>
      </c>
    </row>
    <row r="218" spans="2:2" x14ac:dyDescent="0.3">
      <c r="B218" s="39" t="s">
        <v>208</v>
      </c>
    </row>
  </sheetData>
  <mergeCells count="1">
    <mergeCell ref="A1:B1"/>
  </mergeCells>
  <conditionalFormatting sqref="D3">
    <cfRule type="cellIs" dxfId="72" priority="54" operator="greaterThan">
      <formula>$C3</formula>
    </cfRule>
  </conditionalFormatting>
  <conditionalFormatting sqref="D12">
    <cfRule type="cellIs" dxfId="71" priority="52" operator="lessThan">
      <formula>$C12</formula>
    </cfRule>
  </conditionalFormatting>
  <conditionalFormatting sqref="D15:G15 K15">
    <cfRule type="cellIs" dxfId="70" priority="50" operator="greaterThan">
      <formula>$C$15</formula>
    </cfRule>
  </conditionalFormatting>
  <conditionalFormatting sqref="E3:G3 K3">
    <cfRule type="cellIs" dxfId="69" priority="46" operator="greaterThan">
      <formula>$C3</formula>
    </cfRule>
  </conditionalFormatting>
  <conditionalFormatting sqref="D51:G51 K51">
    <cfRule type="cellIs" dxfId="68" priority="45" operator="greaterThan">
      <formula>$C51</formula>
    </cfRule>
  </conditionalFormatting>
  <conditionalFormatting sqref="D62:G62 K62">
    <cfRule type="cellIs" dxfId="67" priority="44" operator="greaterThan">
      <formula>$C62</formula>
    </cfRule>
  </conditionalFormatting>
  <conditionalFormatting sqref="D64:G64 K64">
    <cfRule type="cellIs" dxfId="66" priority="43" operator="greaterThan">
      <formula>$C64</formula>
    </cfRule>
  </conditionalFormatting>
  <conditionalFormatting sqref="E12:G12 K12">
    <cfRule type="cellIs" dxfId="65" priority="42" operator="lessThan">
      <formula>$C12</formula>
    </cfRule>
  </conditionalFormatting>
  <conditionalFormatting sqref="D76:E77">
    <cfRule type="cellIs" dxfId="64" priority="41" operator="lessThan">
      <formula>$C76</formula>
    </cfRule>
  </conditionalFormatting>
  <conditionalFormatting sqref="E76:G77 K76:K77">
    <cfRule type="cellIs" dxfId="63" priority="40" operator="lessThan">
      <formula>$C76</formula>
    </cfRule>
  </conditionalFormatting>
  <conditionalFormatting sqref="D65">
    <cfRule type="expression" dxfId="62" priority="31">
      <formula>D$65+D$66&gt;=$C$66</formula>
    </cfRule>
  </conditionalFormatting>
  <conditionalFormatting sqref="E65:G65 K65">
    <cfRule type="expression" dxfId="61" priority="30">
      <formula>E$65+E$66&gt;=$C$66</formula>
    </cfRule>
  </conditionalFormatting>
  <conditionalFormatting sqref="D66">
    <cfRule type="expression" dxfId="60" priority="29">
      <formula>D$65+D$66&gt;=$C$66</formula>
    </cfRule>
  </conditionalFormatting>
  <conditionalFormatting sqref="E66:G66 K66">
    <cfRule type="expression" dxfId="59" priority="28">
      <formula>E$65+E$66&gt;=$C$66</formula>
    </cfRule>
  </conditionalFormatting>
  <conditionalFormatting sqref="H15">
    <cfRule type="cellIs" dxfId="58" priority="27" operator="greaterThan">
      <formula>$C$15</formula>
    </cfRule>
  </conditionalFormatting>
  <conditionalFormatting sqref="H3">
    <cfRule type="cellIs" dxfId="57" priority="26" operator="greaterThan">
      <formula>$C3</formula>
    </cfRule>
  </conditionalFormatting>
  <conditionalFormatting sqref="H51">
    <cfRule type="cellIs" dxfId="56" priority="25" operator="greaterThan">
      <formula>$C51</formula>
    </cfRule>
  </conditionalFormatting>
  <conditionalFormatting sqref="H62">
    <cfRule type="cellIs" dxfId="55" priority="24" operator="greaterThan">
      <formula>$C62</formula>
    </cfRule>
  </conditionalFormatting>
  <conditionalFormatting sqref="H64">
    <cfRule type="cellIs" dxfId="54" priority="23" operator="greaterThan">
      <formula>$C64</formula>
    </cfRule>
  </conditionalFormatting>
  <conditionalFormatting sqref="H12">
    <cfRule type="cellIs" dxfId="53" priority="22" operator="lessThan">
      <formula>$C12</formula>
    </cfRule>
  </conditionalFormatting>
  <conditionalFormatting sqref="H76:H77">
    <cfRule type="cellIs" dxfId="52" priority="21" operator="lessThan">
      <formula>$C76</formula>
    </cfRule>
  </conditionalFormatting>
  <conditionalFormatting sqref="H65">
    <cfRule type="expression" dxfId="51" priority="20">
      <formula>H$65+H$66&gt;=$C$66</formula>
    </cfRule>
  </conditionalFormatting>
  <conditionalFormatting sqref="H66">
    <cfRule type="expression" dxfId="50" priority="19">
      <formula>H$65+H$66&gt;=$C$66</formula>
    </cfRule>
  </conditionalFormatting>
  <conditionalFormatting sqref="I15">
    <cfRule type="cellIs" dxfId="49" priority="18" operator="greaterThan">
      <formula>$C$15</formula>
    </cfRule>
  </conditionalFormatting>
  <conditionalFormatting sqref="I3">
    <cfRule type="cellIs" dxfId="48" priority="17" operator="greaterThan">
      <formula>$C3</formula>
    </cfRule>
  </conditionalFormatting>
  <conditionalFormatting sqref="I51">
    <cfRule type="cellIs" dxfId="47" priority="16" operator="greaterThan">
      <formula>$C51</formula>
    </cfRule>
  </conditionalFormatting>
  <conditionalFormatting sqref="I62">
    <cfRule type="cellIs" dxfId="46" priority="15" operator="greaterThan">
      <formula>$C62</formula>
    </cfRule>
  </conditionalFormatting>
  <conditionalFormatting sqref="I64">
    <cfRule type="cellIs" dxfId="45" priority="14" operator="greaterThan">
      <formula>$C64</formula>
    </cfRule>
  </conditionalFormatting>
  <conditionalFormatting sqref="I12">
    <cfRule type="cellIs" dxfId="44" priority="13" operator="lessThan">
      <formula>$C12</formula>
    </cfRule>
  </conditionalFormatting>
  <conditionalFormatting sqref="I76:I77">
    <cfRule type="cellIs" dxfId="43" priority="12" operator="lessThan">
      <formula>$C76</formula>
    </cfRule>
  </conditionalFormatting>
  <conditionalFormatting sqref="I65">
    <cfRule type="expression" dxfId="42" priority="11">
      <formula>I$65+I$66&gt;=$C$66</formula>
    </cfRule>
  </conditionalFormatting>
  <conditionalFormatting sqref="I66">
    <cfRule type="expression" dxfId="41" priority="10">
      <formula>I$65+I$66&gt;=$C$66</formula>
    </cfRule>
  </conditionalFormatting>
  <conditionalFormatting sqref="J15">
    <cfRule type="cellIs" dxfId="40" priority="9" operator="greaterThan">
      <formula>$C$15</formula>
    </cfRule>
  </conditionalFormatting>
  <conditionalFormatting sqref="J3">
    <cfRule type="cellIs" dxfId="39" priority="8" operator="greaterThan">
      <formula>$C3</formula>
    </cfRule>
  </conditionalFormatting>
  <conditionalFormatting sqref="J51">
    <cfRule type="cellIs" dxfId="38" priority="7" operator="greaterThan">
      <formula>$C51</formula>
    </cfRule>
  </conditionalFormatting>
  <conditionalFormatting sqref="J62">
    <cfRule type="cellIs" dxfId="37" priority="6" operator="greaterThan">
      <formula>$C62</formula>
    </cfRule>
  </conditionalFormatting>
  <conditionalFormatting sqref="J64">
    <cfRule type="cellIs" dxfId="36" priority="5" operator="greaterThan">
      <formula>$C64</formula>
    </cfRule>
  </conditionalFormatting>
  <conditionalFormatting sqref="J12">
    <cfRule type="cellIs" dxfId="35" priority="4" operator="lessThan">
      <formula>$C12</formula>
    </cfRule>
  </conditionalFormatting>
  <conditionalFormatting sqref="J76:J77">
    <cfRule type="cellIs" dxfId="34" priority="3" operator="lessThan">
      <formula>$C76</formula>
    </cfRule>
  </conditionalFormatting>
  <conditionalFormatting sqref="J65">
    <cfRule type="expression" dxfId="33" priority="2">
      <formula>J$65+J$66&gt;=$C$66</formula>
    </cfRule>
  </conditionalFormatting>
  <conditionalFormatting sqref="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L2" sqref="L2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12" width="7.5546875" customWidth="1"/>
  </cols>
  <sheetData>
    <row r="1" spans="1:12" ht="23.25" customHeight="1" x14ac:dyDescent="0.3">
      <c r="A1" s="74" t="s">
        <v>311</v>
      </c>
      <c r="B1" s="74" t="s">
        <v>312</v>
      </c>
      <c r="C1" s="74" t="s">
        <v>322</v>
      </c>
      <c r="D1" s="42" t="s">
        <v>211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  <c r="J1" s="42">
        <v>2021</v>
      </c>
      <c r="K1" s="42">
        <v>2022</v>
      </c>
      <c r="L1" s="42">
        <v>2023</v>
      </c>
    </row>
    <row r="2" spans="1:12" ht="29.25" customHeight="1" x14ac:dyDescent="0.3">
      <c r="A2" s="75" t="s">
        <v>313</v>
      </c>
      <c r="B2" s="75" t="s">
        <v>78</v>
      </c>
      <c r="C2" s="77" t="s">
        <v>321</v>
      </c>
      <c r="D2" s="89" t="s">
        <v>328</v>
      </c>
      <c r="E2" s="82">
        <f>Piano_indicatori!D3</f>
        <v>34.01</v>
      </c>
      <c r="F2" s="82">
        <f>Piano_indicatori!E3</f>
        <v>32.75</v>
      </c>
      <c r="G2" s="82">
        <f>Piano_indicatori!F3</f>
        <v>33.14</v>
      </c>
      <c r="H2" s="82">
        <f>Piano_indicatori!G3</f>
        <v>29.02</v>
      </c>
      <c r="I2" s="82">
        <f>Piano_indicatori!H3</f>
        <v>26.36</v>
      </c>
      <c r="J2" s="82">
        <f>Piano_indicatori!I3</f>
        <v>26.59</v>
      </c>
      <c r="K2" s="82">
        <f>Piano_indicatori!J3</f>
        <v>25.99</v>
      </c>
      <c r="L2" s="82">
        <f>Piano_indicatori!K3</f>
        <v>27.31</v>
      </c>
    </row>
    <row r="3" spans="1:12" ht="29.25" customHeight="1" x14ac:dyDescent="0.3">
      <c r="A3" s="76" t="s">
        <v>314</v>
      </c>
      <c r="B3" s="76" t="s">
        <v>95</v>
      </c>
      <c r="C3" s="78" t="s">
        <v>96</v>
      </c>
      <c r="D3" s="90" t="s">
        <v>329</v>
      </c>
      <c r="E3" s="83">
        <f>Piano_indicatori!D12</f>
        <v>56.33</v>
      </c>
      <c r="F3" s="83">
        <f>Piano_indicatori!E12</f>
        <v>56.81</v>
      </c>
      <c r="G3" s="83">
        <f>Piano_indicatori!F12</f>
        <v>53.46</v>
      </c>
      <c r="H3" s="83">
        <f>Piano_indicatori!G12</f>
        <v>57.27</v>
      </c>
      <c r="I3" s="83">
        <f>Piano_indicatori!H12</f>
        <v>59.76</v>
      </c>
      <c r="J3" s="83">
        <f>Piano_indicatori!I12</f>
        <v>52</v>
      </c>
      <c r="K3" s="83">
        <f>Piano_indicatori!J12</f>
        <v>53.85</v>
      </c>
      <c r="L3" s="83">
        <f>Piano_indicatori!K12</f>
        <v>56.62</v>
      </c>
    </row>
    <row r="4" spans="1:12" ht="29.25" customHeight="1" x14ac:dyDescent="0.3">
      <c r="A4" s="75" t="s">
        <v>315</v>
      </c>
      <c r="B4" s="75" t="s">
        <v>100</v>
      </c>
      <c r="C4" s="79" t="s">
        <v>324</v>
      </c>
      <c r="D4" s="89" t="s">
        <v>330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  <c r="J4" s="84">
        <f>Piano_indicatori!I15</f>
        <v>0</v>
      </c>
      <c r="K4" s="84">
        <f>Piano_indicatori!J15</f>
        <v>0</v>
      </c>
      <c r="L4" s="84">
        <f>Piano_indicatori!K15</f>
        <v>0</v>
      </c>
    </row>
    <row r="5" spans="1:12" ht="29.25" customHeight="1" x14ac:dyDescent="0.3">
      <c r="A5" s="76" t="s">
        <v>316</v>
      </c>
      <c r="B5" s="76" t="s">
        <v>165</v>
      </c>
      <c r="C5" s="80" t="s">
        <v>325</v>
      </c>
      <c r="D5" s="91" t="s">
        <v>331</v>
      </c>
      <c r="E5" s="85">
        <f>Piano_indicatori!D51</f>
        <v>6.2</v>
      </c>
      <c r="F5" s="85">
        <f>Piano_indicatori!E51</f>
        <v>7.42</v>
      </c>
      <c r="G5" s="85">
        <f>Piano_indicatori!F51</f>
        <v>7.43</v>
      </c>
      <c r="H5" s="85">
        <f>Piano_indicatori!G51</f>
        <v>5.17</v>
      </c>
      <c r="I5" s="85">
        <f>Piano_indicatori!H51</f>
        <v>4.1100000000000003</v>
      </c>
      <c r="J5" s="85">
        <f>Piano_indicatori!I51</f>
        <v>4.3090000000000002</v>
      </c>
      <c r="K5" s="85">
        <f>Piano_indicatori!J51</f>
        <v>3.66</v>
      </c>
      <c r="L5" s="85">
        <f>Piano_indicatori!K51</f>
        <v>5.66</v>
      </c>
    </row>
    <row r="6" spans="1:12" ht="29.25" customHeight="1" x14ac:dyDescent="0.3">
      <c r="A6" s="75" t="s">
        <v>317</v>
      </c>
      <c r="B6" s="75" t="s">
        <v>185</v>
      </c>
      <c r="C6" s="93" t="s">
        <v>186</v>
      </c>
      <c r="D6" s="92" t="s">
        <v>332</v>
      </c>
      <c r="E6" s="86">
        <f>Piano_indicatori!D62</f>
        <v>0</v>
      </c>
      <c r="F6" s="86">
        <f>Piano_indicatori!E62</f>
        <v>0</v>
      </c>
      <c r="G6" s="86">
        <f>Piano_indicatori!F62</f>
        <v>0</v>
      </c>
      <c r="H6" s="86">
        <f>Piano_indicatori!G62</f>
        <v>0</v>
      </c>
      <c r="I6" s="86">
        <f>Piano_indicatori!H62</f>
        <v>0</v>
      </c>
      <c r="J6" s="86">
        <f>Piano_indicatori!I62</f>
        <v>0</v>
      </c>
      <c r="K6" s="86">
        <f>Piano_indicatori!J62</f>
        <v>0</v>
      </c>
      <c r="L6" s="86">
        <f>Piano_indicatori!K62</f>
        <v>0</v>
      </c>
    </row>
    <row r="7" spans="1:12" ht="29.25" customHeight="1" x14ac:dyDescent="0.3">
      <c r="A7" s="76" t="s">
        <v>318</v>
      </c>
      <c r="B7" s="76" t="s">
        <v>188</v>
      </c>
      <c r="C7" s="80" t="s">
        <v>189</v>
      </c>
      <c r="D7" s="90" t="s">
        <v>333</v>
      </c>
      <c r="E7" s="87">
        <f>Piano_indicatori!D64</f>
        <v>0.74</v>
      </c>
      <c r="F7" s="87">
        <f>Piano_indicatori!E64</f>
        <v>0.06</v>
      </c>
      <c r="G7" s="87">
        <f>Piano_indicatori!F64</f>
        <v>0.38</v>
      </c>
      <c r="H7" s="87">
        <f>Piano_indicatori!G64</f>
        <v>0.39</v>
      </c>
      <c r="I7" s="87">
        <f>Piano_indicatori!H64</f>
        <v>0.11</v>
      </c>
      <c r="J7" s="87">
        <f>Piano_indicatori!I64</f>
        <v>0.46</v>
      </c>
      <c r="K7" s="113">
        <f>Piano_indicatori!J64</f>
        <v>0.72</v>
      </c>
      <c r="L7" s="113">
        <f>Piano_indicatori!K64</f>
        <v>0.44</v>
      </c>
    </row>
    <row r="8" spans="1:12" ht="29.25" customHeight="1" x14ac:dyDescent="0.3">
      <c r="A8" s="75" t="s">
        <v>319</v>
      </c>
      <c r="B8" s="75" t="s">
        <v>323</v>
      </c>
      <c r="C8" s="79" t="s">
        <v>326</v>
      </c>
      <c r="D8" s="89" t="s">
        <v>334</v>
      </c>
      <c r="E8" s="84">
        <f>Piano_indicatori!D65+Piano_indicatori!D66</f>
        <v>0</v>
      </c>
      <c r="F8" s="84">
        <f>Piano_indicatori!E65+Piano_indicatori!E66</f>
        <v>0.06</v>
      </c>
      <c r="G8" s="84">
        <f>Piano_indicatori!F65+Piano_indicatori!F66</f>
        <v>0</v>
      </c>
      <c r="H8" s="84">
        <f>Piano_indicatori!G65+Piano_indicatori!G66</f>
        <v>0</v>
      </c>
      <c r="I8" s="84">
        <f>Piano_indicatori!H65+Piano_indicatori!H66</f>
        <v>0</v>
      </c>
      <c r="J8" s="84">
        <f>Piano_indicatori!I65+Piano_indicatori!I66</f>
        <v>0</v>
      </c>
      <c r="K8" s="84">
        <f>Piano_indicatori!J65+Piano_indicatori!J66</f>
        <v>0</v>
      </c>
      <c r="L8" s="84">
        <f>Piano_indicatori!K65+Piano_indicatori!K66</f>
        <v>0</v>
      </c>
    </row>
    <row r="9" spans="1:12" ht="29.25" customHeight="1" x14ac:dyDescent="0.3">
      <c r="A9" s="76" t="s">
        <v>320</v>
      </c>
      <c r="B9" s="76"/>
      <c r="C9" s="81" t="s">
        <v>327</v>
      </c>
      <c r="D9" s="91" t="s">
        <v>335</v>
      </c>
      <c r="E9" s="88">
        <f>Piano_indicatori!D76</f>
        <v>76.22044197932189</v>
      </c>
      <c r="F9" s="88">
        <f>Piano_indicatori!E76</f>
        <v>75.652448548576487</v>
      </c>
      <c r="G9" s="88">
        <f>Piano_indicatori!F76</f>
        <v>74.051813131851787</v>
      </c>
      <c r="H9" s="88">
        <f>Piano_indicatori!G76</f>
        <v>74.534721339781697</v>
      </c>
      <c r="I9" s="88">
        <f>Piano_indicatori!H76</f>
        <v>77.746400155498335</v>
      </c>
      <c r="J9" s="88">
        <f>Piano_indicatori!I76</f>
        <v>72.184564968068798</v>
      </c>
      <c r="K9" s="88">
        <f>Piano_indicatori!J76</f>
        <v>70.236319513337435</v>
      </c>
      <c r="L9" s="88">
        <f>Piano_indicatori!K76</f>
        <v>71.506620968592728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  <col min="6" max="6" width="10" customWidth="1"/>
  </cols>
  <sheetData>
    <row r="1" spans="1:20" ht="43.2" x14ac:dyDescent="0.3">
      <c r="A1" s="99" t="s">
        <v>336</v>
      </c>
      <c r="B1" s="99" t="s">
        <v>337</v>
      </c>
      <c r="C1" s="99" t="s">
        <v>351</v>
      </c>
      <c r="D1" s="99" t="s">
        <v>352</v>
      </c>
      <c r="E1" s="99" t="s">
        <v>353</v>
      </c>
      <c r="F1" s="99" t="s">
        <v>364</v>
      </c>
      <c r="G1" s="99" t="s">
        <v>354</v>
      </c>
    </row>
    <row r="2" spans="1:20" x14ac:dyDescent="0.3">
      <c r="A2" s="31">
        <v>2024</v>
      </c>
      <c r="B2" s="1">
        <v>255643</v>
      </c>
      <c r="C2" s="1">
        <v>927231</v>
      </c>
    </row>
    <row r="3" spans="1:20" x14ac:dyDescent="0.3">
      <c r="A3" s="31">
        <v>2023</v>
      </c>
      <c r="B3" s="1">
        <v>256049</v>
      </c>
      <c r="C3" s="1">
        <v>925656</v>
      </c>
      <c r="D3" s="1">
        <v>-1386</v>
      </c>
      <c r="E3" s="1">
        <v>980</v>
      </c>
      <c r="G3" s="1">
        <f t="shared" ref="G3:G4" si="0">B2-B3-D3-E3-F3</f>
        <v>0</v>
      </c>
    </row>
    <row r="4" spans="1:20" x14ac:dyDescent="0.3">
      <c r="A4" s="31">
        <v>2022</v>
      </c>
      <c r="B4" s="1">
        <v>255985</v>
      </c>
      <c r="C4" s="1">
        <v>924024</v>
      </c>
      <c r="D4" s="1">
        <v>-1304</v>
      </c>
      <c r="E4" s="1">
        <v>1345</v>
      </c>
      <c r="F4" s="1">
        <v>23</v>
      </c>
      <c r="G4" s="1">
        <f t="shared" si="0"/>
        <v>0</v>
      </c>
    </row>
    <row r="5" spans="1:20" x14ac:dyDescent="0.3">
      <c r="A5" s="31">
        <v>2021</v>
      </c>
      <c r="B5" s="1">
        <v>258031</v>
      </c>
      <c r="C5" s="1">
        <v>927810</v>
      </c>
      <c r="D5" s="1">
        <v>-1143</v>
      </c>
      <c r="E5" s="1">
        <v>415</v>
      </c>
      <c r="F5" s="1">
        <v>-1318</v>
      </c>
      <c r="G5" s="1">
        <f>B4-B5-D5-E5-F5</f>
        <v>0</v>
      </c>
    </row>
    <row r="6" spans="1:20" x14ac:dyDescent="0.3">
      <c r="A6" s="31">
        <v>2020</v>
      </c>
      <c r="B6" s="1">
        <v>259087</v>
      </c>
      <c r="C6" s="1">
        <v>924742</v>
      </c>
      <c r="D6" s="1">
        <v>-1897</v>
      </c>
      <c r="E6" s="1">
        <v>592</v>
      </c>
      <c r="F6" s="1">
        <v>249</v>
      </c>
      <c r="G6" s="1">
        <f t="shared" ref="G6:G11" si="1">B5-B6-D6-E6-F6</f>
        <v>0</v>
      </c>
    </row>
    <row r="7" spans="1:20" x14ac:dyDescent="0.3">
      <c r="A7" s="31">
        <v>2019</v>
      </c>
      <c r="B7" s="1">
        <v>258584</v>
      </c>
      <c r="C7" s="1">
        <v>922857</v>
      </c>
      <c r="D7" s="1">
        <v>-879</v>
      </c>
      <c r="E7" s="1">
        <v>1419</v>
      </c>
      <c r="F7" s="1">
        <v>-37</v>
      </c>
      <c r="G7" s="1">
        <f t="shared" si="1"/>
        <v>0</v>
      </c>
      <c r="K7" s="108"/>
      <c r="L7" s="109"/>
      <c r="M7" s="109"/>
      <c r="N7" s="109"/>
      <c r="O7" s="109"/>
      <c r="P7" s="109"/>
      <c r="Q7" s="109"/>
      <c r="R7" s="109"/>
      <c r="S7" s="109"/>
      <c r="T7" s="109"/>
    </row>
    <row r="8" spans="1:20" x14ac:dyDescent="0.3">
      <c r="A8" s="31">
        <v>2018</v>
      </c>
      <c r="B8" s="1">
        <v>257845</v>
      </c>
      <c r="C8" s="1">
        <v>919179</v>
      </c>
      <c r="D8" s="1">
        <v>-897</v>
      </c>
      <c r="E8" s="1">
        <v>1636</v>
      </c>
      <c r="F8" s="1"/>
      <c r="G8" s="1">
        <f t="shared" si="1"/>
        <v>0</v>
      </c>
      <c r="K8" s="108"/>
      <c r="L8" s="109"/>
      <c r="M8" s="109"/>
      <c r="N8" s="109"/>
      <c r="O8" s="109"/>
      <c r="P8" s="109"/>
      <c r="Q8" s="109"/>
      <c r="R8" s="109"/>
      <c r="S8" s="109"/>
      <c r="T8" s="109"/>
    </row>
    <row r="9" spans="1:20" x14ac:dyDescent="0.3">
      <c r="A9" s="31">
        <v>2017</v>
      </c>
      <c r="B9" s="1">
        <v>257702</v>
      </c>
      <c r="C9" s="1">
        <v>918069</v>
      </c>
      <c r="D9" s="1">
        <v>-940</v>
      </c>
      <c r="E9" s="1">
        <v>1083</v>
      </c>
      <c r="F9" s="1"/>
      <c r="G9" s="1">
        <f t="shared" si="1"/>
        <v>0</v>
      </c>
      <c r="K9" s="108"/>
      <c r="L9" s="109"/>
      <c r="M9" s="109"/>
      <c r="N9" s="109"/>
      <c r="O9" s="109"/>
      <c r="P9" s="109"/>
      <c r="Q9" s="109"/>
      <c r="R9" s="109"/>
      <c r="S9" s="109"/>
      <c r="T9" s="109"/>
    </row>
    <row r="10" spans="1:20" x14ac:dyDescent="0.3">
      <c r="A10" s="31">
        <v>2016</v>
      </c>
      <c r="B10" s="1">
        <v>257912</v>
      </c>
      <c r="C10" s="1">
        <v>918050</v>
      </c>
      <c r="D10" s="1">
        <v>-714</v>
      </c>
      <c r="E10" s="1">
        <v>504</v>
      </c>
      <c r="F10" s="1"/>
      <c r="G10" s="1">
        <f t="shared" si="1"/>
        <v>0</v>
      </c>
      <c r="K10" s="108"/>
      <c r="L10" s="109"/>
      <c r="M10" s="109"/>
      <c r="N10" s="109"/>
      <c r="O10" s="109"/>
      <c r="P10" s="109"/>
      <c r="Q10" s="109"/>
      <c r="R10" s="109"/>
      <c r="S10" s="109"/>
      <c r="T10" s="109"/>
    </row>
    <row r="11" spans="1:20" x14ac:dyDescent="0.3">
      <c r="A11" s="31">
        <v>2015</v>
      </c>
      <c r="B11" s="1">
        <v>257950</v>
      </c>
      <c r="C11" s="1">
        <v>918450</v>
      </c>
      <c r="D11" s="1">
        <v>-776</v>
      </c>
      <c r="E11" s="1">
        <v>738</v>
      </c>
      <c r="F11" s="1"/>
      <c r="G11" s="1">
        <f t="shared" si="1"/>
        <v>0</v>
      </c>
    </row>
    <row r="32" spans="6:6" x14ac:dyDescent="0.3">
      <c r="F32" s="108"/>
    </row>
    <row r="33" spans="1:6" x14ac:dyDescent="0.3">
      <c r="A33" s="110"/>
      <c r="B33" s="108"/>
      <c r="C33" s="108"/>
      <c r="D33" s="108"/>
      <c r="F33" s="108"/>
    </row>
    <row r="34" spans="1:6" x14ac:dyDescent="0.3">
      <c r="A34" s="110"/>
      <c r="B34" s="108"/>
      <c r="C34" s="108"/>
      <c r="D34" s="108"/>
      <c r="F34" s="108"/>
    </row>
    <row r="35" spans="1:6" x14ac:dyDescent="0.3">
      <c r="A35" s="110"/>
      <c r="B35" s="108"/>
      <c r="C35" s="108"/>
      <c r="D35" s="108"/>
      <c r="F35" s="108"/>
    </row>
    <row r="36" spans="1:6" x14ac:dyDescent="0.3">
      <c r="A36" s="110"/>
      <c r="B36" s="108"/>
      <c r="C36" s="108"/>
      <c r="D36" s="108"/>
      <c r="F36" s="108"/>
    </row>
    <row r="37" spans="1:6" x14ac:dyDescent="0.3">
      <c r="A37" s="110"/>
      <c r="B37" s="108"/>
      <c r="C37" s="108"/>
      <c r="D37" s="108"/>
      <c r="F37" s="108"/>
    </row>
    <row r="38" spans="1:6" x14ac:dyDescent="0.3">
      <c r="A38" s="110"/>
      <c r="B38" s="108"/>
      <c r="C38" s="108"/>
      <c r="D38" s="108"/>
      <c r="F38" s="108"/>
    </row>
    <row r="39" spans="1:6" x14ac:dyDescent="0.3">
      <c r="A39" s="110"/>
      <c r="B39" s="108"/>
      <c r="C39" s="108"/>
      <c r="D39" s="108"/>
      <c r="F39" s="108"/>
    </row>
    <row r="40" spans="1:6" x14ac:dyDescent="0.3">
      <c r="A40" s="110"/>
      <c r="B40" s="108"/>
      <c r="C40" s="108"/>
      <c r="D40" s="108"/>
      <c r="F40" s="108"/>
    </row>
    <row r="41" spans="1:6" x14ac:dyDescent="0.3">
      <c r="A41" s="110"/>
      <c r="B41" s="108"/>
      <c r="C41" s="108"/>
      <c r="D41" s="108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B1" workbookViewId="0">
      <selection activeCell="I2" sqref="I2"/>
    </sheetView>
  </sheetViews>
  <sheetFormatPr defaultRowHeight="14.4" x14ac:dyDescent="0.3"/>
  <cols>
    <col min="1" max="1" width="55.6640625" bestFit="1" customWidth="1"/>
    <col min="2" max="9" width="12.5546875" bestFit="1" customWidth="1"/>
    <col min="10" max="10" width="8.33203125" bestFit="1" customWidth="1"/>
    <col min="11" max="11" width="6.5546875" bestFit="1" customWidth="1"/>
    <col min="12" max="12" width="12.44140625" bestFit="1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385</v>
      </c>
      <c r="M1" s="42" t="s">
        <v>269</v>
      </c>
    </row>
    <row r="2" spans="1:13" x14ac:dyDescent="0.3">
      <c r="A2" s="55" t="s">
        <v>20</v>
      </c>
      <c r="B2" s="56">
        <f>Entrate_Uscite!B3</f>
        <v>203141476.69</v>
      </c>
      <c r="C2" s="56">
        <f>Entrate_Uscite!E3</f>
        <v>208487225.93000001</v>
      </c>
      <c r="D2" s="56">
        <f>Entrate_Uscite!H3</f>
        <v>204155697.58000001</v>
      </c>
      <c r="E2" s="56">
        <f>Entrate_Uscite!K3</f>
        <v>205963772.53999999</v>
      </c>
      <c r="F2" s="56">
        <f>Entrate_Uscite!N3</f>
        <v>196523570.96000001</v>
      </c>
      <c r="G2" s="56">
        <f>Entrate_Uscite!Q3</f>
        <v>202963444.83000001</v>
      </c>
      <c r="H2" s="56">
        <f>Entrate_Uscite!T3</f>
        <v>210178617.19999999</v>
      </c>
      <c r="I2" s="56">
        <f>Entrate_Uscite!W3</f>
        <v>217683265.34999999</v>
      </c>
      <c r="J2" s="56">
        <f>I2/I$21*100</f>
        <v>48.520113755927461</v>
      </c>
      <c r="K2" s="57">
        <f>IF(H2&gt;0,I2/H2*100-100,"-")</f>
        <v>3.5706049692290094</v>
      </c>
      <c r="L2" s="56">
        <f>Entrate_Uscite!X3</f>
        <v>200988695.33000001</v>
      </c>
      <c r="M2" s="58">
        <f>IF(I2&gt;0,L2/I2*100,"-")</f>
        <v>92.330797687567866</v>
      </c>
    </row>
    <row r="3" spans="1:13" x14ac:dyDescent="0.3">
      <c r="A3" s="55" t="s">
        <v>21</v>
      </c>
      <c r="B3" s="56">
        <f>Entrate_Uscite!B4</f>
        <v>35655979.460000001</v>
      </c>
      <c r="C3" s="56">
        <f>Entrate_Uscite!E4</f>
        <v>40539875.18</v>
      </c>
      <c r="D3" s="56">
        <f>Entrate_Uscite!H4</f>
        <v>38188820.609999999</v>
      </c>
      <c r="E3" s="56">
        <f>Entrate_Uscite!K4</f>
        <v>40511449.189999998</v>
      </c>
      <c r="F3" s="56">
        <f>Entrate_Uscite!N4</f>
        <v>81109241.469999999</v>
      </c>
      <c r="G3" s="56">
        <f>Entrate_Uscite!Q4</f>
        <v>65742969.109999999</v>
      </c>
      <c r="H3" s="56">
        <f>Entrate_Uscite!T4</f>
        <v>60717519.07</v>
      </c>
      <c r="I3" s="56">
        <f>Entrate_Uscite!W4</f>
        <v>56904365.039999999</v>
      </c>
      <c r="J3" s="56">
        <f t="shared" ref="J3:J21" si="0">I3/I$21*100</f>
        <v>12.683594489959363</v>
      </c>
      <c r="K3" s="57">
        <f t="shared" ref="K3:K21" si="1">IF(H3&gt;0,I3/H3*100-100,"-")</f>
        <v>-6.280154539258902</v>
      </c>
      <c r="L3" s="56">
        <f>Entrate_Uscite!X4</f>
        <v>48015166.990000002</v>
      </c>
      <c r="M3" s="58">
        <f t="shared" ref="M3:M21" si="2">IF(I3&gt;0,L3/I3*100,"-")</f>
        <v>84.378706196349825</v>
      </c>
    </row>
    <row r="4" spans="1:13" x14ac:dyDescent="0.3">
      <c r="A4" s="55" t="s">
        <v>22</v>
      </c>
      <c r="B4" s="56">
        <f>Entrate_Uscite!B5</f>
        <v>73622783.400000006</v>
      </c>
      <c r="C4" s="56">
        <f>Entrate_Uscite!E5</f>
        <v>73254245.310000002</v>
      </c>
      <c r="D4" s="56">
        <f>Entrate_Uscite!H5</f>
        <v>85023192.819999993</v>
      </c>
      <c r="E4" s="56">
        <f>Entrate_Uscite!K5</f>
        <v>89454472.75</v>
      </c>
      <c r="F4" s="56">
        <f>Entrate_Uscite!N5</f>
        <v>70759616.930000007</v>
      </c>
      <c r="G4" s="56">
        <f>Entrate_Uscite!Q5</f>
        <v>75932029.579999998</v>
      </c>
      <c r="H4" s="56">
        <f>Entrate_Uscite!T5</f>
        <v>97310246.670000002</v>
      </c>
      <c r="I4" s="56">
        <f>Entrate_Uscite!W5</f>
        <v>107789241.43000001</v>
      </c>
      <c r="J4" s="56">
        <f t="shared" si="0"/>
        <v>24.025486053968411</v>
      </c>
      <c r="K4" s="57">
        <f t="shared" si="1"/>
        <v>10.768644740503561</v>
      </c>
      <c r="L4" s="56">
        <f>Entrate_Uscite!X5</f>
        <v>60974747.740000002</v>
      </c>
      <c r="M4" s="58">
        <f t="shared" si="2"/>
        <v>56.568491373601461</v>
      </c>
    </row>
    <row r="5" spans="1:13" x14ac:dyDescent="0.3">
      <c r="A5" s="4" t="s">
        <v>31</v>
      </c>
      <c r="B5" s="43">
        <f t="shared" ref="B5:I5" si="3">SUM(B2:B4)</f>
        <v>312420239.55000001</v>
      </c>
      <c r="C5" s="43">
        <f t="shared" si="3"/>
        <v>322281346.42000002</v>
      </c>
      <c r="D5" s="43">
        <f t="shared" si="3"/>
        <v>327367711.00999999</v>
      </c>
      <c r="E5" s="43">
        <f t="shared" si="3"/>
        <v>335929694.48000002</v>
      </c>
      <c r="F5" s="43">
        <f t="shared" si="3"/>
        <v>348392429.36000001</v>
      </c>
      <c r="G5" s="43">
        <f t="shared" ref="G5:H5" si="4">SUM(G2:G4)</f>
        <v>344638443.51999998</v>
      </c>
      <c r="H5" s="43">
        <f t="shared" si="4"/>
        <v>368206382.94</v>
      </c>
      <c r="I5" s="43">
        <f t="shared" si="3"/>
        <v>382376871.81999999</v>
      </c>
      <c r="J5" s="43">
        <f t="shared" si="0"/>
        <v>85.229194299855237</v>
      </c>
      <c r="K5" s="44">
        <f t="shared" si="1"/>
        <v>3.8485179878886271</v>
      </c>
      <c r="L5" s="43">
        <f>SUM(L2:L4)</f>
        <v>309978610.06</v>
      </c>
      <c r="M5" s="45">
        <f>IF(I5&gt;0,L5/I5*100,"-")</f>
        <v>81.066255023373714</v>
      </c>
    </row>
    <row r="6" spans="1:13" x14ac:dyDescent="0.3">
      <c r="A6" s="55" t="s">
        <v>23</v>
      </c>
      <c r="B6" s="56">
        <f>Entrate_Uscite!B6</f>
        <v>38932.120000000003</v>
      </c>
      <c r="C6" s="56">
        <f>Entrate_Uscite!E6</f>
        <v>21723.11</v>
      </c>
      <c r="D6" s="56">
        <f>Entrate_Uscite!H6</f>
        <v>16296.87</v>
      </c>
      <c r="E6" s="56">
        <f>Entrate_Uscite!K6</f>
        <v>246163.29</v>
      </c>
      <c r="F6" s="56">
        <f>Entrate_Uscite!N6</f>
        <v>17917.009999999998</v>
      </c>
      <c r="G6" s="56">
        <f>Entrate_Uscite!Q6</f>
        <v>3103.71</v>
      </c>
      <c r="H6" s="56">
        <f>Entrate_Uscite!T6</f>
        <v>18240.150000000001</v>
      </c>
      <c r="I6" s="56">
        <f>Entrate_Uscite!W6</f>
        <v>65249.65</v>
      </c>
      <c r="J6" s="56">
        <f t="shared" si="0"/>
        <v>1.4543701535550549E-2</v>
      </c>
      <c r="K6" s="57">
        <f t="shared" si="1"/>
        <v>257.72540247750152</v>
      </c>
      <c r="L6" s="56">
        <f>Entrate_Uscite!X6</f>
        <v>65249.65</v>
      </c>
      <c r="M6" s="58">
        <f t="shared" si="2"/>
        <v>100</v>
      </c>
    </row>
    <row r="7" spans="1:13" x14ac:dyDescent="0.3">
      <c r="A7" s="55" t="s">
        <v>24</v>
      </c>
      <c r="B7" s="56">
        <f>Entrate_Uscite!B7</f>
        <v>5750946.0300000003</v>
      </c>
      <c r="C7" s="56">
        <f>Entrate_Uscite!E7</f>
        <v>2303085.7999999998</v>
      </c>
      <c r="D7" s="56">
        <f>Entrate_Uscite!H7</f>
        <v>10541475.35</v>
      </c>
      <c r="E7" s="56">
        <f>Entrate_Uscite!K7</f>
        <v>7199987.0800000001</v>
      </c>
      <c r="F7" s="56">
        <f>Entrate_Uscite!N7</f>
        <v>13544820.029999999</v>
      </c>
      <c r="G7" s="56">
        <f>Entrate_Uscite!Q7</f>
        <v>11735153.41</v>
      </c>
      <c r="H7" s="56">
        <f>Entrate_Uscite!T7</f>
        <v>29383367.190000001</v>
      </c>
      <c r="I7" s="56">
        <f>Entrate_Uscite!W7</f>
        <v>46993774.420000002</v>
      </c>
      <c r="J7" s="56">
        <f t="shared" si="0"/>
        <v>10.474591498858157</v>
      </c>
      <c r="K7" s="57">
        <f t="shared" si="1"/>
        <v>59.933251067268174</v>
      </c>
      <c r="L7" s="56">
        <f>Entrate_Uscite!X7</f>
        <v>33675345.399999999</v>
      </c>
      <c r="M7" s="58">
        <f t="shared" si="2"/>
        <v>71.659162975571007</v>
      </c>
    </row>
    <row r="8" spans="1:13" x14ac:dyDescent="0.3">
      <c r="A8" s="55" t="s">
        <v>25</v>
      </c>
      <c r="B8" s="56">
        <f>Entrate_Uscite!B8</f>
        <v>0</v>
      </c>
      <c r="C8" s="56">
        <f>Entrate_Uscite!E8</f>
        <v>0</v>
      </c>
      <c r="D8" s="56">
        <f>Entrate_Uscite!H8</f>
        <v>0</v>
      </c>
      <c r="E8" s="56">
        <f>Entrate_Uscite!K8</f>
        <v>0</v>
      </c>
      <c r="F8" s="56">
        <f>Entrate_Uscite!N8</f>
        <v>0</v>
      </c>
      <c r="G8" s="56">
        <f>Entrate_Uscite!Q8</f>
        <v>16939.759999999998</v>
      </c>
      <c r="H8" s="56">
        <f>Entrate_Uscite!T8</f>
        <v>0</v>
      </c>
      <c r="I8" s="56">
        <f>Entrate_Uscite!W8</f>
        <v>362572.29</v>
      </c>
      <c r="J8" s="56">
        <f t="shared" si="0"/>
        <v>8.0814888215049091E-2</v>
      </c>
      <c r="K8" s="57" t="str">
        <f t="shared" si="1"/>
        <v>-</v>
      </c>
      <c r="L8" s="56">
        <f>Entrate_Uscite!X8</f>
        <v>0</v>
      </c>
      <c r="M8" s="58">
        <f t="shared" si="2"/>
        <v>0</v>
      </c>
    </row>
    <row r="9" spans="1:13" x14ac:dyDescent="0.3">
      <c r="A9" s="55" t="s">
        <v>26</v>
      </c>
      <c r="B9" s="56">
        <f>Entrate_Uscite!B9</f>
        <v>2413685.94</v>
      </c>
      <c r="C9" s="56">
        <f>Entrate_Uscite!E9</f>
        <v>1124260.07</v>
      </c>
      <c r="D9" s="56">
        <f>Entrate_Uscite!H9</f>
        <v>1094030.1299999999</v>
      </c>
      <c r="E9" s="56">
        <f>Entrate_Uscite!K9</f>
        <v>496353.25</v>
      </c>
      <c r="F9" s="56">
        <f>Entrate_Uscite!N9</f>
        <v>784446.27</v>
      </c>
      <c r="G9" s="56">
        <f>Entrate_Uscite!Q9</f>
        <v>1133323.26</v>
      </c>
      <c r="H9" s="56">
        <f>Entrate_Uscite!T9</f>
        <v>1075683.1200000001</v>
      </c>
      <c r="I9" s="56">
        <f>Entrate_Uscite!W9</f>
        <v>833230.99</v>
      </c>
      <c r="J9" s="56">
        <f t="shared" si="0"/>
        <v>0.18572149932959492</v>
      </c>
      <c r="K9" s="57">
        <f t="shared" si="1"/>
        <v>-22.539363637127636</v>
      </c>
      <c r="L9" s="56">
        <f>Entrate_Uscite!X9</f>
        <v>833208.49</v>
      </c>
      <c r="M9" s="58">
        <f t="shared" si="2"/>
        <v>99.997299668366864</v>
      </c>
    </row>
    <row r="10" spans="1:13" x14ac:dyDescent="0.3">
      <c r="A10" s="55" t="s">
        <v>27</v>
      </c>
      <c r="B10" s="56">
        <f>Entrate_Uscite!B10</f>
        <v>11671046.26</v>
      </c>
      <c r="C10" s="56">
        <f>Entrate_Uscite!E10</f>
        <v>12049080.550000001</v>
      </c>
      <c r="D10" s="56">
        <f>Entrate_Uscite!H10</f>
        <v>11408734.550000001</v>
      </c>
      <c r="E10" s="56">
        <f>Entrate_Uscite!K10</f>
        <v>14623505.810000001</v>
      </c>
      <c r="F10" s="56">
        <f>Entrate_Uscite!N10</f>
        <v>15206533.300000001</v>
      </c>
      <c r="G10" s="56">
        <f>Entrate_Uscite!Q10</f>
        <v>11297216.83</v>
      </c>
      <c r="H10" s="56">
        <f>Entrate_Uscite!T10</f>
        <v>12590911.24</v>
      </c>
      <c r="I10" s="56">
        <f>Entrate_Uscite!W10</f>
        <v>11016879.4</v>
      </c>
      <c r="J10" s="56">
        <f t="shared" si="0"/>
        <v>2.4555872076977456</v>
      </c>
      <c r="K10" s="57">
        <f t="shared" si="1"/>
        <v>-12.501333779555736</v>
      </c>
      <c r="L10" s="56">
        <f>Entrate_Uscite!X10</f>
        <v>8860400.0700000003</v>
      </c>
      <c r="M10" s="58">
        <f t="shared" si="2"/>
        <v>80.425679072061001</v>
      </c>
    </row>
    <row r="11" spans="1:13" x14ac:dyDescent="0.3">
      <c r="A11" s="4" t="s">
        <v>32</v>
      </c>
      <c r="B11" s="46">
        <f t="shared" ref="B11:I11" si="5">SUM(B6:B10)</f>
        <v>19874610.350000001</v>
      </c>
      <c r="C11" s="46">
        <f t="shared" si="5"/>
        <v>15498149.530000001</v>
      </c>
      <c r="D11" s="46">
        <f t="shared" si="5"/>
        <v>23060536.899999999</v>
      </c>
      <c r="E11" s="46">
        <f t="shared" si="5"/>
        <v>22566009.43</v>
      </c>
      <c r="F11" s="46">
        <f t="shared" si="5"/>
        <v>29553716.609999999</v>
      </c>
      <c r="G11" s="46">
        <f t="shared" ref="G11" si="6">SUM(G6:G10)</f>
        <v>24185736.969999999</v>
      </c>
      <c r="H11" s="46">
        <f t="shared" ref="H11" si="7">SUM(H6:H10)</f>
        <v>43068201.700000003</v>
      </c>
      <c r="I11" s="46">
        <f t="shared" si="5"/>
        <v>59271706.75</v>
      </c>
      <c r="J11" s="46">
        <f t="shared" si="0"/>
        <v>13.211258795636097</v>
      </c>
      <c r="K11" s="44">
        <f t="shared" si="1"/>
        <v>37.622896732184671</v>
      </c>
      <c r="L11" s="46">
        <f>SUM(L6:L10)</f>
        <v>43434203.609999999</v>
      </c>
      <c r="M11" s="45">
        <f>IF(I11&gt;0,L11/I11*100,"-")</f>
        <v>73.279826061361049</v>
      </c>
    </row>
    <row r="12" spans="1:13" x14ac:dyDescent="0.3">
      <c r="A12" s="55" t="s">
        <v>28</v>
      </c>
      <c r="B12" s="56">
        <f>Entrate_Uscite!B11</f>
        <v>9351057.5600000005</v>
      </c>
      <c r="C12" s="56">
        <f>Entrate_Uscite!E11</f>
        <v>528.78</v>
      </c>
      <c r="D12" s="56">
        <f>Entrate_Uscite!H11</f>
        <v>0</v>
      </c>
      <c r="E12" s="56">
        <f>Entrate_Uscite!K11</f>
        <v>1373.73</v>
      </c>
      <c r="F12" s="56">
        <f>Entrate_Uscite!N11</f>
        <v>0</v>
      </c>
      <c r="G12" s="56">
        <f>Entrate_Uscite!Q11</f>
        <v>0</v>
      </c>
      <c r="H12" s="56">
        <f>Entrate_Uscite!T11</f>
        <v>4902.8999999999996</v>
      </c>
      <c r="I12" s="56">
        <f>Entrate_Uscite!W11</f>
        <v>0</v>
      </c>
      <c r="J12" s="56">
        <f t="shared" si="0"/>
        <v>0</v>
      </c>
      <c r="K12" s="57">
        <f t="shared" si="1"/>
        <v>-100</v>
      </c>
      <c r="L12" s="56">
        <f>Entrate_Uscite!X11</f>
        <v>0</v>
      </c>
      <c r="M12" s="58" t="str">
        <f t="shared" si="2"/>
        <v>-</v>
      </c>
    </row>
    <row r="13" spans="1:13" x14ac:dyDescent="0.3">
      <c r="A13" s="55" t="s">
        <v>29</v>
      </c>
      <c r="B13" s="56">
        <f>Entrate_Uscite!B12</f>
        <v>0</v>
      </c>
      <c r="C13" s="56">
        <f>Entrate_Uscite!E12</f>
        <v>0</v>
      </c>
      <c r="D13" s="56">
        <f>Entrate_Uscite!H12</f>
        <v>0</v>
      </c>
      <c r="E13" s="56">
        <f>Entrate_Uscite!K12</f>
        <v>0</v>
      </c>
      <c r="F13" s="56">
        <f>Entrate_Uscite!N12</f>
        <v>0</v>
      </c>
      <c r="G13" s="56">
        <f>Entrate_Uscite!Q12</f>
        <v>0</v>
      </c>
      <c r="H13" s="56">
        <f>Entrate_Uscite!T12</f>
        <v>0</v>
      </c>
      <c r="I13" s="56">
        <f>Entrate_Uscite!W12</f>
        <v>0</v>
      </c>
      <c r="J13" s="56">
        <f t="shared" si="0"/>
        <v>0</v>
      </c>
      <c r="K13" s="57" t="str">
        <f t="shared" si="1"/>
        <v>-</v>
      </c>
      <c r="L13" s="56">
        <f>Entrate_Uscite!X12</f>
        <v>0</v>
      </c>
      <c r="M13" s="58" t="str">
        <f t="shared" si="2"/>
        <v>-</v>
      </c>
    </row>
    <row r="14" spans="1:13" x14ac:dyDescent="0.3">
      <c r="A14" s="55" t="s">
        <v>30</v>
      </c>
      <c r="B14" s="56">
        <f>Entrate_Uscite!B13</f>
        <v>145091.70000000001</v>
      </c>
      <c r="C14" s="56">
        <f>Entrate_Uscite!E13</f>
        <v>0</v>
      </c>
      <c r="D14" s="56">
        <f>Entrate_Uscite!H13</f>
        <v>0</v>
      </c>
      <c r="E14" s="56">
        <f>Entrate_Uscite!K13</f>
        <v>2000000</v>
      </c>
      <c r="F14" s="56">
        <f>Entrate_Uscite!N13</f>
        <v>349890</v>
      </c>
      <c r="G14" s="56">
        <f>Entrate_Uscite!Q13</f>
        <v>2300000</v>
      </c>
      <c r="H14" s="56">
        <f>Entrate_Uscite!T13</f>
        <v>970000</v>
      </c>
      <c r="I14" s="56">
        <f>Entrate_Uscite!W13</f>
        <v>6996835.6699999999</v>
      </c>
      <c r="J14" s="56">
        <f t="shared" si="0"/>
        <v>1.5595469045086656</v>
      </c>
      <c r="K14" s="57">
        <f t="shared" si="1"/>
        <v>621.32326494845358</v>
      </c>
      <c r="L14" s="56">
        <f>Entrate_Uscite!X13</f>
        <v>6996835.6699999999</v>
      </c>
      <c r="M14" s="58">
        <f t="shared" si="2"/>
        <v>100</v>
      </c>
    </row>
    <row r="15" spans="1:13" x14ac:dyDescent="0.3">
      <c r="A15" s="4" t="s">
        <v>33</v>
      </c>
      <c r="B15" s="43">
        <f t="shared" ref="B15:I15" si="8">SUM(B12:B14)</f>
        <v>9496149.2599999998</v>
      </c>
      <c r="C15" s="43">
        <f t="shared" si="8"/>
        <v>528.78</v>
      </c>
      <c r="D15" s="43">
        <f t="shared" si="8"/>
        <v>0</v>
      </c>
      <c r="E15" s="43">
        <f t="shared" si="8"/>
        <v>2001373.73</v>
      </c>
      <c r="F15" s="43">
        <f t="shared" si="8"/>
        <v>349890</v>
      </c>
      <c r="G15" s="43">
        <f t="shared" ref="G15" si="9">SUM(G12:G14)</f>
        <v>2300000</v>
      </c>
      <c r="H15" s="43">
        <f t="shared" ref="H15" si="10">SUM(H12:H14)</f>
        <v>974902.9</v>
      </c>
      <c r="I15" s="43">
        <f t="shared" si="8"/>
        <v>6996835.6699999999</v>
      </c>
      <c r="J15" s="43">
        <f t="shared" si="0"/>
        <v>1.5595469045086656</v>
      </c>
      <c r="K15" s="44">
        <f t="shared" si="1"/>
        <v>617.69564640745239</v>
      </c>
      <c r="L15" s="43">
        <f>SUM(L12:L14)</f>
        <v>6996835.6699999999</v>
      </c>
      <c r="M15" s="45">
        <f t="shared" si="2"/>
        <v>100</v>
      </c>
    </row>
    <row r="16" spans="1:13" x14ac:dyDescent="0.3">
      <c r="A16" s="47" t="s">
        <v>348</v>
      </c>
      <c r="B16" s="48">
        <f>B5+B11+B15</f>
        <v>341790999.16000003</v>
      </c>
      <c r="C16" s="48">
        <f t="shared" ref="C16:I16" si="11">C5+C11+C15</f>
        <v>337780024.73000002</v>
      </c>
      <c r="D16" s="48">
        <f t="shared" si="11"/>
        <v>350428247.90999997</v>
      </c>
      <c r="E16" s="48">
        <f t="shared" si="11"/>
        <v>360497077.64000005</v>
      </c>
      <c r="F16" s="48">
        <f t="shared" ref="F16:H16" si="12">F5+F11+F15</f>
        <v>378296035.97000003</v>
      </c>
      <c r="G16" s="48">
        <f t="shared" si="12"/>
        <v>371124180.49000001</v>
      </c>
      <c r="H16" s="48">
        <f t="shared" si="12"/>
        <v>412249487.53999996</v>
      </c>
      <c r="I16" s="48">
        <f t="shared" si="11"/>
        <v>448645414.24000001</v>
      </c>
      <c r="J16" s="48">
        <f t="shared" si="0"/>
        <v>100</v>
      </c>
      <c r="K16" s="49">
        <f t="shared" si="1"/>
        <v>8.8286166023356429</v>
      </c>
      <c r="L16" s="48">
        <f t="shared" ref="L16" si="13">L5+L11+L15</f>
        <v>360409649.34000003</v>
      </c>
      <c r="M16" s="50">
        <f t="shared" si="2"/>
        <v>80.332850375954408</v>
      </c>
    </row>
    <row r="17" spans="1:13" x14ac:dyDescent="0.3">
      <c r="A17" s="4" t="s">
        <v>34</v>
      </c>
      <c r="B17" s="43">
        <f>Entrate_Uscite!B17</f>
        <v>97808.28</v>
      </c>
      <c r="C17" s="43">
        <f>Entrate_Uscite!E17</f>
        <v>0</v>
      </c>
      <c r="D17" s="43">
        <f>Entrate_Uscite!H17</f>
        <v>0</v>
      </c>
      <c r="E17" s="43">
        <f>Entrate_Uscite!K17</f>
        <v>0</v>
      </c>
      <c r="F17" s="43">
        <f>Entrate_Uscite!N17</f>
        <v>0</v>
      </c>
      <c r="G17" s="43">
        <f>Entrate_Uscite!Q17</f>
        <v>800000</v>
      </c>
      <c r="H17" s="43">
        <f>Entrate_Uscite!T17</f>
        <v>440000</v>
      </c>
      <c r="I17" s="43">
        <f>Entrate_Uscite!W17</f>
        <v>0</v>
      </c>
      <c r="J17" s="43">
        <f t="shared" si="0"/>
        <v>0</v>
      </c>
      <c r="K17" s="44">
        <f t="shared" si="1"/>
        <v>-100</v>
      </c>
      <c r="L17" s="43">
        <f>Entrate_Uscite!X17</f>
        <v>0</v>
      </c>
      <c r="M17" s="45" t="str">
        <f t="shared" si="2"/>
        <v>-</v>
      </c>
    </row>
    <row r="18" spans="1:13" x14ac:dyDescent="0.3">
      <c r="A18" s="4" t="s">
        <v>35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>Entrate_Uscite!Q18</f>
        <v>0</v>
      </c>
      <c r="H18" s="43">
        <f>Entrate_Uscite!T18</f>
        <v>0</v>
      </c>
      <c r="I18" s="43">
        <f>Entrate_Uscite!W18</f>
        <v>0</v>
      </c>
      <c r="J18" s="43">
        <f t="shared" si="0"/>
        <v>0</v>
      </c>
      <c r="K18" s="44" t="str">
        <f t="shared" si="1"/>
        <v>-</v>
      </c>
      <c r="L18" s="43">
        <f>Entrate_Uscite!X18</f>
        <v>0</v>
      </c>
      <c r="M18" s="45" t="str">
        <f t="shared" si="2"/>
        <v>-</v>
      </c>
    </row>
    <row r="19" spans="1:13" x14ac:dyDescent="0.3">
      <c r="A19" s="4" t="s">
        <v>36</v>
      </c>
      <c r="B19" s="43">
        <f>Entrate_Uscite!B19</f>
        <v>38791119.770000003</v>
      </c>
      <c r="C19" s="43">
        <f>Entrate_Uscite!E19</f>
        <v>49007733.189999998</v>
      </c>
      <c r="D19" s="43">
        <f>Entrate_Uscite!H19</f>
        <v>40490713.950000003</v>
      </c>
      <c r="E19" s="43">
        <f>Entrate_Uscite!K19</f>
        <v>39349802.82</v>
      </c>
      <c r="F19" s="43">
        <f>Entrate_Uscite!N19</f>
        <v>40944387.579999998</v>
      </c>
      <c r="G19" s="43">
        <f>Entrate_Uscite!Q19</f>
        <v>39689499.130000003</v>
      </c>
      <c r="H19" s="43">
        <f>Entrate_Uscite!T19</f>
        <v>38217443.579999998</v>
      </c>
      <c r="I19" s="43">
        <f>Entrate_Uscite!W19</f>
        <v>50650714.009999998</v>
      </c>
      <c r="J19" s="43"/>
      <c r="K19" s="44">
        <f t="shared" si="1"/>
        <v>32.532972552111261</v>
      </c>
      <c r="L19" s="43">
        <f>Entrate_Uscite!X19</f>
        <v>42472346.710000001</v>
      </c>
      <c r="M19" s="45">
        <f t="shared" si="2"/>
        <v>83.853401753852197</v>
      </c>
    </row>
    <row r="20" spans="1:13" x14ac:dyDescent="0.3">
      <c r="A20" s="47" t="s">
        <v>37</v>
      </c>
      <c r="B20" s="48">
        <f t="shared" ref="B20:I20" si="14">B5+B11+B15+B17+B18+B19</f>
        <v>380679927.20999998</v>
      </c>
      <c r="C20" s="48">
        <f t="shared" si="14"/>
        <v>386787757.92000002</v>
      </c>
      <c r="D20" s="48">
        <f t="shared" si="14"/>
        <v>390918961.85999995</v>
      </c>
      <c r="E20" s="48">
        <f t="shared" si="14"/>
        <v>399846880.46000004</v>
      </c>
      <c r="F20" s="48">
        <f t="shared" si="14"/>
        <v>419240423.55000001</v>
      </c>
      <c r="G20" s="48">
        <f t="shared" ref="G20:H20" si="15">G5+G11+G15+G17+G18+G19</f>
        <v>411613679.62</v>
      </c>
      <c r="H20" s="48">
        <f t="shared" si="15"/>
        <v>450906931.11999995</v>
      </c>
      <c r="I20" s="48">
        <f t="shared" si="14"/>
        <v>499296128.25</v>
      </c>
      <c r="J20" s="48"/>
      <c r="K20" s="49">
        <f t="shared" si="1"/>
        <v>10.731526572414168</v>
      </c>
      <c r="L20" s="48">
        <f>L5+L11+L15+L17+L18+L19</f>
        <v>402881996.05000001</v>
      </c>
      <c r="M20" s="50">
        <f t="shared" si="2"/>
        <v>80.689990018964266</v>
      </c>
    </row>
    <row r="21" spans="1:13" x14ac:dyDescent="0.3">
      <c r="A21" s="38" t="s">
        <v>38</v>
      </c>
      <c r="B21" s="51">
        <f t="shared" ref="B21:I21" si="16">B20-B19</f>
        <v>341888807.44</v>
      </c>
      <c r="C21" s="51">
        <f t="shared" si="16"/>
        <v>337780024.73000002</v>
      </c>
      <c r="D21" s="51">
        <f t="shared" si="16"/>
        <v>350428247.90999997</v>
      </c>
      <c r="E21" s="51">
        <f t="shared" si="16"/>
        <v>360497077.64000005</v>
      </c>
      <c r="F21" s="51">
        <f t="shared" si="16"/>
        <v>378296035.97000003</v>
      </c>
      <c r="G21" s="51">
        <f t="shared" ref="G21:H21" si="17">G20-G19</f>
        <v>371924180.49000001</v>
      </c>
      <c r="H21" s="51">
        <f t="shared" si="17"/>
        <v>412689487.53999996</v>
      </c>
      <c r="I21" s="51">
        <f t="shared" si="16"/>
        <v>448645414.24000001</v>
      </c>
      <c r="J21" s="51">
        <f t="shared" si="0"/>
        <v>100</v>
      </c>
      <c r="K21" s="52">
        <f t="shared" si="1"/>
        <v>8.7125860448565362</v>
      </c>
      <c r="L21" s="51">
        <f>L20-L19</f>
        <v>360409649.34000003</v>
      </c>
      <c r="M21" s="53">
        <f t="shared" si="2"/>
        <v>80.332850375954408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opLeftCell="B1" workbookViewId="0">
      <selection activeCell="K1" sqref="K1:K31"/>
    </sheetView>
  </sheetViews>
  <sheetFormatPr defaultRowHeight="14.4" x14ac:dyDescent="0.3"/>
  <cols>
    <col min="1" max="1" width="50.6640625" bestFit="1" customWidth="1"/>
    <col min="2" max="9" width="12.44140625" bestFit="1" customWidth="1"/>
    <col min="10" max="10" width="8.5546875" customWidth="1"/>
    <col min="11" max="11" width="6.5546875" bestFit="1" customWidth="1"/>
    <col min="12" max="12" width="12.44140625" bestFit="1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386</v>
      </c>
      <c r="M1" s="42" t="s">
        <v>339</v>
      </c>
    </row>
    <row r="2" spans="1:13" x14ac:dyDescent="0.3">
      <c r="A2" s="59" t="s">
        <v>270</v>
      </c>
      <c r="B2" s="56">
        <f>Entrate_Uscite!B23</f>
        <v>78394555.890000001</v>
      </c>
      <c r="C2" s="56">
        <f>Entrate_Uscite!E23</f>
        <v>77043488.790000007</v>
      </c>
      <c r="D2" s="56">
        <f>Entrate_Uscite!H23</f>
        <v>79537583.590000004</v>
      </c>
      <c r="E2" s="56">
        <f>Entrate_Uscite!K23</f>
        <v>75024448.650000006</v>
      </c>
      <c r="F2" s="56">
        <f>Entrate_Uscite!N23</f>
        <v>72884119.609999999</v>
      </c>
      <c r="G2" s="56">
        <f>Entrate_Uscite!Q23</f>
        <v>73725908.299999997</v>
      </c>
      <c r="H2" s="56">
        <f>Entrate_Uscite!T23</f>
        <v>78042253.709999993</v>
      </c>
      <c r="I2" s="56">
        <f>Entrate_Uscite!W23</f>
        <v>78034474.019999996</v>
      </c>
      <c r="J2" s="56">
        <f>I2/I$31*100</f>
        <v>18.765738285216234</v>
      </c>
      <c r="K2" s="57">
        <f>IF(H2&gt;0,I2/H2*100-100,"-")</f>
        <v>-9.9685614268736344E-3</v>
      </c>
      <c r="L2" s="56">
        <f>Entrate_Uscite!X23</f>
        <v>77473237.780000001</v>
      </c>
      <c r="M2" s="58">
        <f>IF(I2&gt;0,L2/I2*100,"-")</f>
        <v>99.280784234085885</v>
      </c>
    </row>
    <row r="3" spans="1:13" x14ac:dyDescent="0.3">
      <c r="A3" s="59" t="s">
        <v>271</v>
      </c>
      <c r="B3" s="56">
        <f>Entrate_Uscite!B24</f>
        <v>4992243.42</v>
      </c>
      <c r="C3" s="56">
        <f>Entrate_Uscite!E24</f>
        <v>4943654.72</v>
      </c>
      <c r="D3" s="56">
        <f>Entrate_Uscite!H24</f>
        <v>4999462.91</v>
      </c>
      <c r="E3" s="56">
        <f>Entrate_Uscite!K24</f>
        <v>4703837.26</v>
      </c>
      <c r="F3" s="56">
        <f>Entrate_Uscite!N24</f>
        <v>4437164.07</v>
      </c>
      <c r="G3" s="56">
        <f>Entrate_Uscite!Q24</f>
        <v>4544271.7</v>
      </c>
      <c r="H3" s="56">
        <f>Entrate_Uscite!T24</f>
        <v>4904549.43</v>
      </c>
      <c r="I3" s="56">
        <f>Entrate_Uscite!W24</f>
        <v>4815374.0199999996</v>
      </c>
      <c r="J3" s="56">
        <f t="shared" ref="J3:J31" si="0">I3/I$31*100</f>
        <v>1.1580016363228074</v>
      </c>
      <c r="K3" s="57">
        <f t="shared" ref="K3:K31" si="1">IF(H3&gt;0,I3/H3*100-100,"-")</f>
        <v>-1.8182181925730987</v>
      </c>
      <c r="L3" s="56">
        <f>Entrate_Uscite!X24</f>
        <v>4779805.07</v>
      </c>
      <c r="M3" s="58">
        <f>IF(I3&gt;0,L3/I3*100,"-")</f>
        <v>99.261346058431428</v>
      </c>
    </row>
    <row r="4" spans="1:13" x14ac:dyDescent="0.3">
      <c r="A4" s="59" t="s">
        <v>272</v>
      </c>
      <c r="B4" s="56">
        <f>Entrate_Uscite!B25</f>
        <v>137677967.41999999</v>
      </c>
      <c r="C4" s="56">
        <f>Entrate_Uscite!E25</f>
        <v>140418743.22999999</v>
      </c>
      <c r="D4" s="56">
        <f>Entrate_Uscite!H25</f>
        <v>144181684.72</v>
      </c>
      <c r="E4" s="56">
        <f>Entrate_Uscite!K25</f>
        <v>150156230.43000001</v>
      </c>
      <c r="F4" s="56">
        <f>Entrate_Uscite!N25</f>
        <v>142886484.69999999</v>
      </c>
      <c r="G4" s="56">
        <f>Entrate_Uscite!Q25</f>
        <v>153404316.38999999</v>
      </c>
      <c r="H4" s="56">
        <f>Entrate_Uscite!T25</f>
        <v>176377511.11000001</v>
      </c>
      <c r="I4" s="56">
        <f>Entrate_Uscite!W25</f>
        <v>174908031.96000001</v>
      </c>
      <c r="J4" s="56">
        <f t="shared" si="0"/>
        <v>42.06190139632848</v>
      </c>
      <c r="K4" s="57">
        <f t="shared" si="1"/>
        <v>-0.83314428282386643</v>
      </c>
      <c r="L4" s="56">
        <f>Entrate_Uscite!X25</f>
        <v>134611589.31999999</v>
      </c>
      <c r="M4" s="58">
        <f t="shared" ref="M4:M9" si="2">IF(I4&gt;0,L4/I4*100,"-")</f>
        <v>76.961353810661208</v>
      </c>
    </row>
    <row r="5" spans="1:13" x14ac:dyDescent="0.3">
      <c r="A5" s="59" t="s">
        <v>273</v>
      </c>
      <c r="B5" s="56">
        <f>Entrate_Uscite!B26</f>
        <v>39928164.420000002</v>
      </c>
      <c r="C5" s="56">
        <f>Entrate_Uscite!E26</f>
        <v>38712253.899999999</v>
      </c>
      <c r="D5" s="56">
        <f>Entrate_Uscite!H26</f>
        <v>41995633.159999996</v>
      </c>
      <c r="E5" s="56">
        <f>Entrate_Uscite!K26</f>
        <v>43209114.5</v>
      </c>
      <c r="F5" s="56">
        <f>Entrate_Uscite!N26</f>
        <v>52874362.229999997</v>
      </c>
      <c r="G5" s="56">
        <f>Entrate_Uscite!Q26</f>
        <v>55367434.289999999</v>
      </c>
      <c r="H5" s="56">
        <f>Entrate_Uscite!T26</f>
        <v>53269596.490000002</v>
      </c>
      <c r="I5" s="56">
        <f>Entrate_Uscite!W26</f>
        <v>54547015.880000003</v>
      </c>
      <c r="J5" s="56">
        <f t="shared" si="0"/>
        <v>13.117471951964005</v>
      </c>
      <c r="K5" s="57">
        <f t="shared" si="1"/>
        <v>2.398027156522204</v>
      </c>
      <c r="L5" s="56">
        <f>Entrate_Uscite!X26</f>
        <v>40627793.189999998</v>
      </c>
      <c r="M5" s="58">
        <f t="shared" si="2"/>
        <v>74.482155503022526</v>
      </c>
    </row>
    <row r="6" spans="1:13" x14ac:dyDescent="0.3">
      <c r="A6" s="59" t="s">
        <v>274</v>
      </c>
      <c r="B6" s="56">
        <f>Entrate_Uscite!B27</f>
        <v>9624223.9399999995</v>
      </c>
      <c r="C6" s="56">
        <f>Entrate_Uscite!E27</f>
        <v>9368459.9700000007</v>
      </c>
      <c r="D6" s="56">
        <f>Entrate_Uscite!H27</f>
        <v>9523649.3100000005</v>
      </c>
      <c r="E6" s="56">
        <f>Entrate_Uscite!K27</f>
        <v>7178182.1799999997</v>
      </c>
      <c r="F6" s="56">
        <f>Entrate_Uscite!N27</f>
        <v>6538687.6699999999</v>
      </c>
      <c r="G6" s="56">
        <f>Entrate_Uscite!Q27</f>
        <v>6473334.4500000002</v>
      </c>
      <c r="H6" s="56">
        <f>Entrate_Uscite!T27</f>
        <v>5569772.6900000004</v>
      </c>
      <c r="I6" s="56">
        <f>Entrate_Uscite!W27</f>
        <v>10258334.279999999</v>
      </c>
      <c r="J6" s="56">
        <f t="shared" si="0"/>
        <v>2.4669252757621405</v>
      </c>
      <c r="K6" s="57">
        <f t="shared" si="1"/>
        <v>84.178688268874367</v>
      </c>
      <c r="L6" s="56">
        <f>Entrate_Uscite!X27</f>
        <v>10258334.279999999</v>
      </c>
      <c r="M6" s="58">
        <f t="shared" si="2"/>
        <v>100</v>
      </c>
    </row>
    <row r="7" spans="1:13" x14ac:dyDescent="0.3">
      <c r="A7" s="59" t="s">
        <v>275</v>
      </c>
      <c r="B7" s="56">
        <f>Entrate_Uscite!B28</f>
        <v>0</v>
      </c>
      <c r="C7" s="56">
        <f>Entrate_Uscite!E28</f>
        <v>0</v>
      </c>
      <c r="D7" s="56">
        <f>Entrate_Uscite!H28</f>
        <v>0</v>
      </c>
      <c r="E7" s="56">
        <f>Entrate_Uscite!K28</f>
        <v>0</v>
      </c>
      <c r="F7" s="56">
        <f>Entrate_Uscite!N28</f>
        <v>0</v>
      </c>
      <c r="G7" s="56">
        <f>Entrate_Uscite!Q28</f>
        <v>0</v>
      </c>
      <c r="H7" s="56">
        <f>Entrate_Uscite!T28</f>
        <v>0</v>
      </c>
      <c r="I7" s="56">
        <f>Entrate_Uscite!W28</f>
        <v>0</v>
      </c>
      <c r="J7" s="56">
        <f t="shared" si="0"/>
        <v>0</v>
      </c>
      <c r="K7" s="57" t="str">
        <f t="shared" si="1"/>
        <v>-</v>
      </c>
      <c r="L7" s="56">
        <f>Entrate_Uscite!X28</f>
        <v>0</v>
      </c>
      <c r="M7" s="58" t="str">
        <f t="shared" si="2"/>
        <v>-</v>
      </c>
    </row>
    <row r="8" spans="1:13" x14ac:dyDescent="0.3">
      <c r="A8" s="59" t="s">
        <v>276</v>
      </c>
      <c r="B8" s="56">
        <f>Entrate_Uscite!B29</f>
        <v>1214467.07</v>
      </c>
      <c r="C8" s="56">
        <f>Entrate_Uscite!E29</f>
        <v>1528298.27</v>
      </c>
      <c r="D8" s="56">
        <f>Entrate_Uscite!H29</f>
        <v>1302642.51</v>
      </c>
      <c r="E8" s="56">
        <f>Entrate_Uscite!K29</f>
        <v>1705169.19</v>
      </c>
      <c r="F8" s="56">
        <f>Entrate_Uscite!N29</f>
        <v>2449305.9300000002</v>
      </c>
      <c r="G8" s="56">
        <f>Entrate_Uscite!Q29</f>
        <v>1739065.42</v>
      </c>
      <c r="H8" s="56">
        <f>Entrate_Uscite!T29</f>
        <v>1271383.05</v>
      </c>
      <c r="I8" s="56">
        <f>Entrate_Uscite!W29</f>
        <v>1184410.05</v>
      </c>
      <c r="J8" s="56">
        <f t="shared" si="0"/>
        <v>0.28482704983675977</v>
      </c>
      <c r="K8" s="57">
        <f t="shared" si="1"/>
        <v>-6.8408179580497119</v>
      </c>
      <c r="L8" s="56">
        <f>Entrate_Uscite!X29</f>
        <v>579857.92000000004</v>
      </c>
      <c r="M8" s="58">
        <f t="shared" si="2"/>
        <v>48.957531219867647</v>
      </c>
    </row>
    <row r="9" spans="1:13" x14ac:dyDescent="0.3">
      <c r="A9" s="59" t="s">
        <v>277</v>
      </c>
      <c r="B9" s="56">
        <f>Entrate_Uscite!B30</f>
        <v>6566642.3200000003</v>
      </c>
      <c r="C9" s="56">
        <f>Entrate_Uscite!E30</f>
        <v>5632510.9800000004</v>
      </c>
      <c r="D9" s="56">
        <f>Entrate_Uscite!H30</f>
        <v>5631462.29</v>
      </c>
      <c r="E9" s="56">
        <f>Entrate_Uscite!K30</f>
        <v>5121080.59</v>
      </c>
      <c r="F9" s="56">
        <f>Entrate_Uscite!N30</f>
        <v>4246829.3600000003</v>
      </c>
      <c r="G9" s="56">
        <f>Entrate_Uscite!Q30</f>
        <v>4921561.18</v>
      </c>
      <c r="H9" s="56">
        <f>Entrate_Uscite!T30</f>
        <v>4729216.63</v>
      </c>
      <c r="I9" s="56">
        <f>Entrate_Uscite!W30</f>
        <v>5794361.5700000003</v>
      </c>
      <c r="J9" s="56">
        <f t="shared" si="0"/>
        <v>1.3934286623712755</v>
      </c>
      <c r="K9" s="57">
        <f t="shared" si="1"/>
        <v>22.522650648803122</v>
      </c>
      <c r="L9" s="56">
        <f>Entrate_Uscite!X30</f>
        <v>3636097.18</v>
      </c>
      <c r="M9" s="58">
        <f t="shared" si="2"/>
        <v>62.752334939291678</v>
      </c>
    </row>
    <row r="10" spans="1:13" x14ac:dyDescent="0.3">
      <c r="A10" s="4" t="s">
        <v>282</v>
      </c>
      <c r="B10" s="43">
        <f t="shared" ref="B10:I10" si="3">SUM(B2:B9)</f>
        <v>278398264.47999996</v>
      </c>
      <c r="C10" s="43">
        <f t="shared" si="3"/>
        <v>277647409.86000001</v>
      </c>
      <c r="D10" s="43">
        <f t="shared" si="3"/>
        <v>287172118.49000001</v>
      </c>
      <c r="E10" s="43">
        <f t="shared" si="3"/>
        <v>287098062.80000001</v>
      </c>
      <c r="F10" s="43">
        <f t="shared" si="3"/>
        <v>286316953.57000005</v>
      </c>
      <c r="G10" s="43">
        <f t="shared" ref="G10:H10" si="4">SUM(G2:G9)</f>
        <v>300175891.73000002</v>
      </c>
      <c r="H10" s="43">
        <f t="shared" si="4"/>
        <v>324164283.11000001</v>
      </c>
      <c r="I10" s="43">
        <f t="shared" si="3"/>
        <v>329542001.77999997</v>
      </c>
      <c r="J10" s="43">
        <f t="shared" si="0"/>
        <v>79.248294257801703</v>
      </c>
      <c r="K10" s="44">
        <f t="shared" si="1"/>
        <v>1.6589485486823889</v>
      </c>
      <c r="L10" s="43">
        <f>SUM(L2:L9)</f>
        <v>271966714.73999995</v>
      </c>
      <c r="M10" s="45">
        <f t="shared" ref="M10:M17" si="5">IF(I10&gt;0,L10/I10*100,"-")</f>
        <v>82.528695362348103</v>
      </c>
    </row>
    <row r="11" spans="1:13" x14ac:dyDescent="0.3">
      <c r="A11" s="59" t="s">
        <v>278</v>
      </c>
      <c r="B11" s="56">
        <f>Entrate_Uscite!B32</f>
        <v>12961367.380000001</v>
      </c>
      <c r="C11" s="56">
        <f>Entrate_Uscite!E32</f>
        <v>16037780.73</v>
      </c>
      <c r="D11" s="56">
        <f>Entrate_Uscite!H32</f>
        <v>18083533.539999999</v>
      </c>
      <c r="E11" s="56">
        <f>Entrate_Uscite!K32</f>
        <v>23983327.350000001</v>
      </c>
      <c r="F11" s="56">
        <f>Entrate_Uscite!N32</f>
        <v>36701761.390000001</v>
      </c>
      <c r="G11" s="56">
        <f>Entrate_Uscite!Q32</f>
        <v>27952484.559999999</v>
      </c>
      <c r="H11" s="56">
        <f>Entrate_Uscite!T32</f>
        <v>33561131.009999998</v>
      </c>
      <c r="I11" s="56">
        <f>Entrate_Uscite!W32</f>
        <v>48515856.840000004</v>
      </c>
      <c r="J11" s="56">
        <f t="shared" si="0"/>
        <v>11.667098209813217</v>
      </c>
      <c r="K11" s="57">
        <f t="shared" si="1"/>
        <v>44.559659880187098</v>
      </c>
      <c r="L11" s="56">
        <f>Entrate_Uscite!X32</f>
        <v>38339065.219999999</v>
      </c>
      <c r="M11" s="58">
        <f t="shared" si="5"/>
        <v>79.023782567497562</v>
      </c>
    </row>
    <row r="12" spans="1:13" x14ac:dyDescent="0.3">
      <c r="A12" s="59" t="s">
        <v>279</v>
      </c>
      <c r="B12" s="56">
        <f>Entrate_Uscite!B33</f>
        <v>2259226.8199999998</v>
      </c>
      <c r="C12" s="56">
        <f>Entrate_Uscite!E33</f>
        <v>406265.47</v>
      </c>
      <c r="D12" s="56">
        <f>Entrate_Uscite!H33</f>
        <v>68838</v>
      </c>
      <c r="E12" s="56">
        <f>Entrate_Uscite!K33</f>
        <v>426898.5</v>
      </c>
      <c r="F12" s="56">
        <f>Entrate_Uscite!N33</f>
        <v>666926.85</v>
      </c>
      <c r="G12" s="56">
        <f>Entrate_Uscite!Q33</f>
        <v>1894622.23</v>
      </c>
      <c r="H12" s="56">
        <f>Entrate_Uscite!T33</f>
        <v>14139663.449999999</v>
      </c>
      <c r="I12" s="56">
        <f>Entrate_Uscite!W33</f>
        <v>3865267.05</v>
      </c>
      <c r="J12" s="56">
        <f t="shared" si="0"/>
        <v>0.92951981510350679</v>
      </c>
      <c r="K12" s="57">
        <f t="shared" si="1"/>
        <v>-72.663655937298842</v>
      </c>
      <c r="L12" s="56">
        <f>Entrate_Uscite!X33</f>
        <v>620888.91</v>
      </c>
      <c r="M12" s="58">
        <f t="shared" si="5"/>
        <v>16.063286235293887</v>
      </c>
    </row>
    <row r="13" spans="1:13" x14ac:dyDescent="0.3">
      <c r="A13" s="59" t="s">
        <v>280</v>
      </c>
      <c r="B13" s="56">
        <f>Entrate_Uscite!B34</f>
        <v>378592.96</v>
      </c>
      <c r="C13" s="56">
        <f>Entrate_Uscite!E34</f>
        <v>597077.26</v>
      </c>
      <c r="D13" s="56">
        <f>Entrate_Uscite!H34</f>
        <v>430642</v>
      </c>
      <c r="E13" s="56">
        <f>Entrate_Uscite!K34</f>
        <v>573857.73</v>
      </c>
      <c r="F13" s="56">
        <f>Entrate_Uscite!N34</f>
        <v>403400</v>
      </c>
      <c r="G13" s="56">
        <f>Entrate_Uscite!Q34</f>
        <v>427415.65</v>
      </c>
      <c r="H13" s="56">
        <f>Entrate_Uscite!T34</f>
        <v>371975.48</v>
      </c>
      <c r="I13" s="56">
        <f>Entrate_Uscite!W34</f>
        <v>0</v>
      </c>
      <c r="J13" s="56">
        <f t="shared" si="0"/>
        <v>0</v>
      </c>
      <c r="K13" s="57">
        <f t="shared" si="1"/>
        <v>-100</v>
      </c>
      <c r="L13" s="56">
        <f>Entrate_Uscite!X34</f>
        <v>0</v>
      </c>
      <c r="M13" s="58" t="str">
        <f t="shared" si="5"/>
        <v>-</v>
      </c>
    </row>
    <row r="14" spans="1:13" x14ac:dyDescent="0.3">
      <c r="A14" s="59" t="s">
        <v>281</v>
      </c>
      <c r="B14" s="56">
        <f>Entrate_Uscite!B35</f>
        <v>0</v>
      </c>
      <c r="C14" s="56">
        <f>Entrate_Uscite!E35</f>
        <v>0</v>
      </c>
      <c r="D14" s="56">
        <f>Entrate_Uscite!H35</f>
        <v>0</v>
      </c>
      <c r="E14" s="56">
        <f>Entrate_Uscite!K35</f>
        <v>0</v>
      </c>
      <c r="F14" s="56">
        <f>Entrate_Uscite!N35</f>
        <v>0</v>
      </c>
      <c r="G14" s="56">
        <f>Entrate_Uscite!Q35</f>
        <v>801563.4</v>
      </c>
      <c r="H14" s="56">
        <f>Entrate_Uscite!T35</f>
        <v>0</v>
      </c>
      <c r="I14" s="56">
        <f>Entrate_Uscite!W35</f>
        <v>975488.43</v>
      </c>
      <c r="J14" s="56">
        <f t="shared" si="0"/>
        <v>0.23458555731335826</v>
      </c>
      <c r="K14" s="57" t="str">
        <f t="shared" si="1"/>
        <v>-</v>
      </c>
      <c r="L14" s="56">
        <f>Entrate_Uscite!X35</f>
        <v>126550.43</v>
      </c>
      <c r="M14" s="58">
        <f t="shared" si="5"/>
        <v>12.973032391578441</v>
      </c>
    </row>
    <row r="15" spans="1:13" x14ac:dyDescent="0.3">
      <c r="A15" s="4" t="s">
        <v>283</v>
      </c>
      <c r="B15" s="46">
        <f t="shared" ref="B15:I15" si="6">SUM(B11:B14)</f>
        <v>15599187.160000002</v>
      </c>
      <c r="C15" s="46">
        <f t="shared" si="6"/>
        <v>17041123.460000001</v>
      </c>
      <c r="D15" s="46">
        <f t="shared" si="6"/>
        <v>18583013.539999999</v>
      </c>
      <c r="E15" s="46">
        <f t="shared" si="6"/>
        <v>24984083.580000002</v>
      </c>
      <c r="F15" s="46">
        <f t="shared" si="6"/>
        <v>37772088.240000002</v>
      </c>
      <c r="G15" s="46">
        <f t="shared" ref="G15:H15" si="7">SUM(G11:G14)</f>
        <v>31076085.839999996</v>
      </c>
      <c r="H15" s="46">
        <f t="shared" si="7"/>
        <v>48072769.93999999</v>
      </c>
      <c r="I15" s="46">
        <f t="shared" si="6"/>
        <v>53356612.32</v>
      </c>
      <c r="J15" s="46">
        <f t="shared" si="0"/>
        <v>12.83120358223008</v>
      </c>
      <c r="K15" s="44">
        <f t="shared" si="1"/>
        <v>10.991341640173459</v>
      </c>
      <c r="L15" s="46">
        <f>SUM(L11:L14)</f>
        <v>39086504.559999995</v>
      </c>
      <c r="M15" s="45">
        <f t="shared" si="5"/>
        <v>73.255221537648012</v>
      </c>
    </row>
    <row r="16" spans="1:13" x14ac:dyDescent="0.3">
      <c r="A16" s="59" t="s">
        <v>284</v>
      </c>
      <c r="B16" s="56">
        <f>Entrate_Uscite!B36</f>
        <v>46512.9</v>
      </c>
      <c r="C16" s="56">
        <f>Entrate_Uscite!E36</f>
        <v>0</v>
      </c>
      <c r="D16" s="56">
        <f>Entrate_Uscite!H36</f>
        <v>0</v>
      </c>
      <c r="E16" s="56">
        <f>Entrate_Uscite!K36</f>
        <v>0</v>
      </c>
      <c r="F16" s="56">
        <f>Entrate_Uscite!N36</f>
        <v>0</v>
      </c>
      <c r="G16" s="56">
        <f>Entrate_Uscite!Q36</f>
        <v>13496816.300000001</v>
      </c>
      <c r="H16" s="56">
        <f>Entrate_Uscite!T36</f>
        <v>2500000</v>
      </c>
      <c r="I16" s="56">
        <f>Entrate_Uscite!W36</f>
        <v>8304187.7000000002</v>
      </c>
      <c r="J16" s="56">
        <f t="shared" si="0"/>
        <v>1.9969919065459696</v>
      </c>
      <c r="K16" s="57">
        <f t="shared" si="1"/>
        <v>232.167508</v>
      </c>
      <c r="L16" s="56">
        <f>Entrate_Uscite!X36</f>
        <v>5505969.0999999996</v>
      </c>
      <c r="M16" s="58">
        <f t="shared" si="5"/>
        <v>66.303524184550881</v>
      </c>
    </row>
    <row r="17" spans="1:13" x14ac:dyDescent="0.3">
      <c r="A17" s="59" t="s">
        <v>285</v>
      </c>
      <c r="B17" s="56">
        <f>Entrate_Uscite!B37</f>
        <v>0</v>
      </c>
      <c r="C17" s="56">
        <f>Entrate_Uscite!E37</f>
        <v>0</v>
      </c>
      <c r="D17" s="56">
        <f>Entrate_Uscite!H37</f>
        <v>0</v>
      </c>
      <c r="E17" s="56">
        <f>Entrate_Uscite!K37</f>
        <v>0</v>
      </c>
      <c r="F17" s="56">
        <f>Entrate_Uscite!N37</f>
        <v>0</v>
      </c>
      <c r="G17" s="56">
        <f>Entrate_Uscite!Q37</f>
        <v>0</v>
      </c>
      <c r="H17" s="56">
        <f>Entrate_Uscite!T37</f>
        <v>0</v>
      </c>
      <c r="I17" s="56">
        <f>Entrate_Uscite!W37</f>
        <v>0</v>
      </c>
      <c r="J17" s="56">
        <f t="shared" si="0"/>
        <v>0</v>
      </c>
      <c r="K17" s="57" t="str">
        <f t="shared" si="1"/>
        <v>-</v>
      </c>
      <c r="L17" s="56">
        <f>Entrate_Uscite!X37</f>
        <v>0</v>
      </c>
      <c r="M17" s="58" t="str">
        <f t="shared" si="5"/>
        <v>-</v>
      </c>
    </row>
    <row r="18" spans="1:13" x14ac:dyDescent="0.3">
      <c r="A18" s="59" t="s">
        <v>286</v>
      </c>
      <c r="B18" s="56">
        <f>Entrate_Uscite!B38</f>
        <v>0</v>
      </c>
      <c r="C18" s="56">
        <f>Entrate_Uscite!E38</f>
        <v>0</v>
      </c>
      <c r="D18" s="56">
        <f>Entrate_Uscite!H38</f>
        <v>0</v>
      </c>
      <c r="E18" s="56">
        <f>Entrate_Uscite!K38</f>
        <v>0</v>
      </c>
      <c r="F18" s="56">
        <f>Entrate_Uscite!N38</f>
        <v>0</v>
      </c>
      <c r="G18" s="56">
        <f>Entrate_Uscite!Q38</f>
        <v>0</v>
      </c>
      <c r="H18" s="56">
        <f>Entrate_Uscite!T38</f>
        <v>0</v>
      </c>
      <c r="I18" s="56">
        <f>Entrate_Uscite!W38</f>
        <v>0</v>
      </c>
      <c r="J18" s="56">
        <f t="shared" si="0"/>
        <v>0</v>
      </c>
      <c r="K18" s="57" t="str">
        <f t="shared" si="1"/>
        <v>-</v>
      </c>
      <c r="L18" s="56">
        <f>Entrate_Uscite!X38</f>
        <v>0</v>
      </c>
      <c r="M18" s="58" t="str">
        <f t="shared" ref="M18:M26" si="8">IF(I18&gt;0,L18/I18*100,"-")</f>
        <v>-</v>
      </c>
    </row>
    <row r="19" spans="1:13" x14ac:dyDescent="0.3">
      <c r="A19" s="59" t="s">
        <v>287</v>
      </c>
      <c r="B19" s="56">
        <f>Entrate_Uscite!B39</f>
        <v>13252941.18</v>
      </c>
      <c r="C19" s="56">
        <f>Entrate_Uscite!E39</f>
        <v>13252941.18</v>
      </c>
      <c r="D19" s="56">
        <f>Entrate_Uscite!H39</f>
        <v>13252941.18</v>
      </c>
      <c r="E19" s="56">
        <f>Entrate_Uscite!K39</f>
        <v>13252941.18</v>
      </c>
      <c r="F19" s="56">
        <f>Entrate_Uscite!N39</f>
        <v>13252941.18</v>
      </c>
      <c r="G19" s="56">
        <f>Entrate_Uscite!Q39</f>
        <v>13252941.18</v>
      </c>
      <c r="H19" s="56">
        <f>Entrate_Uscite!T39</f>
        <v>13252941.18</v>
      </c>
      <c r="I19" s="56">
        <f>Entrate_Uscite!W39</f>
        <v>13252941.18</v>
      </c>
      <c r="J19" s="56">
        <f t="shared" si="0"/>
        <v>3.1870686490371352</v>
      </c>
      <c r="K19" s="57">
        <f t="shared" si="1"/>
        <v>0</v>
      </c>
      <c r="L19" s="56">
        <f>Entrate_Uscite!X39</f>
        <v>13252941.380000001</v>
      </c>
      <c r="M19" s="58">
        <f t="shared" si="8"/>
        <v>100.00000150909898</v>
      </c>
    </row>
    <row r="20" spans="1:13" x14ac:dyDescent="0.3">
      <c r="A20" s="4" t="s">
        <v>288</v>
      </c>
      <c r="B20" s="43">
        <f t="shared" ref="B20:I20" si="9">SUM(B16:B19)</f>
        <v>13299454.08</v>
      </c>
      <c r="C20" s="43">
        <f t="shared" si="9"/>
        <v>13252941.18</v>
      </c>
      <c r="D20" s="43">
        <f t="shared" si="9"/>
        <v>13252941.18</v>
      </c>
      <c r="E20" s="43">
        <f t="shared" si="9"/>
        <v>13252941.18</v>
      </c>
      <c r="F20" s="43">
        <f t="shared" si="9"/>
        <v>13252941.18</v>
      </c>
      <c r="G20" s="43">
        <f t="shared" ref="G20:H20" si="10">SUM(G16:G19)</f>
        <v>26749757.48</v>
      </c>
      <c r="H20" s="43">
        <f t="shared" si="10"/>
        <v>15752941.18</v>
      </c>
      <c r="I20" s="43">
        <f t="shared" si="9"/>
        <v>21557128.879999999</v>
      </c>
      <c r="J20" s="43">
        <f t="shared" si="0"/>
        <v>5.1840605555831045</v>
      </c>
      <c r="K20" s="44">
        <f t="shared" si="1"/>
        <v>36.84510488345515</v>
      </c>
      <c r="L20" s="43">
        <f>SUM(L16:L19)</f>
        <v>18758910.48</v>
      </c>
      <c r="M20" s="40">
        <f t="shared" si="8"/>
        <v>87.019521868721142</v>
      </c>
    </row>
    <row r="21" spans="1:13" x14ac:dyDescent="0.3">
      <c r="A21" s="47" t="s">
        <v>349</v>
      </c>
      <c r="B21" s="48">
        <f t="shared" ref="B21:I21" si="11">B10+B15+B20</f>
        <v>307296905.71999997</v>
      </c>
      <c r="C21" s="48">
        <f t="shared" si="11"/>
        <v>307941474.5</v>
      </c>
      <c r="D21" s="48">
        <f t="shared" si="11"/>
        <v>319008073.21000004</v>
      </c>
      <c r="E21" s="48">
        <f t="shared" si="11"/>
        <v>325335087.56</v>
      </c>
      <c r="F21" s="48">
        <f t="shared" si="11"/>
        <v>337341982.99000007</v>
      </c>
      <c r="G21" s="48">
        <f t="shared" ref="G21:H21" si="12">G10+G15+G20</f>
        <v>358001735.05000001</v>
      </c>
      <c r="H21" s="48">
        <f t="shared" si="12"/>
        <v>387989994.23000002</v>
      </c>
      <c r="I21" s="48">
        <f t="shared" si="11"/>
        <v>404455742.97999996</v>
      </c>
      <c r="J21" s="48">
        <f>I21/I$31*100</f>
        <v>97.263558395614879</v>
      </c>
      <c r="K21" s="49">
        <f t="shared" si="1"/>
        <v>4.2438591187583796</v>
      </c>
      <c r="L21" s="48">
        <f>L10+L15+L20</f>
        <v>329812129.77999997</v>
      </c>
      <c r="M21" s="50">
        <f>IF(I21&gt;0,L21/I21*100,"-")</f>
        <v>81.544677138212606</v>
      </c>
    </row>
    <row r="22" spans="1:13" x14ac:dyDescent="0.3">
      <c r="A22" s="59" t="s">
        <v>289</v>
      </c>
      <c r="B22" s="60">
        <f>Entrate_Uscite!B40</f>
        <v>4568688.0599999996</v>
      </c>
      <c r="C22" s="60">
        <f>Entrate_Uscite!E40</f>
        <v>4730424.26</v>
      </c>
      <c r="D22" s="60">
        <f>Entrate_Uscite!H40</f>
        <v>4897895.83</v>
      </c>
      <c r="E22" s="60">
        <f>Entrate_Uscite!K40</f>
        <v>5072186.42</v>
      </c>
      <c r="F22" s="60">
        <f>Entrate_Uscite!N40</f>
        <v>5253537.74</v>
      </c>
      <c r="G22" s="60">
        <f>Entrate_Uscite!Q40</f>
        <v>3656921.44</v>
      </c>
      <c r="H22" s="60">
        <f>Entrate_Uscite!T40</f>
        <v>3779039.28</v>
      </c>
      <c r="I22" s="60">
        <f>Entrate_Uscite!W40</f>
        <v>2507200</v>
      </c>
      <c r="J22" s="60">
        <f t="shared" si="0"/>
        <v>0.60293171216397901</v>
      </c>
      <c r="K22" s="61">
        <f t="shared" si="1"/>
        <v>-33.655095535286421</v>
      </c>
      <c r="L22" s="60">
        <f>Entrate_Uscite!X40</f>
        <v>2507200</v>
      </c>
      <c r="M22" s="58">
        <f t="shared" si="8"/>
        <v>100</v>
      </c>
    </row>
    <row r="23" spans="1:13" x14ac:dyDescent="0.3">
      <c r="A23" s="59" t="s">
        <v>290</v>
      </c>
      <c r="B23" s="60">
        <f>Entrate_Uscite!B41</f>
        <v>0</v>
      </c>
      <c r="C23" s="60">
        <f>Entrate_Uscite!E41</f>
        <v>0</v>
      </c>
      <c r="D23" s="60">
        <f>Entrate_Uscite!H41</f>
        <v>0</v>
      </c>
      <c r="E23" s="60">
        <f>Entrate_Uscite!K41</f>
        <v>0</v>
      </c>
      <c r="F23" s="60">
        <f>Entrate_Uscite!N41</f>
        <v>0</v>
      </c>
      <c r="G23" s="60">
        <f>Entrate_Uscite!Q41</f>
        <v>0</v>
      </c>
      <c r="H23" s="60">
        <f>Entrate_Uscite!T41</f>
        <v>0</v>
      </c>
      <c r="I23" s="60">
        <f>Entrate_Uscite!W41</f>
        <v>0</v>
      </c>
      <c r="J23" s="60">
        <f t="shared" si="0"/>
        <v>0</v>
      </c>
      <c r="K23" s="61" t="str">
        <f t="shared" si="1"/>
        <v>-</v>
      </c>
      <c r="L23" s="60">
        <f>Entrate_Uscite!X41</f>
        <v>0</v>
      </c>
      <c r="M23" s="58" t="str">
        <f t="shared" si="8"/>
        <v>-</v>
      </c>
    </row>
    <row r="24" spans="1:13" x14ac:dyDescent="0.3">
      <c r="A24" s="59" t="s">
        <v>291</v>
      </c>
      <c r="B24" s="60">
        <f>Entrate_Uscite!B42</f>
        <v>9163587.25</v>
      </c>
      <c r="C24" s="60">
        <f>Entrate_Uscite!E42</f>
        <v>9817872.8699999992</v>
      </c>
      <c r="D24" s="60">
        <f>Entrate_Uscite!H42</f>
        <v>9896952.2100000009</v>
      </c>
      <c r="E24" s="60">
        <f>Entrate_Uscite!K42</f>
        <v>5126263.26</v>
      </c>
      <c r="F24" s="60">
        <f>Entrate_Uscite!N42</f>
        <v>2525199.4900000002</v>
      </c>
      <c r="G24" s="60">
        <f>Entrate_Uscite!Q42</f>
        <v>3961689.58</v>
      </c>
      <c r="H24" s="60">
        <f>Entrate_Uscite!T42</f>
        <v>4134879.69</v>
      </c>
      <c r="I24" s="60">
        <f>Entrate_Uscite!W42</f>
        <v>8871877.0199999996</v>
      </c>
      <c r="J24" s="60">
        <f t="shared" si="0"/>
        <v>2.1335098922211468</v>
      </c>
      <c r="K24" s="61">
        <f t="shared" si="1"/>
        <v>114.5619143757965</v>
      </c>
      <c r="L24" s="60">
        <f>Entrate_Uscite!X42</f>
        <v>8851877.0199999996</v>
      </c>
      <c r="M24" s="58">
        <f t="shared" si="8"/>
        <v>99.77456856136628</v>
      </c>
    </row>
    <row r="25" spans="1:13" x14ac:dyDescent="0.3">
      <c r="A25" s="59" t="s">
        <v>292</v>
      </c>
      <c r="B25" s="60">
        <f>Entrate_Uscite!B43</f>
        <v>0</v>
      </c>
      <c r="C25" s="60">
        <f>Entrate_Uscite!E43</f>
        <v>0</v>
      </c>
      <c r="D25" s="60">
        <f>Entrate_Uscite!H43</f>
        <v>0</v>
      </c>
      <c r="E25" s="60">
        <f>Entrate_Uscite!K43</f>
        <v>0</v>
      </c>
      <c r="F25" s="60">
        <f>Entrate_Uscite!N43</f>
        <v>0</v>
      </c>
      <c r="G25" s="60">
        <f>Entrate_Uscite!Q43</f>
        <v>0</v>
      </c>
      <c r="H25" s="60">
        <f>Entrate_Uscite!T43</f>
        <v>0</v>
      </c>
      <c r="I25" s="60">
        <f>Entrate_Uscite!W43</f>
        <v>0</v>
      </c>
      <c r="J25" s="60">
        <f t="shared" si="0"/>
        <v>0</v>
      </c>
      <c r="K25" s="61" t="str">
        <f t="shared" si="1"/>
        <v>-</v>
      </c>
      <c r="L25" s="60">
        <f>Entrate_Uscite!X43</f>
        <v>0</v>
      </c>
      <c r="M25" s="58" t="str">
        <f t="shared" si="8"/>
        <v>-</v>
      </c>
    </row>
    <row r="26" spans="1:13" x14ac:dyDescent="0.3">
      <c r="A26" s="59" t="s">
        <v>293</v>
      </c>
      <c r="B26" s="60">
        <f>Entrate_Uscite!B44</f>
        <v>0</v>
      </c>
      <c r="C26" s="60">
        <f>Entrate_Uscite!E44</f>
        <v>0</v>
      </c>
      <c r="D26" s="60">
        <f>Entrate_Uscite!H44</f>
        <v>0</v>
      </c>
      <c r="E26" s="60">
        <f>Entrate_Uscite!K44</f>
        <v>0</v>
      </c>
      <c r="F26" s="60">
        <f>Entrate_Uscite!N44</f>
        <v>0</v>
      </c>
      <c r="G26" s="60">
        <f>Entrate_Uscite!Q44</f>
        <v>0</v>
      </c>
      <c r="H26" s="60">
        <f>Entrate_Uscite!T44</f>
        <v>0</v>
      </c>
      <c r="I26" s="60">
        <f>Entrate_Uscite!W44</f>
        <v>0</v>
      </c>
      <c r="J26" s="60">
        <f t="shared" si="0"/>
        <v>0</v>
      </c>
      <c r="K26" s="61" t="str">
        <f t="shared" si="1"/>
        <v>-</v>
      </c>
      <c r="L26" s="60">
        <f>Entrate_Uscite!X44</f>
        <v>0</v>
      </c>
      <c r="M26" s="58" t="str">
        <f t="shared" si="8"/>
        <v>-</v>
      </c>
    </row>
    <row r="27" spans="1:13" x14ac:dyDescent="0.3">
      <c r="A27" s="4" t="s">
        <v>294</v>
      </c>
      <c r="B27" s="43">
        <f t="shared" ref="B27:I27" si="13">SUM(B22:B26)</f>
        <v>13732275.309999999</v>
      </c>
      <c r="C27" s="43">
        <f t="shared" si="13"/>
        <v>14548297.129999999</v>
      </c>
      <c r="D27" s="43">
        <f t="shared" si="13"/>
        <v>14794848.040000001</v>
      </c>
      <c r="E27" s="43">
        <f t="shared" si="13"/>
        <v>10198449.68</v>
      </c>
      <c r="F27" s="43">
        <f t="shared" si="13"/>
        <v>7778737.2300000004</v>
      </c>
      <c r="G27" s="43">
        <f t="shared" ref="G27" si="14">SUM(G22:G26)</f>
        <v>7618611.0199999996</v>
      </c>
      <c r="H27" s="43">
        <f t="shared" ref="H27" si="15">SUM(H22:H26)</f>
        <v>7913918.9699999997</v>
      </c>
      <c r="I27" s="43">
        <f t="shared" si="13"/>
        <v>11379077.02</v>
      </c>
      <c r="J27" s="43">
        <f t="shared" si="0"/>
        <v>2.7364416043851261</v>
      </c>
      <c r="K27" s="44">
        <f t="shared" si="1"/>
        <v>43.785614474139607</v>
      </c>
      <c r="L27" s="43">
        <f>SUM(L22:L26)</f>
        <v>11359077.02</v>
      </c>
      <c r="M27" s="45">
        <f>IF(I27&gt;0,L27/I27*100,"-")</f>
        <v>99.824238820381936</v>
      </c>
    </row>
    <row r="28" spans="1:13" x14ac:dyDescent="0.3">
      <c r="A28" s="4" t="s">
        <v>295</v>
      </c>
      <c r="B28" s="43">
        <f>Entrate_Uscite!B52</f>
        <v>0</v>
      </c>
      <c r="C28" s="43">
        <f>Entrate_Uscite!E52</f>
        <v>0</v>
      </c>
      <c r="D28" s="43">
        <f>Entrate_Uscite!H52</f>
        <v>0</v>
      </c>
      <c r="E28" s="43">
        <f>Entrate_Uscite!K52</f>
        <v>0</v>
      </c>
      <c r="F28" s="43">
        <f>Entrate_Uscite!N52</f>
        <v>0</v>
      </c>
      <c r="G28" s="43">
        <f>Entrate_Uscite!Q52</f>
        <v>0</v>
      </c>
      <c r="H28" s="43">
        <f>Entrate_Uscite!T52</f>
        <v>0</v>
      </c>
      <c r="I28" s="43">
        <f>Entrate_Uscite!W52</f>
        <v>0</v>
      </c>
      <c r="J28" s="43">
        <f t="shared" si="0"/>
        <v>0</v>
      </c>
      <c r="K28" s="44" t="str">
        <f t="shared" si="1"/>
        <v>-</v>
      </c>
      <c r="L28" s="43">
        <f>Entrate_Uscite!X52</f>
        <v>0</v>
      </c>
      <c r="M28" s="45" t="str">
        <f>IF(I28&gt;0,L28/I28*100,"-")</f>
        <v>-</v>
      </c>
    </row>
    <row r="29" spans="1:13" x14ac:dyDescent="0.3">
      <c r="A29" s="4" t="s">
        <v>296</v>
      </c>
      <c r="B29" s="43">
        <f>Entrate_Uscite!B53</f>
        <v>38791119.769999996</v>
      </c>
      <c r="C29" s="43">
        <f>Entrate_Uscite!E53</f>
        <v>49007733.189999998</v>
      </c>
      <c r="D29" s="43">
        <f>Entrate_Uscite!H53</f>
        <v>40490713.949999996</v>
      </c>
      <c r="E29" s="43">
        <f>Entrate_Uscite!K53</f>
        <v>39349802.82</v>
      </c>
      <c r="F29" s="43">
        <f>Entrate_Uscite!N53</f>
        <v>40944387.579999998</v>
      </c>
      <c r="G29" s="43">
        <f>Entrate_Uscite!Q53</f>
        <v>39689499.130000003</v>
      </c>
      <c r="H29" s="43">
        <f>Entrate_Uscite!T53</f>
        <v>38217443.579999998</v>
      </c>
      <c r="I29" s="43">
        <f>Entrate_Uscite!W53</f>
        <v>50650714.010000005</v>
      </c>
      <c r="J29" s="43"/>
      <c r="K29" s="44">
        <f t="shared" si="1"/>
        <v>32.532972552111261</v>
      </c>
      <c r="L29" s="43">
        <f>Entrate_Uscite!X53</f>
        <v>39939785.799999997</v>
      </c>
      <c r="M29" s="45">
        <f>IF(I29&gt;0,L29/I29*100,"-")</f>
        <v>78.853351982589331</v>
      </c>
    </row>
    <row r="30" spans="1:13" x14ac:dyDescent="0.3">
      <c r="A30" s="47" t="s">
        <v>69</v>
      </c>
      <c r="B30" s="48">
        <f t="shared" ref="B30:I30" si="16">B10+B15+B20+B27+B28+B29</f>
        <v>359820300.79999995</v>
      </c>
      <c r="C30" s="48">
        <f t="shared" si="16"/>
        <v>371497504.81999999</v>
      </c>
      <c r="D30" s="48">
        <f t="shared" si="16"/>
        <v>374293635.20000005</v>
      </c>
      <c r="E30" s="48">
        <f t="shared" si="16"/>
        <v>374883340.06</v>
      </c>
      <c r="F30" s="48">
        <f t="shared" si="16"/>
        <v>386065107.80000007</v>
      </c>
      <c r="G30" s="48">
        <f t="shared" ref="G30:H30" si="17">G10+G15+G20+G27+G28+G29</f>
        <v>405309845.19999999</v>
      </c>
      <c r="H30" s="48">
        <f t="shared" si="17"/>
        <v>434121356.78000003</v>
      </c>
      <c r="I30" s="48">
        <f t="shared" si="16"/>
        <v>466485534.00999993</v>
      </c>
      <c r="J30" s="48"/>
      <c r="K30" s="49">
        <f t="shared" si="1"/>
        <v>7.4550990695445307</v>
      </c>
      <c r="L30" s="48">
        <f>L10+L15+L20+L27+L28+L29</f>
        <v>381110992.59999996</v>
      </c>
      <c r="M30" s="50">
        <f>IF(I30&gt;0,L30/I30*100,"-")</f>
        <v>81.698351784651521</v>
      </c>
    </row>
    <row r="31" spans="1:13" x14ac:dyDescent="0.3">
      <c r="A31" s="38" t="s">
        <v>70</v>
      </c>
      <c r="B31" s="51">
        <f t="shared" ref="B31:I31" si="18">B30-B29</f>
        <v>321029181.02999997</v>
      </c>
      <c r="C31" s="51">
        <f t="shared" si="18"/>
        <v>322489771.63</v>
      </c>
      <c r="D31" s="51">
        <f t="shared" si="18"/>
        <v>333802921.25000006</v>
      </c>
      <c r="E31" s="51">
        <f t="shared" si="18"/>
        <v>335533537.24000001</v>
      </c>
      <c r="F31" s="51">
        <f t="shared" si="18"/>
        <v>345120720.22000009</v>
      </c>
      <c r="G31" s="51">
        <f t="shared" ref="G31:H31" si="19">G30-G29</f>
        <v>365620346.06999999</v>
      </c>
      <c r="H31" s="51">
        <f t="shared" si="19"/>
        <v>395903913.20000005</v>
      </c>
      <c r="I31" s="51">
        <f t="shared" si="18"/>
        <v>415834819.99999994</v>
      </c>
      <c r="J31" s="51">
        <f t="shared" si="0"/>
        <v>100</v>
      </c>
      <c r="K31" s="52">
        <f t="shared" si="1"/>
        <v>5.0342788074265314</v>
      </c>
      <c r="L31" s="51">
        <f>L30-L29</f>
        <v>341171206.79999995</v>
      </c>
      <c r="M31" s="53">
        <f>IF(I31&gt;0,L31/I31*100,"-")</f>
        <v>82.044886669182731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5" sqref="J5"/>
    </sheetView>
  </sheetViews>
  <sheetFormatPr defaultRowHeight="14.4" x14ac:dyDescent="0.3"/>
  <cols>
    <col min="1" max="1" width="40.109375" customWidth="1"/>
    <col min="2" max="2" width="10.5546875" bestFit="1" customWidth="1"/>
    <col min="3" max="11" width="11.33203125" bestFit="1" customWidth="1"/>
  </cols>
  <sheetData>
    <row r="1" spans="1:11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42" t="s">
        <v>266</v>
      </c>
      <c r="K1" s="42" t="s">
        <v>340</v>
      </c>
    </row>
    <row r="2" spans="1:11" x14ac:dyDescent="0.3">
      <c r="A2" s="62" t="s">
        <v>298</v>
      </c>
      <c r="B2" s="64">
        <f>Entrate_Uscite!B56</f>
        <v>34021975.070000052</v>
      </c>
      <c r="C2" s="64">
        <f>Entrate_Uscite!E56</f>
        <v>44633936.560000002</v>
      </c>
      <c r="D2" s="64">
        <f>Entrate_Uscite!H56</f>
        <v>40195592.519999981</v>
      </c>
      <c r="E2" s="64">
        <f>Entrate_Uscite!K56</f>
        <v>48831631.680000007</v>
      </c>
      <c r="F2" s="64">
        <f>Entrate_Uscite!N56</f>
        <v>62075475.789999962</v>
      </c>
      <c r="G2" s="64">
        <f>Entrate_Uscite!Q56</f>
        <v>44462551.789999962</v>
      </c>
      <c r="H2" s="64">
        <f>Entrate_Uscite!T56</f>
        <v>44042099.829999983</v>
      </c>
      <c r="I2" s="64">
        <f>Entrate_Uscite!W56</f>
        <v>52834870.040000021</v>
      </c>
      <c r="J2" s="64">
        <f t="shared" ref="J2:J6" si="0">I2-H2</f>
        <v>8792770.2100000381</v>
      </c>
      <c r="K2" s="64">
        <f>Entrate_Uscite!X56</f>
        <v>38011895.320000052</v>
      </c>
    </row>
    <row r="3" spans="1:11" x14ac:dyDescent="0.3">
      <c r="A3" s="62" t="s">
        <v>72</v>
      </c>
      <c r="B3" s="65">
        <f>Entrate_Uscite!B57</f>
        <v>4275423.1899999995</v>
      </c>
      <c r="C3" s="65">
        <f>Entrate_Uscite!E57</f>
        <v>-1542973.9299999997</v>
      </c>
      <c r="D3" s="65">
        <f>Entrate_Uscite!H57</f>
        <v>4477523.3599999994</v>
      </c>
      <c r="E3" s="65">
        <f>Entrate_Uscite!K57</f>
        <v>-2418074.1500000022</v>
      </c>
      <c r="F3" s="65">
        <f>Entrate_Uscite!N57</f>
        <v>-8218371.6300000027</v>
      </c>
      <c r="G3" s="65">
        <f>Entrate_Uscite!Q57</f>
        <v>-6890348.8699999973</v>
      </c>
      <c r="H3" s="65">
        <f>Entrate_Uscite!T57</f>
        <v>-5004568.2399999872</v>
      </c>
      <c r="I3" s="65">
        <f>Entrate_Uscite!W57</f>
        <v>5915094.4299999997</v>
      </c>
      <c r="J3" s="64">
        <f t="shared" si="0"/>
        <v>10919662.669999987</v>
      </c>
      <c r="K3" s="64">
        <f>Entrate_Uscite!X57</f>
        <v>4347699.0500000045</v>
      </c>
    </row>
    <row r="4" spans="1:11" x14ac:dyDescent="0.3">
      <c r="A4" s="62" t="s">
        <v>301</v>
      </c>
      <c r="B4" s="65">
        <f>Entrate_Uscite!B16-Entrate_Uscite!B50</f>
        <v>-3803304.8200000003</v>
      </c>
      <c r="C4" s="65">
        <f>Entrate_Uscite!E16-Entrate_Uscite!E50</f>
        <v>-13252412.4</v>
      </c>
      <c r="D4" s="65">
        <f>Entrate_Uscite!H16-Entrate_Uscite!H50</f>
        <v>-13252941.18</v>
      </c>
      <c r="E4" s="65">
        <f>Entrate_Uscite!K16-Entrate_Uscite!K50</f>
        <v>-11251567.449999999</v>
      </c>
      <c r="F4" s="65">
        <f>Entrate_Uscite!N16-Entrate_Uscite!N50</f>
        <v>-12903051.18</v>
      </c>
      <c r="G4" s="65">
        <f>Entrate_Uscite!Q16-Entrate_Uscite!Q50</f>
        <v>-24449757.48</v>
      </c>
      <c r="H4" s="65">
        <f>Entrate_Uscite!T16-Entrate_Uscite!T50</f>
        <v>-14778038.279999999</v>
      </c>
      <c r="I4" s="65">
        <f>Entrate_Uscite!W16-Entrate_Uscite!W50</f>
        <v>-14560293.209999999</v>
      </c>
      <c r="J4" s="64">
        <f t="shared" si="0"/>
        <v>217745.0700000003</v>
      </c>
      <c r="K4" s="65">
        <f>Entrate_Uscite!X16-Entrate_Uscite!X50</f>
        <v>-11762074.810000001</v>
      </c>
    </row>
    <row r="5" spans="1:11" x14ac:dyDescent="0.3">
      <c r="A5" s="47" t="s">
        <v>299</v>
      </c>
      <c r="B5" s="66">
        <f>Entrate_Uscite!B58</f>
        <v>34494093.440000057</v>
      </c>
      <c r="C5" s="66">
        <f>Entrate_Uscite!E58</f>
        <v>29838550.230000019</v>
      </c>
      <c r="D5" s="66">
        <f>Entrate_Uscite!H58</f>
        <v>31420174.699999928</v>
      </c>
      <c r="E5" s="66">
        <f>Entrate_Uscite!K58</f>
        <v>35161990.080000043</v>
      </c>
      <c r="F5" s="66">
        <f>Entrate_Uscite!N58</f>
        <v>40954052.979999959</v>
      </c>
      <c r="G5" s="66">
        <f>Entrate_Uscite!Q58</f>
        <v>13122445.439999998</v>
      </c>
      <c r="H5" s="66">
        <f>Entrate_Uscite!T58</f>
        <v>24259493.309999943</v>
      </c>
      <c r="I5" s="66">
        <f>Entrate_Uscite!W58</f>
        <v>44189671.26000005</v>
      </c>
      <c r="J5" s="66">
        <f t="shared" si="0"/>
        <v>19930177.950000107</v>
      </c>
      <c r="K5" s="66">
        <f>Entrate_Uscite!X58</f>
        <v>30597519.560000062</v>
      </c>
    </row>
    <row r="6" spans="1:11" x14ac:dyDescent="0.3">
      <c r="A6" s="38" t="s">
        <v>300</v>
      </c>
      <c r="B6" s="67">
        <f>Entrate_Uscite!B59</f>
        <v>20859626.410000026</v>
      </c>
      <c r="C6" s="67">
        <f>Entrate_Uscite!E59</f>
        <v>15290253.100000024</v>
      </c>
      <c r="D6" s="67">
        <f>Entrate_Uscite!H59</f>
        <v>16625326.659999907</v>
      </c>
      <c r="E6" s="67">
        <f>Entrate_Uscite!K59</f>
        <v>24963540.400000036</v>
      </c>
      <c r="F6" s="67">
        <f>Entrate_Uscite!N59</f>
        <v>33175315.74999994</v>
      </c>
      <c r="G6" s="67">
        <f>Entrate_Uscite!Q59</f>
        <v>6303834.4200000167</v>
      </c>
      <c r="H6" s="67">
        <f>Entrate_Uscite!T59</f>
        <v>16785574.339999914</v>
      </c>
      <c r="I6" s="67">
        <f>Entrate_Uscite!W59</f>
        <v>32810594.240000069</v>
      </c>
      <c r="J6" s="67">
        <f t="shared" si="0"/>
        <v>16025019.900000155</v>
      </c>
      <c r="K6" s="67">
        <f>Entrate_Uscite!X59</f>
        <v>19238442.540000081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opLeftCell="A101" workbookViewId="0">
      <selection activeCell="I115" sqref="I115"/>
    </sheetView>
  </sheetViews>
  <sheetFormatPr defaultRowHeight="14.4" x14ac:dyDescent="0.3"/>
  <cols>
    <col min="1" max="1" width="33.44140625" bestFit="1" customWidth="1"/>
    <col min="2" max="2" width="13.6640625" bestFit="1" customWidth="1"/>
    <col min="3" max="4" width="12.5546875" bestFit="1" customWidth="1"/>
    <col min="5" max="5" width="11.88671875" customWidth="1"/>
    <col min="6" max="6" width="10.88671875" customWidth="1"/>
    <col min="7" max="7" width="11.109375" bestFit="1" customWidth="1"/>
    <col min="8" max="8" width="10.109375" bestFit="1" customWidth="1"/>
    <col min="9" max="9" width="12" bestFit="1" customWidth="1"/>
  </cols>
  <sheetData>
    <row r="1" spans="1:6" x14ac:dyDescent="0.3">
      <c r="A1" s="12">
        <v>2023</v>
      </c>
      <c r="B1" s="12" t="s">
        <v>365</v>
      </c>
      <c r="C1" s="12" t="s">
        <v>366</v>
      </c>
      <c r="D1" s="12" t="s">
        <v>367</v>
      </c>
      <c r="E1" s="12" t="s">
        <v>368</v>
      </c>
      <c r="F1" s="12" t="s">
        <v>369</v>
      </c>
    </row>
    <row r="2" spans="1:6" x14ac:dyDescent="0.3">
      <c r="A2" t="s">
        <v>370</v>
      </c>
      <c r="B2" s="1">
        <v>29737449.969999999</v>
      </c>
      <c r="C2" s="1">
        <v>26198041.84</v>
      </c>
      <c r="D2" s="1">
        <f>B2-C2</f>
        <v>3539408.129999999</v>
      </c>
      <c r="E2" s="6">
        <f>IF(B2&gt;0,C2/B2*100,"-")</f>
        <v>88.097808878802127</v>
      </c>
      <c r="F2" s="6">
        <f>B2/B$11*100</f>
        <v>45.566487955031839</v>
      </c>
    </row>
    <row r="3" spans="1:6" x14ac:dyDescent="0.3">
      <c r="A3" t="s">
        <v>371</v>
      </c>
      <c r="B3" s="1">
        <v>12415098.220000001</v>
      </c>
      <c r="C3" s="1">
        <v>8893674.8399999999</v>
      </c>
      <c r="D3" s="1">
        <f t="shared" ref="D3:D11" si="0">B3-C3</f>
        <v>3521423.3800000008</v>
      </c>
      <c r="E3" s="6">
        <f t="shared" ref="E3:E11" si="1">IF(B3&gt;0,C3/B3*100,"-")</f>
        <v>71.635960363751352</v>
      </c>
      <c r="F3" s="6">
        <f t="shared" ref="F3:F11" si="2">B3/B$11*100</f>
        <v>19.023568734806592</v>
      </c>
    </row>
    <row r="4" spans="1:6" x14ac:dyDescent="0.3">
      <c r="A4" t="s">
        <v>372</v>
      </c>
      <c r="B4" s="1">
        <v>7027996.0899999999</v>
      </c>
      <c r="C4" s="1">
        <v>5538667.2800000003</v>
      </c>
      <c r="D4" s="1">
        <f t="shared" si="0"/>
        <v>1489328.8099999996</v>
      </c>
      <c r="E4" s="6">
        <f t="shared" si="1"/>
        <v>78.808627794782964</v>
      </c>
      <c r="F4" s="6">
        <f t="shared" si="2"/>
        <v>10.768949573889635</v>
      </c>
    </row>
    <row r="5" spans="1:6" x14ac:dyDescent="0.3">
      <c r="A5" t="s">
        <v>373</v>
      </c>
      <c r="B5" s="1">
        <v>7992120.2999999998</v>
      </c>
      <c r="C5" s="1">
        <v>5667098.7699999996</v>
      </c>
      <c r="D5" s="1">
        <f t="shared" si="0"/>
        <v>2325021.5300000003</v>
      </c>
      <c r="E5" s="6">
        <f t="shared" si="1"/>
        <v>70.908576914188842</v>
      </c>
      <c r="F5" s="6">
        <f t="shared" si="2"/>
        <v>12.246270401547662</v>
      </c>
    </row>
    <row r="6" spans="1:6" x14ac:dyDescent="0.3">
      <c r="A6" t="s">
        <v>374</v>
      </c>
      <c r="B6" s="1">
        <v>1472328.77</v>
      </c>
      <c r="C6" s="1">
        <v>1155218.1499999999</v>
      </c>
      <c r="D6" s="1">
        <f t="shared" si="0"/>
        <v>317110.62000000011</v>
      </c>
      <c r="E6" s="6">
        <f t="shared" si="1"/>
        <v>78.461969468952233</v>
      </c>
      <c r="F6" s="6">
        <f t="shared" si="2"/>
        <v>2.2560391436297671</v>
      </c>
    </row>
    <row r="7" spans="1:6" x14ac:dyDescent="0.3">
      <c r="A7" t="s">
        <v>375</v>
      </c>
      <c r="B7" s="1">
        <v>16520</v>
      </c>
      <c r="C7" s="1">
        <v>8870</v>
      </c>
      <c r="D7" s="1">
        <f t="shared" si="0"/>
        <v>7650</v>
      </c>
      <c r="E7" s="6">
        <f t="shared" si="1"/>
        <v>53.692493946731233</v>
      </c>
      <c r="F7" s="6">
        <f t="shared" si="2"/>
        <v>2.5313481208931177E-2</v>
      </c>
    </row>
    <row r="8" spans="1:6" x14ac:dyDescent="0.3">
      <c r="A8" t="s">
        <v>376</v>
      </c>
      <c r="B8" s="1">
        <v>6019567.1900000004</v>
      </c>
      <c r="C8" s="1">
        <v>5780432.75</v>
      </c>
      <c r="D8" s="1">
        <f t="shared" si="0"/>
        <v>239134.44000000041</v>
      </c>
      <c r="E8" s="114">
        <f t="shared" si="1"/>
        <v>96.027381496841471</v>
      </c>
      <c r="F8" s="6">
        <f t="shared" si="2"/>
        <v>9.2237409776007055</v>
      </c>
    </row>
    <row r="9" spans="1:6" x14ac:dyDescent="0.3">
      <c r="A9" t="s">
        <v>377</v>
      </c>
      <c r="B9" s="1">
        <v>425627.89</v>
      </c>
      <c r="C9" s="1">
        <v>311424.65000000002</v>
      </c>
      <c r="D9" s="1">
        <f t="shared" si="0"/>
        <v>114203.23999999999</v>
      </c>
      <c r="E9" s="114">
        <f t="shared" si="1"/>
        <v>73.168290264061412</v>
      </c>
      <c r="F9" s="6">
        <f t="shared" si="2"/>
        <v>0.65218665832397249</v>
      </c>
    </row>
    <row r="10" spans="1:6" x14ac:dyDescent="0.3">
      <c r="A10" t="s">
        <v>378</v>
      </c>
      <c r="B10" s="1">
        <v>154959.31</v>
      </c>
      <c r="C10" s="1">
        <v>154959.31</v>
      </c>
      <c r="D10" s="1">
        <f t="shared" si="0"/>
        <v>0</v>
      </c>
      <c r="E10" s="6">
        <f t="shared" si="1"/>
        <v>100</v>
      </c>
      <c r="F10" s="6">
        <f t="shared" si="2"/>
        <v>0.23744307396089231</v>
      </c>
    </row>
    <row r="11" spans="1:6" x14ac:dyDescent="0.3">
      <c r="A11" s="4" t="s">
        <v>207</v>
      </c>
      <c r="B11" s="3">
        <f>SUM(B2:B10)</f>
        <v>65261667.740000002</v>
      </c>
      <c r="C11" s="3">
        <f>SUM(C2:C10)</f>
        <v>53708387.590000004</v>
      </c>
      <c r="D11" s="3">
        <f t="shared" si="0"/>
        <v>11553280.149999999</v>
      </c>
      <c r="E11" s="115">
        <f t="shared" si="1"/>
        <v>82.296989105415093</v>
      </c>
      <c r="F11" s="115">
        <f t="shared" si="2"/>
        <v>100</v>
      </c>
    </row>
    <row r="12" spans="1:6" x14ac:dyDescent="0.3">
      <c r="A12" s="116" t="s">
        <v>379</v>
      </c>
      <c r="B12" s="117">
        <v>404455742.97999996</v>
      </c>
      <c r="C12" s="118"/>
      <c r="D12" s="118"/>
      <c r="E12" s="118"/>
      <c r="F12" s="119">
        <f>B11/B12*100</f>
        <v>16.135675873745015</v>
      </c>
    </row>
    <row r="14" spans="1:6" x14ac:dyDescent="0.3">
      <c r="A14" s="12">
        <v>2022</v>
      </c>
      <c r="B14" s="12" t="s">
        <v>365</v>
      </c>
      <c r="C14" s="12" t="s">
        <v>366</v>
      </c>
      <c r="D14" s="12" t="s">
        <v>367</v>
      </c>
      <c r="E14" s="12" t="s">
        <v>368</v>
      </c>
      <c r="F14" s="12" t="s">
        <v>369</v>
      </c>
    </row>
    <row r="15" spans="1:6" x14ac:dyDescent="0.3">
      <c r="A15" t="s">
        <v>370</v>
      </c>
      <c r="B15" s="95">
        <v>26017176.140000001</v>
      </c>
      <c r="C15" s="95">
        <v>22270346.09</v>
      </c>
      <c r="D15" s="1">
        <f>B15-C15</f>
        <v>3746830.0500000007</v>
      </c>
      <c r="E15" s="6">
        <f>IF(B15&gt;0,C15/B15*100,"-")</f>
        <v>85.598629037071191</v>
      </c>
      <c r="F15" s="6">
        <f>B15/B$11*100</f>
        <v>39.865938216061899</v>
      </c>
    </row>
    <row r="16" spans="1:6" x14ac:dyDescent="0.3">
      <c r="A16" t="s">
        <v>371</v>
      </c>
      <c r="B16" s="95">
        <v>11380345.43</v>
      </c>
      <c r="C16" s="95">
        <v>8018448.7400000002</v>
      </c>
      <c r="D16" s="1">
        <f t="shared" ref="D16:D24" si="3">B16-C16</f>
        <v>3361896.6899999995</v>
      </c>
      <c r="E16" s="6">
        <f t="shared" ref="E16:E24" si="4">IF(B16&gt;0,C16/B16*100,"-")</f>
        <v>70.458746523303034</v>
      </c>
      <c r="F16" s="6">
        <f t="shared" ref="F16:F24" si="5">B16/B$11*100</f>
        <v>17.438024224785156</v>
      </c>
    </row>
    <row r="17" spans="1:6" x14ac:dyDescent="0.3">
      <c r="A17" t="s">
        <v>372</v>
      </c>
      <c r="B17" s="95">
        <v>6379360.3099999996</v>
      </c>
      <c r="C17" s="95">
        <v>5006162.24</v>
      </c>
      <c r="D17" s="1">
        <f t="shared" si="3"/>
        <v>1373198.0699999994</v>
      </c>
      <c r="E17" s="6">
        <f t="shared" si="4"/>
        <v>78.474361013165606</v>
      </c>
      <c r="F17" s="6">
        <f t="shared" si="5"/>
        <v>9.7750494753139439</v>
      </c>
    </row>
    <row r="18" spans="1:6" x14ac:dyDescent="0.3">
      <c r="A18" t="s">
        <v>373</v>
      </c>
      <c r="B18" s="95">
        <v>8621138.5099999998</v>
      </c>
      <c r="C18" s="95">
        <v>6347974.4199999999</v>
      </c>
      <c r="D18" s="1">
        <f t="shared" si="3"/>
        <v>2273164.09</v>
      </c>
      <c r="E18" s="6">
        <f t="shared" si="4"/>
        <v>73.632669428019668</v>
      </c>
      <c r="F18" s="6">
        <f t="shared" si="5"/>
        <v>13.210110633927236</v>
      </c>
    </row>
    <row r="19" spans="1:6" x14ac:dyDescent="0.3">
      <c r="A19" t="s">
        <v>374</v>
      </c>
      <c r="B19" s="95">
        <v>4201324.47</v>
      </c>
      <c r="C19" s="95">
        <v>3707869.97</v>
      </c>
      <c r="D19" s="1">
        <f t="shared" si="3"/>
        <v>493454.49999999953</v>
      </c>
      <c r="E19" s="6">
        <f t="shared" si="4"/>
        <v>88.254787186194179</v>
      </c>
      <c r="F19" s="6">
        <f t="shared" si="5"/>
        <v>6.437660292007731</v>
      </c>
    </row>
    <row r="20" spans="1:6" x14ac:dyDescent="0.3">
      <c r="A20" t="s">
        <v>375</v>
      </c>
      <c r="B20" s="95">
        <v>4570241.37</v>
      </c>
      <c r="C20" s="95">
        <v>1636120.94</v>
      </c>
      <c r="D20" s="1">
        <f t="shared" si="3"/>
        <v>2934120.43</v>
      </c>
      <c r="E20" s="6">
        <f t="shared" si="4"/>
        <v>35.799442688953647</v>
      </c>
      <c r="F20" s="6">
        <f t="shared" si="5"/>
        <v>7.0029490944173656</v>
      </c>
    </row>
    <row r="21" spans="1:6" x14ac:dyDescent="0.3">
      <c r="A21" t="s">
        <v>376</v>
      </c>
      <c r="B21" s="95">
        <v>6586509.7999999998</v>
      </c>
      <c r="C21" s="95">
        <v>5939479.0700000003</v>
      </c>
      <c r="D21" s="1">
        <f t="shared" si="3"/>
        <v>647030.72999999952</v>
      </c>
      <c r="E21" s="114">
        <f t="shared" si="4"/>
        <v>90.17642500129584</v>
      </c>
      <c r="F21" s="6">
        <f t="shared" si="5"/>
        <v>10.09246319943953</v>
      </c>
    </row>
    <row r="22" spans="1:6" x14ac:dyDescent="0.3">
      <c r="A22" t="s">
        <v>377</v>
      </c>
      <c r="B22" s="95">
        <v>392636.93</v>
      </c>
      <c r="C22" s="95">
        <v>287517.58</v>
      </c>
      <c r="D22" s="1">
        <f t="shared" si="3"/>
        <v>105119.34999999998</v>
      </c>
      <c r="E22" s="114">
        <f t="shared" si="4"/>
        <v>73.227340077256613</v>
      </c>
      <c r="F22" s="6">
        <f t="shared" si="5"/>
        <v>0.6016348395573502</v>
      </c>
    </row>
    <row r="23" spans="1:6" x14ac:dyDescent="0.3">
      <c r="A23" t="s">
        <v>378</v>
      </c>
      <c r="B23" s="95">
        <v>19580.96</v>
      </c>
      <c r="C23" s="95">
        <v>19580.96</v>
      </c>
      <c r="D23" s="1">
        <f t="shared" si="3"/>
        <v>0</v>
      </c>
      <c r="E23" s="6">
        <f t="shared" si="4"/>
        <v>100</v>
      </c>
      <c r="F23" s="6">
        <f t="shared" si="5"/>
        <v>3.0003768947508051E-2</v>
      </c>
    </row>
    <row r="24" spans="1:6" x14ac:dyDescent="0.3">
      <c r="A24" s="4" t="s">
        <v>207</v>
      </c>
      <c r="B24" s="3">
        <f>SUM(B15:B23)</f>
        <v>68168313.920000002</v>
      </c>
      <c r="C24" s="3">
        <f>SUM(C15:C23)</f>
        <v>53233500.009999998</v>
      </c>
      <c r="D24" s="3">
        <f t="shared" si="3"/>
        <v>14934813.910000004</v>
      </c>
      <c r="E24" s="115">
        <f t="shared" si="4"/>
        <v>78.091266966750865</v>
      </c>
      <c r="F24" s="115">
        <f t="shared" si="5"/>
        <v>104.45383374445771</v>
      </c>
    </row>
    <row r="25" spans="1:6" x14ac:dyDescent="0.3">
      <c r="A25" s="116" t="s">
        <v>379</v>
      </c>
      <c r="B25" s="117">
        <v>387989994.23000002</v>
      </c>
      <c r="C25" s="118"/>
      <c r="D25" s="118"/>
      <c r="E25" s="118"/>
      <c r="F25" s="119">
        <f>B24/B25*100</f>
        <v>17.569606158345906</v>
      </c>
    </row>
    <row r="27" spans="1:6" x14ac:dyDescent="0.3">
      <c r="A27" s="12">
        <v>2021</v>
      </c>
      <c r="B27" s="12" t="s">
        <v>365</v>
      </c>
      <c r="C27" s="12" t="s">
        <v>366</v>
      </c>
      <c r="D27" s="12" t="s">
        <v>367</v>
      </c>
      <c r="E27" s="12" t="s">
        <v>368</v>
      </c>
      <c r="F27" s="12" t="s">
        <v>369</v>
      </c>
    </row>
    <row r="28" spans="1:6" x14ac:dyDescent="0.3">
      <c r="A28" t="s">
        <v>370</v>
      </c>
      <c r="B28" s="95">
        <v>19430373.5</v>
      </c>
      <c r="C28" s="95">
        <v>17017432.440000001</v>
      </c>
      <c r="D28" s="1">
        <f>B28-C28</f>
        <v>2412941.0599999987</v>
      </c>
      <c r="E28" s="6">
        <f>IF(B28&gt;0,C28/B28*100,"-")</f>
        <v>87.581602278515135</v>
      </c>
      <c r="F28" s="6">
        <f>B28/B$11*100</f>
        <v>29.773026299925199</v>
      </c>
    </row>
    <row r="29" spans="1:6" x14ac:dyDescent="0.3">
      <c r="A29" t="s">
        <v>371</v>
      </c>
      <c r="B29" s="95">
        <v>12196338.92</v>
      </c>
      <c r="C29" s="95">
        <v>8469595.6699999999</v>
      </c>
      <c r="D29" s="1">
        <f t="shared" ref="D29:D37" si="6">B29-C29</f>
        <v>3726743.25</v>
      </c>
      <c r="E29" s="6">
        <f t="shared" ref="E29:E37" si="7">IF(B29&gt;0,C29/B29*100,"-")</f>
        <v>69.443754601729296</v>
      </c>
      <c r="F29" s="6">
        <f t="shared" ref="F29:F37" si="8">B29/B$11*100</f>
        <v>18.688365379490072</v>
      </c>
    </row>
    <row r="30" spans="1:6" x14ac:dyDescent="0.3">
      <c r="A30" t="s">
        <v>372</v>
      </c>
      <c r="B30" s="95">
        <v>5823981.9299999997</v>
      </c>
      <c r="C30" s="95">
        <v>4934289.6900000004</v>
      </c>
      <c r="D30" s="1">
        <f t="shared" si="6"/>
        <v>889692.23999999929</v>
      </c>
      <c r="E30" s="6">
        <f t="shared" si="7"/>
        <v>84.723643536442097</v>
      </c>
      <c r="F30" s="6">
        <f t="shared" si="8"/>
        <v>8.9240470427487733</v>
      </c>
    </row>
    <row r="31" spans="1:6" x14ac:dyDescent="0.3">
      <c r="A31" t="s">
        <v>373</v>
      </c>
      <c r="B31" s="95">
        <v>7278397.3700000001</v>
      </c>
      <c r="C31" s="95">
        <v>5432279.7000000002</v>
      </c>
      <c r="D31" s="1">
        <f t="shared" si="6"/>
        <v>1846117.67</v>
      </c>
      <c r="E31" s="6">
        <f t="shared" si="7"/>
        <v>74.635657052618441</v>
      </c>
      <c r="F31" s="6">
        <f t="shared" si="8"/>
        <v>11.152637715292318</v>
      </c>
    </row>
    <row r="32" spans="1:6" x14ac:dyDescent="0.3">
      <c r="A32" t="s">
        <v>374</v>
      </c>
      <c r="B32" s="95">
        <v>2839150.49</v>
      </c>
      <c r="C32" s="95">
        <v>2364497.96</v>
      </c>
      <c r="D32" s="1">
        <f t="shared" si="6"/>
        <v>474652.53000000026</v>
      </c>
      <c r="E32" s="6">
        <f t="shared" si="7"/>
        <v>83.281881968856112</v>
      </c>
      <c r="F32" s="6">
        <f t="shared" si="8"/>
        <v>4.3504105676720792</v>
      </c>
    </row>
    <row r="33" spans="1:6" x14ac:dyDescent="0.3">
      <c r="A33" t="s">
        <v>375</v>
      </c>
      <c r="B33" s="95">
        <v>2285843.52</v>
      </c>
      <c r="C33" s="95">
        <v>2023604.76</v>
      </c>
      <c r="D33" s="1">
        <f t="shared" si="6"/>
        <v>262238.76</v>
      </c>
      <c r="E33" s="6">
        <f t="shared" si="7"/>
        <v>88.527702893678395</v>
      </c>
      <c r="F33" s="6">
        <f t="shared" si="8"/>
        <v>3.5025821422564829</v>
      </c>
    </row>
    <row r="34" spans="1:6" x14ac:dyDescent="0.3">
      <c r="A34" t="s">
        <v>376</v>
      </c>
      <c r="B34" s="95">
        <v>5836870</v>
      </c>
      <c r="C34" s="95">
        <v>5570842.2800000003</v>
      </c>
      <c r="D34" s="1">
        <f t="shared" si="6"/>
        <v>266027.71999999974</v>
      </c>
      <c r="E34" s="114">
        <f t="shared" si="7"/>
        <v>95.442288075629577</v>
      </c>
      <c r="F34" s="6">
        <f t="shared" si="8"/>
        <v>8.9437953428555765</v>
      </c>
    </row>
    <row r="35" spans="1:6" x14ac:dyDescent="0.3">
      <c r="A35" t="s">
        <v>377</v>
      </c>
      <c r="B35" s="95">
        <v>383999.92</v>
      </c>
      <c r="C35" s="95">
        <v>198834.17</v>
      </c>
      <c r="D35" s="1">
        <f t="shared" si="6"/>
        <v>185165.74999999997</v>
      </c>
      <c r="E35" s="114">
        <f t="shared" si="7"/>
        <v>51.779742558279708</v>
      </c>
      <c r="F35" s="6">
        <f t="shared" si="8"/>
        <v>0.58840040914958069</v>
      </c>
    </row>
    <row r="36" spans="1:6" x14ac:dyDescent="0.3">
      <c r="A36" t="s">
        <v>378</v>
      </c>
      <c r="B36" s="95">
        <v>18775.759999999998</v>
      </c>
      <c r="C36" s="95">
        <v>18775.759999999998</v>
      </c>
      <c r="D36" s="1">
        <f t="shared" si="6"/>
        <v>0</v>
      </c>
      <c r="E36" s="6">
        <f t="shared" si="7"/>
        <v>100</v>
      </c>
      <c r="F36" s="6">
        <f t="shared" si="8"/>
        <v>2.8769966582530362E-2</v>
      </c>
    </row>
    <row r="37" spans="1:6" x14ac:dyDescent="0.3">
      <c r="A37" s="4" t="s">
        <v>207</v>
      </c>
      <c r="B37" s="3">
        <f>SUM(B28:B36)</f>
        <v>56093731.410000004</v>
      </c>
      <c r="C37" s="3">
        <f>SUM(C28:C36)</f>
        <v>46030152.43</v>
      </c>
      <c r="D37" s="3">
        <f t="shared" si="6"/>
        <v>10063578.980000004</v>
      </c>
      <c r="E37" s="115">
        <f t="shared" si="7"/>
        <v>82.059351861541629</v>
      </c>
      <c r="F37" s="115">
        <f t="shared" si="8"/>
        <v>85.952034865972621</v>
      </c>
    </row>
    <row r="38" spans="1:6" x14ac:dyDescent="0.3">
      <c r="A38" s="116" t="s">
        <v>379</v>
      </c>
      <c r="B38" s="117">
        <v>358001735.05000001</v>
      </c>
      <c r="C38" s="118"/>
      <c r="D38" s="118"/>
      <c r="E38" s="118"/>
      <c r="F38" s="119">
        <f>B37/B38*100</f>
        <v>15.668564120831906</v>
      </c>
    </row>
    <row r="40" spans="1:6" x14ac:dyDescent="0.3">
      <c r="A40" s="12">
        <v>2020</v>
      </c>
      <c r="B40" s="12" t="s">
        <v>365</v>
      </c>
      <c r="C40" s="12" t="s">
        <v>366</v>
      </c>
      <c r="D40" s="12" t="s">
        <v>367</v>
      </c>
      <c r="E40" s="12" t="s">
        <v>368</v>
      </c>
      <c r="F40" s="12" t="s">
        <v>369</v>
      </c>
    </row>
    <row r="41" spans="1:6" x14ac:dyDescent="0.3">
      <c r="A41" t="s">
        <v>370</v>
      </c>
      <c r="B41" s="1">
        <v>20569508.75</v>
      </c>
      <c r="C41" s="1">
        <v>17795103.48</v>
      </c>
      <c r="D41" s="1">
        <f>B41-C41</f>
        <v>2774405.2699999996</v>
      </c>
      <c r="E41" s="6">
        <f>IF(B41&gt;0,C41/B41*100,"-")</f>
        <v>86.512048956930002</v>
      </c>
      <c r="F41" s="6">
        <f>B41/B$11*100</f>
        <v>31.518515328091429</v>
      </c>
    </row>
    <row r="42" spans="1:6" x14ac:dyDescent="0.3">
      <c r="A42" t="s">
        <v>371</v>
      </c>
      <c r="B42" s="1">
        <v>12682666.880000001</v>
      </c>
      <c r="C42" s="1">
        <v>7854979.6500000004</v>
      </c>
      <c r="D42" s="1">
        <f t="shared" ref="D42:D50" si="9">B42-C42</f>
        <v>4827687.2300000004</v>
      </c>
      <c r="E42" s="6">
        <f t="shared" ref="E42:E50" si="10">IF(B42&gt;0,C42/B42*100,"-")</f>
        <v>61.93476280912931</v>
      </c>
      <c r="F42" s="6">
        <f t="shared" ref="F42:F50" si="11">B42/B$11*100</f>
        <v>19.433562333293814</v>
      </c>
    </row>
    <row r="43" spans="1:6" x14ac:dyDescent="0.3">
      <c r="A43" t="s">
        <v>372</v>
      </c>
      <c r="B43" s="1">
        <v>5620090</v>
      </c>
      <c r="C43" s="1">
        <v>4623878.72</v>
      </c>
      <c r="D43" s="1">
        <f t="shared" si="9"/>
        <v>996211.28000000026</v>
      </c>
      <c r="E43" s="6">
        <f t="shared" si="10"/>
        <v>82.274104507223186</v>
      </c>
      <c r="F43" s="6">
        <f t="shared" si="11"/>
        <v>8.6116248551756662</v>
      </c>
    </row>
    <row r="44" spans="1:6" x14ac:dyDescent="0.3">
      <c r="A44" t="s">
        <v>373</v>
      </c>
      <c r="B44" s="1">
        <v>4774230.5199999996</v>
      </c>
      <c r="C44" s="1">
        <v>3269074.47</v>
      </c>
      <c r="D44" s="1">
        <f t="shared" si="9"/>
        <v>1505156.0499999993</v>
      </c>
      <c r="E44" s="6">
        <f t="shared" si="10"/>
        <v>68.47332688074728</v>
      </c>
      <c r="F44" s="6">
        <f t="shared" si="11"/>
        <v>7.315520251520927</v>
      </c>
    </row>
    <row r="45" spans="1:6" x14ac:dyDescent="0.3">
      <c r="A45" t="s">
        <v>374</v>
      </c>
      <c r="B45" s="1">
        <v>2636872.59</v>
      </c>
      <c r="C45" s="1">
        <v>2458803.66</v>
      </c>
      <c r="D45" s="1">
        <f t="shared" si="9"/>
        <v>178068.9299999997</v>
      </c>
      <c r="E45" s="114">
        <f t="shared" si="10"/>
        <v>93.246964958591349</v>
      </c>
      <c r="F45" s="6">
        <f t="shared" si="11"/>
        <v>4.040461547052705</v>
      </c>
    </row>
    <row r="46" spans="1:6" x14ac:dyDescent="0.3">
      <c r="A46" t="s">
        <v>375</v>
      </c>
      <c r="B46" s="1">
        <v>1647543.97</v>
      </c>
      <c r="C46" s="1">
        <v>1000108.61</v>
      </c>
      <c r="D46" s="1">
        <f t="shared" si="9"/>
        <v>647435.36</v>
      </c>
      <c r="E46" s="6">
        <f t="shared" si="10"/>
        <v>60.702999629199581</v>
      </c>
      <c r="F46" s="6">
        <f t="shared" si="11"/>
        <v>2.5245201770873407</v>
      </c>
    </row>
    <row r="47" spans="1:6" x14ac:dyDescent="0.3">
      <c r="A47" t="s">
        <v>376</v>
      </c>
      <c r="B47" s="1">
        <v>5524868.2300000004</v>
      </c>
      <c r="C47" s="1">
        <v>5274709.67</v>
      </c>
      <c r="D47" s="1">
        <f t="shared" si="9"/>
        <v>250158.56000000052</v>
      </c>
      <c r="E47" s="114">
        <f t="shared" si="10"/>
        <v>95.472135269369119</v>
      </c>
      <c r="F47" s="6">
        <f t="shared" si="11"/>
        <v>8.4657171986637927</v>
      </c>
    </row>
    <row r="48" spans="1:6" x14ac:dyDescent="0.3">
      <c r="A48" t="s">
        <v>377</v>
      </c>
      <c r="B48" s="1">
        <v>310766.18</v>
      </c>
      <c r="C48" s="1">
        <v>161228.97</v>
      </c>
      <c r="D48" s="1">
        <f t="shared" si="9"/>
        <v>149537.21</v>
      </c>
      <c r="E48" s="114">
        <f t="shared" si="10"/>
        <v>51.881118466623363</v>
      </c>
      <c r="F48" s="6">
        <f t="shared" si="11"/>
        <v>0.47618485822041912</v>
      </c>
    </row>
    <row r="49" spans="1:8" x14ac:dyDescent="0.3">
      <c r="A49" t="s">
        <v>378</v>
      </c>
      <c r="B49" s="1">
        <v>22202.63</v>
      </c>
      <c r="C49" s="1">
        <v>22202.63</v>
      </c>
      <c r="D49" s="1">
        <f t="shared" si="9"/>
        <v>0</v>
      </c>
      <c r="E49" s="6">
        <f t="shared" si="10"/>
        <v>100</v>
      </c>
      <c r="F49" s="6">
        <f t="shared" si="11"/>
        <v>3.4020935671540659E-2</v>
      </c>
      <c r="H49" s="120"/>
    </row>
    <row r="50" spans="1:8" x14ac:dyDescent="0.3">
      <c r="A50" s="4" t="s">
        <v>207</v>
      </c>
      <c r="B50" s="3">
        <f>SUM(B41:B49)</f>
        <v>53788749.750000015</v>
      </c>
      <c r="C50" s="3">
        <f>SUM(C41:C49)</f>
        <v>42460089.860000007</v>
      </c>
      <c r="D50" s="3">
        <f t="shared" si="9"/>
        <v>11328659.890000008</v>
      </c>
      <c r="E50" s="115">
        <f t="shared" si="10"/>
        <v>78.938607157345203</v>
      </c>
      <c r="F50" s="115">
        <f t="shared" si="11"/>
        <v>82.420127484777666</v>
      </c>
      <c r="H50" s="120"/>
    </row>
    <row r="51" spans="1:8" x14ac:dyDescent="0.3">
      <c r="A51" s="118" t="s">
        <v>379</v>
      </c>
      <c r="B51" s="121">
        <v>337341982.99000007</v>
      </c>
      <c r="C51" s="118"/>
      <c r="D51" s="118"/>
      <c r="E51" s="118"/>
      <c r="F51" s="119">
        <f>B50/B51*100</f>
        <v>15.944872699581685</v>
      </c>
      <c r="H51" s="120"/>
    </row>
    <row r="52" spans="1:8" x14ac:dyDescent="0.3">
      <c r="H52" s="7"/>
    </row>
    <row r="53" spans="1:8" x14ac:dyDescent="0.3">
      <c r="A53" s="12">
        <v>2019</v>
      </c>
      <c r="B53" s="12" t="s">
        <v>365</v>
      </c>
      <c r="C53" s="12" t="s">
        <v>366</v>
      </c>
      <c r="D53" s="12" t="s">
        <v>367</v>
      </c>
      <c r="H53" s="27"/>
    </row>
    <row r="54" spans="1:8" x14ac:dyDescent="0.3">
      <c r="A54" t="s">
        <v>370</v>
      </c>
      <c r="B54" s="1">
        <v>19346446.48</v>
      </c>
      <c r="C54" s="1">
        <v>16914836.73</v>
      </c>
      <c r="D54" s="1">
        <f>B54-C54</f>
        <v>2431609.75</v>
      </c>
      <c r="E54" s="6">
        <f>IF(B54&gt;0,C54/B54*100,"-")</f>
        <v>87.431233159465478</v>
      </c>
      <c r="F54" s="6">
        <f>B54/B$63*100</f>
        <v>37.483603423517167</v>
      </c>
      <c r="H54" s="27"/>
    </row>
    <row r="55" spans="1:8" x14ac:dyDescent="0.3">
      <c r="A55" t="s">
        <v>371</v>
      </c>
      <c r="B55" s="1">
        <v>12583758.050000001</v>
      </c>
      <c r="C55" s="1">
        <v>12020517.029999999</v>
      </c>
      <c r="D55" s="1">
        <f t="shared" ref="D55:D63" si="12">B55-C55</f>
        <v>563241.02000000142</v>
      </c>
      <c r="E55" s="6">
        <f t="shared" ref="E55:E63" si="13">IF(B55&gt;0,C55/B55*100,"-")</f>
        <v>95.524063497072703</v>
      </c>
      <c r="F55" s="6">
        <f t="shared" ref="F55:F63" si="14">B55/B$63*100</f>
        <v>24.380942350902039</v>
      </c>
      <c r="H55" s="27"/>
    </row>
    <row r="56" spans="1:8" x14ac:dyDescent="0.3">
      <c r="A56" t="s">
        <v>372</v>
      </c>
      <c r="B56" s="1">
        <v>6272634.6399999997</v>
      </c>
      <c r="C56" s="1">
        <v>4905204.03</v>
      </c>
      <c r="D56" s="1">
        <f t="shared" si="12"/>
        <v>1367430.6099999994</v>
      </c>
      <c r="E56" s="6">
        <f t="shared" si="13"/>
        <v>78.200059648301163</v>
      </c>
      <c r="F56" s="6">
        <f t="shared" si="14"/>
        <v>12.153185315424206</v>
      </c>
      <c r="H56" s="27"/>
    </row>
    <row r="57" spans="1:8" x14ac:dyDescent="0.3">
      <c r="A57" t="s">
        <v>373</v>
      </c>
      <c r="B57" s="1">
        <v>4529465.1500000004</v>
      </c>
      <c r="C57" s="1">
        <v>3464309.32</v>
      </c>
      <c r="D57" s="1">
        <f t="shared" si="12"/>
        <v>1065155.8300000005</v>
      </c>
      <c r="E57" s="6">
        <f t="shared" si="13"/>
        <v>76.483849754313695</v>
      </c>
      <c r="F57" s="6">
        <f t="shared" si="14"/>
        <v>8.7758067394318537</v>
      </c>
      <c r="H57" s="28"/>
    </row>
    <row r="58" spans="1:8" x14ac:dyDescent="0.3">
      <c r="A58" t="s">
        <v>374</v>
      </c>
      <c r="B58" s="1">
        <v>1090845.3500000001</v>
      </c>
      <c r="C58" s="1">
        <v>1017992.73</v>
      </c>
      <c r="D58" s="1">
        <f t="shared" si="12"/>
        <v>72852.620000000112</v>
      </c>
      <c r="E58" s="114">
        <f t="shared" si="13"/>
        <v>93.321452944727682</v>
      </c>
      <c r="F58" s="6">
        <f t="shared" si="14"/>
        <v>2.1135051616873355</v>
      </c>
    </row>
    <row r="59" spans="1:8" x14ac:dyDescent="0.3">
      <c r="A59" t="s">
        <v>375</v>
      </c>
      <c r="B59" s="1">
        <v>1185400.93</v>
      </c>
      <c r="C59" s="1">
        <v>1016660.6</v>
      </c>
      <c r="D59" s="1">
        <f t="shared" si="12"/>
        <v>168740.32999999996</v>
      </c>
      <c r="E59" s="6">
        <f t="shared" si="13"/>
        <v>85.765125897108931</v>
      </c>
      <c r="F59" s="6">
        <f t="shared" si="14"/>
        <v>2.2967059301522137</v>
      </c>
    </row>
    <row r="60" spans="1:8" x14ac:dyDescent="0.3">
      <c r="A60" t="s">
        <v>376</v>
      </c>
      <c r="B60" s="1">
        <v>6205382.6799999997</v>
      </c>
      <c r="C60" s="1">
        <v>5934638.1299999999</v>
      </c>
      <c r="D60" s="1">
        <f t="shared" si="12"/>
        <v>270744.54999999981</v>
      </c>
      <c r="E60" s="114">
        <f t="shared" si="13"/>
        <v>95.636940315178123</v>
      </c>
      <c r="F60" s="6">
        <f t="shared" si="14"/>
        <v>12.022885117881456</v>
      </c>
    </row>
    <row r="61" spans="1:8" x14ac:dyDescent="0.3">
      <c r="A61" t="s">
        <v>377</v>
      </c>
      <c r="B61" s="1">
        <v>372292.97</v>
      </c>
      <c r="C61" s="1">
        <v>311122.96000000002</v>
      </c>
      <c r="D61" s="1">
        <f t="shared" si="12"/>
        <v>61170.009999999951</v>
      </c>
      <c r="E61" s="114">
        <f t="shared" si="13"/>
        <v>83.569388914327348</v>
      </c>
      <c r="F61" s="6">
        <f t="shared" si="14"/>
        <v>0.72131500010969307</v>
      </c>
    </row>
    <row r="62" spans="1:8" x14ac:dyDescent="0.3">
      <c r="A62" t="s">
        <v>378</v>
      </c>
      <c r="B62" s="1">
        <v>26865.11</v>
      </c>
      <c r="C62" s="1">
        <v>26865.11</v>
      </c>
      <c r="D62" s="1">
        <f t="shared" si="12"/>
        <v>0</v>
      </c>
      <c r="E62" s="6">
        <f t="shared" si="13"/>
        <v>100</v>
      </c>
      <c r="F62" s="6">
        <f t="shared" si="14"/>
        <v>5.2050960894042451E-2</v>
      </c>
    </row>
    <row r="63" spans="1:8" x14ac:dyDescent="0.3">
      <c r="A63" s="4" t="s">
        <v>207</v>
      </c>
      <c r="B63" s="3">
        <f>SUM(B54:B62)</f>
        <v>51613091.359999999</v>
      </c>
      <c r="C63" s="3">
        <f>SUM(C54:C62)</f>
        <v>45612146.640000001</v>
      </c>
      <c r="D63" s="3">
        <f t="shared" si="12"/>
        <v>6000944.7199999988</v>
      </c>
      <c r="E63" s="115">
        <f t="shared" si="13"/>
        <v>88.373211985804986</v>
      </c>
      <c r="F63" s="115">
        <f t="shared" si="14"/>
        <v>100</v>
      </c>
    </row>
    <row r="64" spans="1:8" x14ac:dyDescent="0.3">
      <c r="A64" s="118" t="s">
        <v>379</v>
      </c>
      <c r="B64" s="121">
        <v>325335087.56</v>
      </c>
      <c r="C64" s="118"/>
      <c r="D64" s="118"/>
      <c r="E64" s="118"/>
      <c r="F64" s="119">
        <f>B63/B64*100</f>
        <v>15.864594177989252</v>
      </c>
    </row>
    <row r="66" spans="1:6" x14ac:dyDescent="0.3">
      <c r="A66" s="12">
        <v>2018</v>
      </c>
      <c r="B66" s="12" t="s">
        <v>365</v>
      </c>
      <c r="C66" s="12" t="s">
        <v>366</v>
      </c>
      <c r="D66" s="12" t="s">
        <v>367</v>
      </c>
    </row>
    <row r="67" spans="1:6" x14ac:dyDescent="0.3">
      <c r="A67" t="s">
        <v>370</v>
      </c>
      <c r="B67" s="1">
        <v>18967515.07</v>
      </c>
      <c r="C67" s="1">
        <v>16658212.6</v>
      </c>
      <c r="D67" s="1">
        <f>B67-C67</f>
        <v>2309302.4700000007</v>
      </c>
      <c r="E67" s="6">
        <f>IF(B67&gt;0,C67/B67*100,"-")</f>
        <v>87.824960404789593</v>
      </c>
      <c r="F67" s="6">
        <f>B67/B$76*100</f>
        <v>37.178475511821027</v>
      </c>
    </row>
    <row r="68" spans="1:6" x14ac:dyDescent="0.3">
      <c r="A68" t="s">
        <v>371</v>
      </c>
      <c r="B68" s="1">
        <v>10298307.949999999</v>
      </c>
      <c r="C68" s="1">
        <v>10118127.02</v>
      </c>
      <c r="D68" s="1">
        <f>B68-C68</f>
        <v>180180.9299999997</v>
      </c>
      <c r="E68" s="6">
        <f t="shared" ref="E68:E76" si="15">IF(B68&gt;0,C68/B68*100,"-")</f>
        <v>98.250383161245438</v>
      </c>
      <c r="F68" s="6">
        <f t="shared" ref="F68:F76" si="16">B68/B$76*100</f>
        <v>20.185848727113559</v>
      </c>
    </row>
    <row r="69" spans="1:6" x14ac:dyDescent="0.3">
      <c r="A69" t="s">
        <v>372</v>
      </c>
      <c r="B69" s="1">
        <v>6859551.54</v>
      </c>
      <c r="C69" s="1">
        <v>5658528.8099999996</v>
      </c>
      <c r="D69" s="1">
        <f t="shared" ref="D69:D76" si="17">B69-C69</f>
        <v>1201022.7300000004</v>
      </c>
      <c r="E69" s="6">
        <f t="shared" si="15"/>
        <v>82.491235425574189</v>
      </c>
      <c r="F69" s="6">
        <f t="shared" si="16"/>
        <v>13.445497104432469</v>
      </c>
    </row>
    <row r="70" spans="1:6" x14ac:dyDescent="0.3">
      <c r="A70" t="s">
        <v>373</v>
      </c>
      <c r="B70" s="1">
        <v>5096684.42</v>
      </c>
      <c r="C70" s="1">
        <v>3517872.87</v>
      </c>
      <c r="D70" s="1">
        <f t="shared" si="17"/>
        <v>1578811.5499999998</v>
      </c>
      <c r="E70" s="6">
        <f t="shared" si="15"/>
        <v>69.022772063254408</v>
      </c>
      <c r="F70" s="6">
        <f t="shared" si="16"/>
        <v>9.9900780993790832</v>
      </c>
    </row>
    <row r="71" spans="1:6" x14ac:dyDescent="0.3">
      <c r="A71" t="s">
        <v>374</v>
      </c>
      <c r="B71" s="1">
        <v>2139422.9900000002</v>
      </c>
      <c r="C71" s="1">
        <v>1507258.23</v>
      </c>
      <c r="D71" s="1">
        <f t="shared" si="17"/>
        <v>632164.76000000024</v>
      </c>
      <c r="E71" s="13">
        <f t="shared" si="15"/>
        <v>70.451623500596298</v>
      </c>
      <c r="F71" s="6">
        <f t="shared" si="16"/>
        <v>4.1935111135853136</v>
      </c>
    </row>
    <row r="72" spans="1:6" x14ac:dyDescent="0.3">
      <c r="A72" t="s">
        <v>375</v>
      </c>
      <c r="B72" s="1">
        <v>1077835.17</v>
      </c>
      <c r="C72" s="1">
        <v>907987.89</v>
      </c>
      <c r="D72" s="1">
        <f t="shared" si="17"/>
        <v>169847.27999999991</v>
      </c>
      <c r="E72" s="6">
        <f t="shared" si="15"/>
        <v>84.241813152190986</v>
      </c>
      <c r="F72" s="6">
        <f t="shared" si="16"/>
        <v>2.1126788789009487</v>
      </c>
    </row>
    <row r="73" spans="1:6" x14ac:dyDescent="0.3">
      <c r="A73" t="s">
        <v>376</v>
      </c>
      <c r="B73" s="1">
        <v>6213088.2999999998</v>
      </c>
      <c r="C73" s="1">
        <v>5951785.9800000004</v>
      </c>
      <c r="D73" s="1">
        <f t="shared" si="17"/>
        <v>261302.31999999937</v>
      </c>
      <c r="E73" s="114">
        <f t="shared" si="15"/>
        <v>95.79432470000468</v>
      </c>
      <c r="F73" s="6">
        <f t="shared" si="16"/>
        <v>12.17835601352348</v>
      </c>
    </row>
    <row r="74" spans="1:6" x14ac:dyDescent="0.3">
      <c r="A74" t="s">
        <v>377</v>
      </c>
      <c r="B74" s="1">
        <v>336397.44</v>
      </c>
      <c r="C74" s="1">
        <v>227787</v>
      </c>
      <c r="D74" s="1">
        <f t="shared" si="17"/>
        <v>108610.44</v>
      </c>
      <c r="E74" s="114">
        <f t="shared" si="15"/>
        <v>67.713654420200115</v>
      </c>
      <c r="F74" s="6">
        <f t="shared" si="16"/>
        <v>0.65937704222840421</v>
      </c>
    </row>
    <row r="75" spans="1:6" x14ac:dyDescent="0.3">
      <c r="A75" t="s">
        <v>378</v>
      </c>
      <c r="B75" s="1">
        <v>28660.34</v>
      </c>
      <c r="C75" s="1">
        <v>28660.34</v>
      </c>
      <c r="D75" s="1">
        <f t="shared" si="17"/>
        <v>0</v>
      </c>
      <c r="E75" s="6">
        <f t="shared" si="15"/>
        <v>100</v>
      </c>
      <c r="F75" s="6">
        <f t="shared" si="16"/>
        <v>5.6177509015706013E-2</v>
      </c>
    </row>
    <row r="76" spans="1:6" x14ac:dyDescent="0.3">
      <c r="A76" s="4" t="s">
        <v>207</v>
      </c>
      <c r="B76" s="3">
        <f>SUM(B67:B75)</f>
        <v>51017463.220000006</v>
      </c>
      <c r="C76" s="3">
        <f>SUM(C67:C75)</f>
        <v>44576220.739999995</v>
      </c>
      <c r="D76" s="3">
        <f t="shared" si="17"/>
        <v>6441242.4800000116</v>
      </c>
      <c r="E76" s="115">
        <f t="shared" si="15"/>
        <v>87.374435980433276</v>
      </c>
      <c r="F76" s="115">
        <f t="shared" si="16"/>
        <v>100</v>
      </c>
    </row>
    <row r="77" spans="1:6" x14ac:dyDescent="0.3">
      <c r="A77" s="118" t="s">
        <v>379</v>
      </c>
      <c r="B77" s="121">
        <v>319008073.21000004</v>
      </c>
      <c r="C77" s="118"/>
      <c r="D77" s="118"/>
      <c r="E77" s="118"/>
      <c r="F77" s="119">
        <f>B76/B77*100</f>
        <v>15.992530441828565</v>
      </c>
    </row>
    <row r="79" spans="1:6" x14ac:dyDescent="0.3">
      <c r="A79" s="12">
        <v>2017</v>
      </c>
      <c r="B79" s="12" t="s">
        <v>365</v>
      </c>
      <c r="C79" s="12" t="s">
        <v>366</v>
      </c>
      <c r="D79" s="12" t="s">
        <v>367</v>
      </c>
    </row>
    <row r="80" spans="1:6" x14ac:dyDescent="0.3">
      <c r="A80" t="s">
        <v>370</v>
      </c>
      <c r="B80" s="1">
        <v>18794207.859999999</v>
      </c>
      <c r="C80" s="1">
        <v>16633057.220000001</v>
      </c>
      <c r="D80" s="1">
        <f>B80-C80</f>
        <v>2161150.6399999987</v>
      </c>
      <c r="E80" s="6">
        <f>IF(B80&gt;0,C80/B80*100,"-")</f>
        <v>88.500975108402372</v>
      </c>
      <c r="F80" s="6">
        <f>B80/B$89*100</f>
        <v>38.613454562575882</v>
      </c>
    </row>
    <row r="81" spans="1:6" x14ac:dyDescent="0.3">
      <c r="A81" t="s">
        <v>371</v>
      </c>
      <c r="B81" s="1">
        <v>10568502.880000001</v>
      </c>
      <c r="C81" s="1">
        <v>10568062.199999999</v>
      </c>
      <c r="D81" s="1">
        <f>B81-C81</f>
        <v>440.68000000156462</v>
      </c>
      <c r="E81" s="6">
        <f t="shared" ref="E81:E89" si="18">IF(B81&gt;0,C81/B81*100,"-")</f>
        <v>99.995830251408307</v>
      </c>
      <c r="F81" s="6">
        <f t="shared" ref="F81:F89" si="19">B81/B$89*100</f>
        <v>21.713413451165927</v>
      </c>
    </row>
    <row r="82" spans="1:6" x14ac:dyDescent="0.3">
      <c r="A82" t="s">
        <v>372</v>
      </c>
      <c r="B82" s="1">
        <v>7530866.9299999997</v>
      </c>
      <c r="C82" s="1">
        <v>6461844.7999999998</v>
      </c>
      <c r="D82" s="1">
        <f t="shared" ref="D82:D89" si="20">B82-C82</f>
        <v>1069022.1299999999</v>
      </c>
      <c r="E82" s="6">
        <f t="shared" si="18"/>
        <v>85.804793260369024</v>
      </c>
      <c r="F82" s="6">
        <f t="shared" si="19"/>
        <v>15.472468442644985</v>
      </c>
    </row>
    <row r="83" spans="1:6" x14ac:dyDescent="0.3">
      <c r="A83" t="s">
        <v>373</v>
      </c>
      <c r="B83" s="1">
        <v>3092985.56</v>
      </c>
      <c r="C83" s="1">
        <v>2069881.78</v>
      </c>
      <c r="D83" s="1">
        <f t="shared" si="20"/>
        <v>1023103.78</v>
      </c>
      <c r="E83" s="6">
        <f t="shared" si="18"/>
        <v>66.921805480398049</v>
      </c>
      <c r="F83" s="6">
        <f t="shared" si="19"/>
        <v>6.3546630043370893</v>
      </c>
    </row>
    <row r="84" spans="1:6" x14ac:dyDescent="0.3">
      <c r="A84" t="s">
        <v>374</v>
      </c>
      <c r="B84" s="1">
        <v>937962.81</v>
      </c>
      <c r="C84" s="1">
        <v>599279.66</v>
      </c>
      <c r="D84" s="1">
        <f t="shared" si="20"/>
        <v>338683.15</v>
      </c>
      <c r="E84" s="114">
        <f t="shared" si="18"/>
        <v>63.891622739285367</v>
      </c>
      <c r="F84" s="6">
        <f t="shared" si="19"/>
        <v>1.927082248696647</v>
      </c>
    </row>
    <row r="85" spans="1:6" x14ac:dyDescent="0.3">
      <c r="A85" t="s">
        <v>375</v>
      </c>
      <c r="B85" s="1">
        <v>1246207.26</v>
      </c>
      <c r="C85" s="1">
        <v>863473.3</v>
      </c>
      <c r="D85" s="1">
        <f t="shared" si="20"/>
        <v>382733.95999999996</v>
      </c>
      <c r="E85" s="6">
        <f t="shared" si="18"/>
        <v>69.288097390798384</v>
      </c>
      <c r="F85" s="6">
        <f t="shared" si="19"/>
        <v>2.5603828460351079</v>
      </c>
    </row>
    <row r="86" spans="1:6" x14ac:dyDescent="0.3">
      <c r="A86" t="s">
        <v>376</v>
      </c>
      <c r="B86" s="1">
        <v>6215099.3499999996</v>
      </c>
      <c r="C86" s="1">
        <v>6023171.2800000003</v>
      </c>
      <c r="D86" s="1">
        <f t="shared" si="20"/>
        <v>191928.06999999937</v>
      </c>
      <c r="E86" s="114">
        <f t="shared" si="18"/>
        <v>96.911906645547035</v>
      </c>
      <c r="F86" s="6">
        <f t="shared" si="19"/>
        <v>12.769171126594101</v>
      </c>
    </row>
    <row r="87" spans="1:6" x14ac:dyDescent="0.3">
      <c r="A87" t="s">
        <v>377</v>
      </c>
      <c r="B87" s="1">
        <v>256498.72</v>
      </c>
      <c r="C87" s="1">
        <v>165677.18</v>
      </c>
      <c r="D87" s="1">
        <f t="shared" si="20"/>
        <v>90821.540000000008</v>
      </c>
      <c r="E87" s="114">
        <f t="shared" si="18"/>
        <v>64.59181550691558</v>
      </c>
      <c r="F87" s="6">
        <f t="shared" si="19"/>
        <v>0.5269869176640507</v>
      </c>
    </row>
    <row r="88" spans="1:6" x14ac:dyDescent="0.3">
      <c r="A88" t="s">
        <v>378</v>
      </c>
      <c r="B88" s="1">
        <v>30360.76</v>
      </c>
      <c r="C88" s="1">
        <v>30360.76</v>
      </c>
      <c r="D88" s="1">
        <f t="shared" si="20"/>
        <v>0</v>
      </c>
      <c r="E88" s="6">
        <f t="shared" si="18"/>
        <v>100</v>
      </c>
      <c r="F88" s="6">
        <f t="shared" si="19"/>
        <v>6.2377400286200271E-2</v>
      </c>
    </row>
    <row r="89" spans="1:6" x14ac:dyDescent="0.3">
      <c r="A89" s="4" t="s">
        <v>207</v>
      </c>
      <c r="B89" s="3">
        <f>SUM(B80:B88)</f>
        <v>48672692.130000003</v>
      </c>
      <c r="C89" s="3">
        <f>SUM(C80:C88)</f>
        <v>43414808.179999992</v>
      </c>
      <c r="D89" s="3">
        <f t="shared" si="20"/>
        <v>5257883.9500000104</v>
      </c>
      <c r="E89" s="115">
        <f t="shared" si="18"/>
        <v>89.197466341173978</v>
      </c>
      <c r="F89" s="115">
        <f t="shared" si="19"/>
        <v>100</v>
      </c>
    </row>
    <row r="90" spans="1:6" x14ac:dyDescent="0.3">
      <c r="A90" s="118" t="s">
        <v>379</v>
      </c>
      <c r="B90" s="121">
        <v>307941474.5</v>
      </c>
      <c r="C90" s="118"/>
      <c r="D90" s="118"/>
      <c r="E90" s="118"/>
      <c r="F90" s="119">
        <f>B89/B90*100</f>
        <v>15.805825509223508</v>
      </c>
    </row>
    <row r="92" spans="1:6" x14ac:dyDescent="0.3">
      <c r="A92" s="12">
        <v>2016</v>
      </c>
      <c r="B92" s="12" t="s">
        <v>365</v>
      </c>
      <c r="C92" s="12" t="s">
        <v>366</v>
      </c>
      <c r="D92" s="12" t="s">
        <v>367</v>
      </c>
    </row>
    <row r="93" spans="1:6" x14ac:dyDescent="0.3">
      <c r="A93" t="s">
        <v>370</v>
      </c>
      <c r="B93" s="1">
        <v>18711343.66</v>
      </c>
      <c r="C93" s="1">
        <v>16561517.25</v>
      </c>
      <c r="D93" s="1">
        <f>B93-C93</f>
        <v>2149826.41</v>
      </c>
      <c r="E93" s="6">
        <f>IF(B93&gt;0,C93/B93*100,"-")</f>
        <v>88.510571720213918</v>
      </c>
      <c r="F93" s="6">
        <f>B93/B$102*100</f>
        <v>39.847463101005822</v>
      </c>
    </row>
    <row r="94" spans="1:6" x14ac:dyDescent="0.3">
      <c r="A94" t="s">
        <v>371</v>
      </c>
      <c r="B94" s="1">
        <v>9813449.5899999999</v>
      </c>
      <c r="C94" s="1">
        <v>9791449.5899999999</v>
      </c>
      <c r="D94" s="1">
        <f>B94-C94</f>
        <v>22000</v>
      </c>
      <c r="E94" s="6">
        <f t="shared" ref="E94:E102" si="21">IF(B94&gt;0,C94/B94*100,"-")</f>
        <v>99.775817873233706</v>
      </c>
      <c r="F94" s="6">
        <f t="shared" ref="F94:F102" si="22">B94/B$102*100</f>
        <v>20.898609823892556</v>
      </c>
    </row>
    <row r="95" spans="1:6" x14ac:dyDescent="0.3">
      <c r="A95" t="s">
        <v>372</v>
      </c>
      <c r="B95" s="1">
        <v>7535423.5899999999</v>
      </c>
      <c r="C95" s="1">
        <v>6109487.7999999998</v>
      </c>
      <c r="D95" s="1">
        <f t="shared" ref="D95:D102" si="23">B95-C95</f>
        <v>1425935.79</v>
      </c>
      <c r="E95" s="114">
        <f t="shared" si="21"/>
        <v>81.076899354505954</v>
      </c>
      <c r="F95" s="6">
        <f t="shared" si="22"/>
        <v>16.047351751379988</v>
      </c>
    </row>
    <row r="96" spans="1:6" x14ac:dyDescent="0.3">
      <c r="A96" t="s">
        <v>373</v>
      </c>
      <c r="B96" s="1">
        <v>2664155.11</v>
      </c>
      <c r="C96" s="1">
        <v>2301819.48</v>
      </c>
      <c r="D96" s="1">
        <f t="shared" si="23"/>
        <v>362335.62999999989</v>
      </c>
      <c r="E96" s="6">
        <f t="shared" si="21"/>
        <v>86.399604563564623</v>
      </c>
      <c r="F96" s="6">
        <f t="shared" si="22"/>
        <v>5.6735542016698286</v>
      </c>
    </row>
    <row r="97" spans="1:9" x14ac:dyDescent="0.3">
      <c r="A97" t="s">
        <v>374</v>
      </c>
      <c r="B97" s="1">
        <v>962633.62</v>
      </c>
      <c r="C97" s="1">
        <v>864172.98</v>
      </c>
      <c r="D97" s="1">
        <f t="shared" si="23"/>
        <v>98460.640000000014</v>
      </c>
      <c r="E97" s="114">
        <f t="shared" si="21"/>
        <v>89.771743064614768</v>
      </c>
      <c r="F97" s="6">
        <f t="shared" si="22"/>
        <v>2.0500135292121326</v>
      </c>
    </row>
    <row r="98" spans="1:9" x14ac:dyDescent="0.3">
      <c r="A98" t="s">
        <v>375</v>
      </c>
      <c r="B98" s="1">
        <v>1030461.29</v>
      </c>
      <c r="C98" s="1">
        <v>901829.38</v>
      </c>
      <c r="D98" s="1">
        <f t="shared" si="23"/>
        <v>128631.91000000003</v>
      </c>
      <c r="E98" s="6">
        <f t="shared" si="21"/>
        <v>87.517055589734966</v>
      </c>
      <c r="F98" s="6">
        <f t="shared" si="22"/>
        <v>2.1944585582097025</v>
      </c>
    </row>
    <row r="99" spans="1:9" x14ac:dyDescent="0.3">
      <c r="A99" t="s">
        <v>376</v>
      </c>
      <c r="B99" s="1">
        <v>6057204.7999999998</v>
      </c>
      <c r="C99" s="1">
        <v>5870363.5300000003</v>
      </c>
      <c r="D99" s="1">
        <f t="shared" si="23"/>
        <v>186841.26999999955</v>
      </c>
      <c r="E99" s="6">
        <f t="shared" si="21"/>
        <v>96.915387936032815</v>
      </c>
      <c r="F99" s="6">
        <f t="shared" si="22"/>
        <v>12.899353950684445</v>
      </c>
    </row>
    <row r="100" spans="1:9" x14ac:dyDescent="0.3">
      <c r="A100" t="s">
        <v>377</v>
      </c>
      <c r="B100" s="1">
        <v>148871.71</v>
      </c>
      <c r="C100" s="1">
        <v>109309.62</v>
      </c>
      <c r="D100" s="1">
        <f t="shared" si="23"/>
        <v>39562.089999999997</v>
      </c>
      <c r="E100" s="114">
        <f t="shared" si="21"/>
        <v>73.425380819498884</v>
      </c>
      <c r="F100" s="6">
        <f t="shared" si="22"/>
        <v>0.31703548814028032</v>
      </c>
    </row>
    <row r="101" spans="1:9" x14ac:dyDescent="0.3">
      <c r="A101" t="s">
        <v>378</v>
      </c>
      <c r="B101" s="1">
        <v>33884.29</v>
      </c>
      <c r="C101" s="1">
        <v>33884.29</v>
      </c>
      <c r="D101" s="1">
        <f t="shared" si="23"/>
        <v>0</v>
      </c>
      <c r="E101" s="6">
        <f t="shared" si="21"/>
        <v>100</v>
      </c>
      <c r="F101" s="6">
        <f t="shared" si="22"/>
        <v>7.2159595805252857E-2</v>
      </c>
    </row>
    <row r="102" spans="1:9" x14ac:dyDescent="0.3">
      <c r="A102" s="4" t="s">
        <v>207</v>
      </c>
      <c r="B102" s="3">
        <f>SUM(B93:B101)</f>
        <v>46957427.659999996</v>
      </c>
      <c r="C102" s="3">
        <f>SUM(C93:C101)</f>
        <v>42543833.919999994</v>
      </c>
      <c r="D102" s="3">
        <f t="shared" si="23"/>
        <v>4413593.7400000021</v>
      </c>
      <c r="E102" s="115">
        <f t="shared" si="21"/>
        <v>90.600861333467691</v>
      </c>
      <c r="F102" s="115">
        <f t="shared" si="22"/>
        <v>100</v>
      </c>
    </row>
    <row r="103" spans="1:9" x14ac:dyDescent="0.3">
      <c r="A103" s="118" t="s">
        <v>379</v>
      </c>
      <c r="B103" s="121">
        <v>307296905.71999997</v>
      </c>
      <c r="C103" s="118"/>
      <c r="D103" s="118"/>
      <c r="E103" s="118"/>
      <c r="F103" s="119">
        <f>B102/B103*100</f>
        <v>15.280800680364234</v>
      </c>
    </row>
    <row r="105" spans="1:9" x14ac:dyDescent="0.3">
      <c r="B105" s="122">
        <v>2016</v>
      </c>
      <c r="C105" s="122">
        <v>2017</v>
      </c>
      <c r="D105" s="122">
        <v>2018</v>
      </c>
      <c r="E105" s="122">
        <v>2019</v>
      </c>
      <c r="F105" s="122">
        <v>2020</v>
      </c>
      <c r="G105" s="122">
        <v>2021</v>
      </c>
      <c r="H105" s="122">
        <v>2022</v>
      </c>
      <c r="I105" s="122">
        <v>2023</v>
      </c>
    </row>
    <row r="106" spans="1:9" x14ac:dyDescent="0.3">
      <c r="A106" t="s">
        <v>370</v>
      </c>
      <c r="B106" s="1">
        <f>B93</f>
        <v>18711343.66</v>
      </c>
      <c r="C106" s="1">
        <f>B80</f>
        <v>18794207.859999999</v>
      </c>
      <c r="D106" s="1">
        <f>B67</f>
        <v>18967515.07</v>
      </c>
      <c r="E106" s="1">
        <f>B54</f>
        <v>19346446.48</v>
      </c>
      <c r="F106" s="1">
        <f>B41</f>
        <v>20569508.75</v>
      </c>
      <c r="G106" s="1">
        <f>B28</f>
        <v>19430373.5</v>
      </c>
      <c r="H106" s="1">
        <f>B15</f>
        <v>26017176.140000001</v>
      </c>
      <c r="I106" s="1">
        <f>B2</f>
        <v>29737449.969999999</v>
      </c>
    </row>
    <row r="107" spans="1:9" x14ac:dyDescent="0.3">
      <c r="A107" t="s">
        <v>371</v>
      </c>
      <c r="B107" s="1">
        <f>B94</f>
        <v>9813449.5899999999</v>
      </c>
      <c r="C107" s="1">
        <f>B81</f>
        <v>10568502.880000001</v>
      </c>
      <c r="D107" s="1">
        <f>B68</f>
        <v>10298307.949999999</v>
      </c>
      <c r="E107" s="1">
        <f>B55</f>
        <v>12583758.050000001</v>
      </c>
      <c r="F107" s="1">
        <f>B42</f>
        <v>12682666.880000001</v>
      </c>
      <c r="G107" s="1">
        <f t="shared" ref="G107" si="24">B29</f>
        <v>12196338.92</v>
      </c>
      <c r="H107" s="1">
        <f t="shared" ref="H107:H114" si="25">B16</f>
        <v>11380345.43</v>
      </c>
      <c r="I107" s="1">
        <f>B3</f>
        <v>12415098.220000001</v>
      </c>
    </row>
    <row r="108" spans="1:9" x14ac:dyDescent="0.3">
      <c r="A108" t="s">
        <v>373</v>
      </c>
      <c r="B108" s="1">
        <f>B96</f>
        <v>2664155.11</v>
      </c>
      <c r="C108" s="1">
        <f>B83</f>
        <v>3092985.56</v>
      </c>
      <c r="D108" s="1">
        <f>B70</f>
        <v>5096684.42</v>
      </c>
      <c r="E108" s="1">
        <f>B57</f>
        <v>4529465.1500000004</v>
      </c>
      <c r="F108" s="1">
        <f>B44</f>
        <v>4774230.5199999996</v>
      </c>
      <c r="G108" s="1">
        <f>B31</f>
        <v>7278397.3700000001</v>
      </c>
      <c r="H108" s="1">
        <f>B18</f>
        <v>8621138.5099999998</v>
      </c>
      <c r="I108" s="1">
        <f>B5</f>
        <v>7992120.2999999998</v>
      </c>
    </row>
    <row r="109" spans="1:9" x14ac:dyDescent="0.3">
      <c r="A109" t="s">
        <v>376</v>
      </c>
      <c r="B109" s="1">
        <f>B99</f>
        <v>6057204.7999999998</v>
      </c>
      <c r="C109" s="1">
        <f>B86</f>
        <v>6215099.3499999996</v>
      </c>
      <c r="D109" s="1">
        <f>B73</f>
        <v>6213088.2999999998</v>
      </c>
      <c r="E109" s="1">
        <f>B60</f>
        <v>6205382.6799999997</v>
      </c>
      <c r="F109" s="1">
        <f>B47</f>
        <v>5524868.2300000004</v>
      </c>
      <c r="G109" s="1">
        <f>B34</f>
        <v>5836870</v>
      </c>
      <c r="H109" s="1">
        <f>B21</f>
        <v>6586509.7999999998</v>
      </c>
      <c r="I109" s="1">
        <f>B8</f>
        <v>6019567.1900000004</v>
      </c>
    </row>
    <row r="110" spans="1:9" x14ac:dyDescent="0.3">
      <c r="A110" t="s">
        <v>372</v>
      </c>
      <c r="B110" s="1">
        <f>B95</f>
        <v>7535423.5899999999</v>
      </c>
      <c r="C110" s="1">
        <f>B82</f>
        <v>7530866.9299999997</v>
      </c>
      <c r="D110" s="1">
        <f>B69</f>
        <v>6859551.54</v>
      </c>
      <c r="E110" s="1">
        <f>B56</f>
        <v>6272634.6399999997</v>
      </c>
      <c r="F110" s="1">
        <f>B43</f>
        <v>5620090</v>
      </c>
      <c r="G110" s="1">
        <f>B30</f>
        <v>5823981.9299999997</v>
      </c>
      <c r="H110" s="1">
        <f>B17</f>
        <v>6379360.3099999996</v>
      </c>
      <c r="I110" s="1">
        <f>B4</f>
        <v>7027996.0899999999</v>
      </c>
    </row>
    <row r="111" spans="1:9" x14ac:dyDescent="0.3">
      <c r="A111" t="s">
        <v>375</v>
      </c>
      <c r="B111" s="1">
        <f>B98</f>
        <v>1030461.29</v>
      </c>
      <c r="C111" s="1">
        <f>B85</f>
        <v>1246207.26</v>
      </c>
      <c r="D111" s="1">
        <f>B72</f>
        <v>1077835.17</v>
      </c>
      <c r="E111" s="1">
        <f>B59</f>
        <v>1185400.93</v>
      </c>
      <c r="F111" s="1">
        <f>B46</f>
        <v>1647543.97</v>
      </c>
      <c r="G111" s="1">
        <f>B33</f>
        <v>2285843.52</v>
      </c>
      <c r="H111" s="1">
        <f>B20</f>
        <v>4570241.37</v>
      </c>
      <c r="I111" s="1">
        <f>B7</f>
        <v>16520</v>
      </c>
    </row>
    <row r="112" spans="1:9" x14ac:dyDescent="0.3">
      <c r="A112" t="s">
        <v>374</v>
      </c>
      <c r="B112" s="1">
        <f>B97</f>
        <v>962633.62</v>
      </c>
      <c r="C112" s="1">
        <f>B84</f>
        <v>937962.81</v>
      </c>
      <c r="D112" s="1">
        <f>B71</f>
        <v>2139422.9900000002</v>
      </c>
      <c r="E112" s="1">
        <f>B58</f>
        <v>1090845.3500000001</v>
      </c>
      <c r="F112" s="1">
        <f>B45</f>
        <v>2636872.59</v>
      </c>
      <c r="G112" s="1">
        <f>B32</f>
        <v>2839150.49</v>
      </c>
      <c r="H112" s="1">
        <f>B19</f>
        <v>4201324.47</v>
      </c>
      <c r="I112" s="1">
        <f>B6</f>
        <v>1472328.77</v>
      </c>
    </row>
    <row r="113" spans="1:9" x14ac:dyDescent="0.3">
      <c r="A113" t="s">
        <v>377</v>
      </c>
      <c r="B113" s="1">
        <f>B100</f>
        <v>148871.71</v>
      </c>
      <c r="C113" s="1">
        <f>B87</f>
        <v>256498.72</v>
      </c>
      <c r="D113" s="1">
        <f>B74</f>
        <v>336397.44</v>
      </c>
      <c r="E113" s="1">
        <f>B61</f>
        <v>372292.97</v>
      </c>
      <c r="F113" s="1">
        <f>B48</f>
        <v>310766.18</v>
      </c>
      <c r="G113" s="1">
        <f>B35</f>
        <v>383999.92</v>
      </c>
      <c r="H113" s="1">
        <f t="shared" si="25"/>
        <v>392636.93</v>
      </c>
      <c r="I113" s="1">
        <f>B9</f>
        <v>425627.89</v>
      </c>
    </row>
    <row r="114" spans="1:9" x14ac:dyDescent="0.3">
      <c r="A114" t="s">
        <v>378</v>
      </c>
      <c r="B114" s="1">
        <f>B101</f>
        <v>33884.29</v>
      </c>
      <c r="C114" s="1">
        <f>B88</f>
        <v>30360.76</v>
      </c>
      <c r="D114" s="1">
        <f>B75</f>
        <v>28660.34</v>
      </c>
      <c r="E114" s="1">
        <f>B62</f>
        <v>26865.11</v>
      </c>
      <c r="F114" s="1">
        <f>B49</f>
        <v>22202.63</v>
      </c>
      <c r="G114" s="1">
        <f>B36</f>
        <v>18775.759999999998</v>
      </c>
      <c r="H114" s="1">
        <f t="shared" si="25"/>
        <v>19580.96</v>
      </c>
      <c r="I114" s="1">
        <f>B10</f>
        <v>154959.31</v>
      </c>
    </row>
    <row r="115" spans="1:9" x14ac:dyDescent="0.3">
      <c r="B115" s="3">
        <f t="shared" ref="B115:I115" si="26">SUM(B106:B114)</f>
        <v>46957427.659999996</v>
      </c>
      <c r="C115" s="3">
        <f t="shared" si="26"/>
        <v>48672692.129999995</v>
      </c>
      <c r="D115" s="3">
        <f t="shared" si="26"/>
        <v>51017463.219999999</v>
      </c>
      <c r="E115" s="3">
        <f t="shared" si="26"/>
        <v>51613091.359999999</v>
      </c>
      <c r="F115" s="3">
        <f t="shared" si="26"/>
        <v>53788749.750000015</v>
      </c>
      <c r="G115" s="3">
        <f t="shared" si="26"/>
        <v>56093731.410000004</v>
      </c>
      <c r="H115" s="3">
        <f t="shared" ref="H115" si="27">SUM(H106:H114)</f>
        <v>68168313.920000002</v>
      </c>
      <c r="I115" s="3">
        <f t="shared" si="26"/>
        <v>65261667.740000002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H28" sqref="H28"/>
    </sheetView>
  </sheetViews>
  <sheetFormatPr defaultRowHeight="14.4" x14ac:dyDescent="0.3"/>
  <cols>
    <col min="1" max="1" width="40.6640625" bestFit="1" customWidth="1"/>
    <col min="2" max="9" width="12.5546875" bestFit="1" customWidth="1"/>
  </cols>
  <sheetData>
    <row r="1" spans="1:10" x14ac:dyDescent="0.3">
      <c r="B1" s="12">
        <v>2016</v>
      </c>
      <c r="C1" s="12">
        <v>2017</v>
      </c>
      <c r="D1" s="12">
        <v>2018</v>
      </c>
      <c r="E1" s="12">
        <v>2019</v>
      </c>
      <c r="F1" s="12">
        <v>2020</v>
      </c>
      <c r="G1" s="12">
        <v>2021</v>
      </c>
      <c r="H1" s="12">
        <v>2022</v>
      </c>
      <c r="I1" s="12">
        <v>2023</v>
      </c>
    </row>
    <row r="2" spans="1:10" x14ac:dyDescent="0.3">
      <c r="A2" s="5" t="s">
        <v>39</v>
      </c>
      <c r="B2" s="1">
        <v>13797283.710000001</v>
      </c>
      <c r="C2" s="1">
        <v>13848602.66</v>
      </c>
      <c r="D2" s="1">
        <v>14607195.6</v>
      </c>
      <c r="E2" s="1">
        <v>13979117.789999999</v>
      </c>
      <c r="F2" s="1">
        <v>13486066.66</v>
      </c>
      <c r="G2" s="1">
        <v>14026641.85</v>
      </c>
      <c r="H2" s="1">
        <v>14713274.779999999</v>
      </c>
      <c r="I2" s="1">
        <v>14624437.390000001</v>
      </c>
      <c r="J2" s="6">
        <f t="shared" ref="J2:J17" si="0">I2/I$15*100</f>
        <v>22.408923793157115</v>
      </c>
    </row>
    <row r="3" spans="1:10" x14ac:dyDescent="0.3">
      <c r="A3" s="5" t="s">
        <v>40</v>
      </c>
      <c r="B3" s="1">
        <v>340950.26</v>
      </c>
      <c r="C3" s="1">
        <v>348698.72</v>
      </c>
      <c r="D3" s="1">
        <v>335372.65000000002</v>
      </c>
      <c r="E3" s="1">
        <v>360738.61</v>
      </c>
      <c r="F3" s="1">
        <v>312221.01</v>
      </c>
      <c r="G3" s="1">
        <v>323463.93</v>
      </c>
      <c r="H3" s="1">
        <v>390510.35</v>
      </c>
      <c r="I3" s="1">
        <v>338114.27</v>
      </c>
      <c r="J3" s="6">
        <f t="shared" si="0"/>
        <v>0.51809014649615515</v>
      </c>
    </row>
    <row r="4" spans="1:10" x14ac:dyDescent="0.3">
      <c r="A4" s="5" t="s">
        <v>41</v>
      </c>
      <c r="B4" s="1">
        <v>19449840.27</v>
      </c>
      <c r="C4" s="1">
        <v>20252836.66</v>
      </c>
      <c r="D4" s="1">
        <v>22172334.98</v>
      </c>
      <c r="E4" s="1">
        <v>23388149.460000001</v>
      </c>
      <c r="F4" s="1">
        <v>22176699.120000001</v>
      </c>
      <c r="G4" s="1">
        <v>22950961.68</v>
      </c>
      <c r="H4" s="1">
        <v>29775280.309999999</v>
      </c>
      <c r="I4" s="1">
        <v>33606867.810000002</v>
      </c>
      <c r="J4" s="6">
        <f t="shared" si="0"/>
        <v>51.49557002418095</v>
      </c>
    </row>
    <row r="5" spans="1:10" x14ac:dyDescent="0.3">
      <c r="A5" s="5" t="s">
        <v>42</v>
      </c>
      <c r="B5" s="1">
        <v>12420625.300000001</v>
      </c>
      <c r="C5" s="1">
        <v>13127683.380000001</v>
      </c>
      <c r="D5" s="1">
        <v>13536341.699999999</v>
      </c>
      <c r="E5" s="1">
        <v>13107793.470000001</v>
      </c>
      <c r="F5" s="1">
        <v>16772135.689999999</v>
      </c>
      <c r="G5" s="1">
        <v>17808617.690000001</v>
      </c>
      <c r="H5" s="1">
        <v>21633717.440000001</v>
      </c>
      <c r="I5" s="1">
        <v>15296235.720000001</v>
      </c>
      <c r="J5" s="6">
        <f t="shared" si="0"/>
        <v>23.438315706150238</v>
      </c>
    </row>
    <row r="6" spans="1:10" x14ac:dyDescent="0.3">
      <c r="A6" s="5" t="s">
        <v>43</v>
      </c>
      <c r="B6" s="1">
        <v>161391.76999999999</v>
      </c>
      <c r="C6" s="1">
        <v>146210.43</v>
      </c>
      <c r="D6" s="1">
        <v>131918.46</v>
      </c>
      <c r="E6" s="1">
        <v>117715.03</v>
      </c>
      <c r="F6" s="1">
        <v>97045.78</v>
      </c>
      <c r="G6" s="1">
        <v>81884.23</v>
      </c>
      <c r="H6" s="1">
        <v>84721.39</v>
      </c>
      <c r="I6" s="1">
        <v>605984.75</v>
      </c>
      <c r="J6" s="6">
        <f t="shared" si="0"/>
        <v>0.92854622167214629</v>
      </c>
    </row>
    <row r="7" spans="1:10" x14ac:dyDescent="0.3">
      <c r="A7" s="5" t="s">
        <v>44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6">
        <f t="shared" si="0"/>
        <v>0</v>
      </c>
    </row>
    <row r="8" spans="1:10" x14ac:dyDescent="0.3">
      <c r="A8" s="5" t="s">
        <v>45</v>
      </c>
      <c r="B8" s="1">
        <v>14463</v>
      </c>
      <c r="C8" s="1">
        <v>8304.5</v>
      </c>
      <c r="D8" s="1">
        <v>13204.63</v>
      </c>
      <c r="E8" s="1">
        <v>18877.54</v>
      </c>
      <c r="F8" s="1">
        <v>22417.77</v>
      </c>
      <c r="G8" s="1">
        <v>96763.95</v>
      </c>
      <c r="H8" s="1">
        <v>39815.47</v>
      </c>
      <c r="I8" s="1">
        <v>290883.87</v>
      </c>
      <c r="J8" s="6">
        <f t="shared" si="0"/>
        <v>0.44571933276187531</v>
      </c>
    </row>
    <row r="9" spans="1:10" x14ac:dyDescent="0.3">
      <c r="A9" s="5" t="s">
        <v>46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6">
        <f t="shared" si="0"/>
        <v>0</v>
      </c>
    </row>
    <row r="10" spans="1:10" x14ac:dyDescent="0.3">
      <c r="A10" s="5" t="s">
        <v>47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95">
        <v>0</v>
      </c>
      <c r="H10" s="95">
        <v>0</v>
      </c>
      <c r="I10" s="95">
        <v>0</v>
      </c>
      <c r="J10" s="6">
        <f t="shared" si="0"/>
        <v>0</v>
      </c>
    </row>
    <row r="11" spans="1:10" x14ac:dyDescent="0.3">
      <c r="A11" s="5" t="s">
        <v>48</v>
      </c>
      <c r="B11" s="1">
        <v>676412.89</v>
      </c>
      <c r="C11" s="1">
        <v>921531.31</v>
      </c>
      <c r="D11" s="1">
        <v>221095.2</v>
      </c>
      <c r="E11" s="1">
        <v>241128.36</v>
      </c>
      <c r="F11" s="1">
        <v>636274.84</v>
      </c>
      <c r="G11" s="95">
        <v>607429.80000000005</v>
      </c>
      <c r="H11" s="95">
        <v>1381354.96</v>
      </c>
      <c r="I11" s="95">
        <v>437120.58</v>
      </c>
      <c r="J11" s="6">
        <f t="shared" si="0"/>
        <v>0.66979682735272994</v>
      </c>
    </row>
    <row r="12" spans="1:10" x14ac:dyDescent="0.3">
      <c r="A12" s="5" t="s">
        <v>49</v>
      </c>
      <c r="B12" s="1">
        <v>96460.46</v>
      </c>
      <c r="C12" s="1">
        <v>18824.47</v>
      </c>
      <c r="D12" s="1">
        <v>0</v>
      </c>
      <c r="E12" s="1">
        <v>399571.1</v>
      </c>
      <c r="F12" s="1">
        <v>285888.88</v>
      </c>
      <c r="G12" s="95">
        <v>197968.28</v>
      </c>
      <c r="H12" s="95">
        <v>149639.22</v>
      </c>
      <c r="I12" s="95">
        <v>62023.35</v>
      </c>
      <c r="J12" s="6">
        <f t="shared" si="0"/>
        <v>9.5037948228811231E-2</v>
      </c>
    </row>
    <row r="13" spans="1:10" x14ac:dyDescent="0.3">
      <c r="A13" s="5" t="s">
        <v>50</v>
      </c>
      <c r="B13" s="1">
        <v>0</v>
      </c>
      <c r="C13" s="123">
        <v>0</v>
      </c>
      <c r="D13" s="1">
        <v>0</v>
      </c>
      <c r="E13" s="1">
        <v>0</v>
      </c>
      <c r="F13" s="1">
        <v>0</v>
      </c>
      <c r="G13" s="95">
        <v>0</v>
      </c>
      <c r="H13" s="95">
        <v>0</v>
      </c>
      <c r="I13" s="95">
        <v>0</v>
      </c>
      <c r="J13" s="6">
        <f t="shared" si="0"/>
        <v>0</v>
      </c>
    </row>
    <row r="14" spans="1:10" x14ac:dyDescent="0.3">
      <c r="A14" s="5" t="s">
        <v>51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95">
        <v>0</v>
      </c>
      <c r="H14" s="95">
        <v>0</v>
      </c>
      <c r="I14" s="95">
        <v>0</v>
      </c>
      <c r="J14" s="6">
        <f t="shared" si="0"/>
        <v>0</v>
      </c>
    </row>
    <row r="15" spans="1:10" x14ac:dyDescent="0.3">
      <c r="A15" s="124" t="s">
        <v>380</v>
      </c>
      <c r="B15" s="3">
        <f t="shared" ref="B15:H15" si="1">SUM(B2:B14)</f>
        <v>46957427.660000011</v>
      </c>
      <c r="C15" s="3">
        <f t="shared" si="1"/>
        <v>48672692.130000003</v>
      </c>
      <c r="D15" s="3">
        <f t="shared" si="1"/>
        <v>51017463.220000014</v>
      </c>
      <c r="E15" s="3">
        <f t="shared" si="1"/>
        <v>51613091.359999999</v>
      </c>
      <c r="F15" s="3">
        <f t="shared" si="1"/>
        <v>53788749.750000007</v>
      </c>
      <c r="G15" s="3">
        <f t="shared" ref="G15" si="2">SUM(G2:G14)</f>
        <v>56093731.410000004</v>
      </c>
      <c r="H15" s="3">
        <f t="shared" si="1"/>
        <v>68168313.919999987</v>
      </c>
      <c r="I15" s="3">
        <f t="shared" ref="I15" si="3">SUM(I2:I14)</f>
        <v>65261667.739999995</v>
      </c>
      <c r="J15" s="6">
        <f t="shared" si="0"/>
        <v>100</v>
      </c>
    </row>
    <row r="16" spans="1:10" x14ac:dyDescent="0.3">
      <c r="A16" s="124" t="s">
        <v>381</v>
      </c>
      <c r="B16" s="3">
        <f t="shared" ref="B16:H16" si="4">SUM(B2:B9)</f>
        <v>46184554.31000001</v>
      </c>
      <c r="C16" s="3">
        <f t="shared" si="4"/>
        <v>47732336.350000001</v>
      </c>
      <c r="D16" s="3">
        <f t="shared" si="4"/>
        <v>50796368.020000011</v>
      </c>
      <c r="E16" s="3">
        <f t="shared" si="4"/>
        <v>50972391.899999999</v>
      </c>
      <c r="F16" s="3">
        <f t="shared" si="4"/>
        <v>52866586.030000001</v>
      </c>
      <c r="G16" s="3">
        <f t="shared" si="4"/>
        <v>55288333.330000006</v>
      </c>
      <c r="H16" s="3">
        <f t="shared" si="4"/>
        <v>66637319.739999995</v>
      </c>
      <c r="I16" s="3">
        <f t="shared" ref="I16" si="5">SUM(I2:I9)</f>
        <v>64762523.809999995</v>
      </c>
      <c r="J16" s="6">
        <f t="shared" si="0"/>
        <v>99.235165224418466</v>
      </c>
    </row>
    <row r="17" spans="1:10" x14ac:dyDescent="0.3">
      <c r="A17" s="124" t="s">
        <v>382</v>
      </c>
      <c r="B17" s="3">
        <f t="shared" ref="B17:H17" si="6">SUM(B10:B14)</f>
        <v>772873.35</v>
      </c>
      <c r="C17" s="3">
        <f t="shared" si="6"/>
        <v>940355.78</v>
      </c>
      <c r="D17" s="3">
        <f t="shared" si="6"/>
        <v>221095.2</v>
      </c>
      <c r="E17" s="3">
        <f t="shared" si="6"/>
        <v>640699.46</v>
      </c>
      <c r="F17" s="3">
        <f t="shared" si="6"/>
        <v>922163.72</v>
      </c>
      <c r="G17" s="3">
        <f t="shared" si="6"/>
        <v>805398.08000000007</v>
      </c>
      <c r="H17" s="3">
        <f t="shared" si="6"/>
        <v>1530994.18</v>
      </c>
      <c r="I17" s="3">
        <f t="shared" ref="I17" si="7">SUM(I10:I14)</f>
        <v>499143.93</v>
      </c>
      <c r="J17" s="6">
        <f t="shared" si="0"/>
        <v>0.76483477558154123</v>
      </c>
    </row>
    <row r="18" spans="1:10" x14ac:dyDescent="0.3">
      <c r="A18" s="125" t="s">
        <v>383</v>
      </c>
      <c r="B18" s="126">
        <f>B16/B15*100</f>
        <v>98.354097767884411</v>
      </c>
      <c r="C18" s="126">
        <f t="shared" ref="C18:H18" si="8">C16/C15*100</f>
        <v>98.068001298369936</v>
      </c>
      <c r="D18" s="126">
        <f t="shared" si="8"/>
        <v>99.566628393406035</v>
      </c>
      <c r="E18" s="126">
        <f t="shared" si="8"/>
        <v>98.758649321097352</v>
      </c>
      <c r="F18" s="126">
        <f t="shared" si="8"/>
        <v>98.285582534849667</v>
      </c>
      <c r="G18" s="126">
        <f t="shared" si="8"/>
        <v>98.56419236204276</v>
      </c>
      <c r="H18" s="126">
        <f t="shared" si="8"/>
        <v>97.754097040163387</v>
      </c>
      <c r="I18" s="126">
        <f t="shared" ref="I18" si="9">I16/I15*100</f>
        <v>99.235165224418466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opLeftCell="B1" workbookViewId="0">
      <selection activeCell="J2" sqref="J2:J23"/>
    </sheetView>
  </sheetViews>
  <sheetFormatPr defaultRowHeight="14.4" x14ac:dyDescent="0.3"/>
  <cols>
    <col min="1" max="1" width="36.44140625" bestFit="1" customWidth="1"/>
    <col min="2" max="10" width="13.5546875" bestFit="1" customWidth="1"/>
    <col min="13" max="13" width="10" bestFit="1" customWidth="1"/>
  </cols>
  <sheetData>
    <row r="1" spans="1:10" x14ac:dyDescent="0.3">
      <c r="A1" s="41"/>
      <c r="B1" s="102">
        <v>2015</v>
      </c>
      <c r="C1" s="102">
        <v>2016</v>
      </c>
      <c r="D1" s="102">
        <v>2017</v>
      </c>
      <c r="E1" s="69">
        <v>2018</v>
      </c>
      <c r="F1" s="102">
        <v>2019</v>
      </c>
      <c r="G1" s="69">
        <v>2020</v>
      </c>
      <c r="H1" s="102">
        <v>2021</v>
      </c>
      <c r="I1" s="69">
        <v>2022</v>
      </c>
      <c r="J1" s="69">
        <v>2023</v>
      </c>
    </row>
    <row r="2" spans="1:10" x14ac:dyDescent="0.3">
      <c r="A2" t="s">
        <v>5</v>
      </c>
      <c r="B2" s="1">
        <v>88631960.939999998</v>
      </c>
      <c r="C2" s="1">
        <v>107780041.41</v>
      </c>
      <c r="D2" s="95">
        <v>123622385.40000001</v>
      </c>
      <c r="E2" s="1">
        <v>123643389.31999999</v>
      </c>
      <c r="F2" s="1">
        <v>152143079.91999999</v>
      </c>
      <c r="G2" s="1">
        <v>206997527.90000001</v>
      </c>
      <c r="H2" s="1">
        <v>191427811.75999999</v>
      </c>
      <c r="I2" s="1">
        <v>206423957.58000001</v>
      </c>
      <c r="J2" s="1">
        <v>237535370.22</v>
      </c>
    </row>
    <row r="3" spans="1:10" x14ac:dyDescent="0.3">
      <c r="A3" t="s">
        <v>6</v>
      </c>
      <c r="B3" s="1">
        <v>115654008.51000001</v>
      </c>
      <c r="C3" s="1">
        <v>117328429.76000001</v>
      </c>
      <c r="D3" s="95">
        <v>120653864.03</v>
      </c>
      <c r="E3" s="1">
        <v>128597668.11</v>
      </c>
      <c r="F3" s="1">
        <v>132857915.34</v>
      </c>
      <c r="G3" s="1">
        <v>121421670.34</v>
      </c>
      <c r="H3" s="1">
        <v>145748674.94999999</v>
      </c>
      <c r="I3" s="1">
        <v>176792264.25999999</v>
      </c>
      <c r="J3" s="1">
        <v>189000362.99000001</v>
      </c>
    </row>
    <row r="4" spans="1:10" x14ac:dyDescent="0.3">
      <c r="A4" t="s">
        <v>7</v>
      </c>
      <c r="B4" s="1">
        <v>56224096.310000002</v>
      </c>
      <c r="C4" s="1">
        <v>54934550.159999996</v>
      </c>
      <c r="D4" s="95">
        <v>65198794.5</v>
      </c>
      <c r="E4" s="1">
        <v>59392957.149999999</v>
      </c>
      <c r="F4" s="1">
        <v>69109456.920000002</v>
      </c>
      <c r="G4" s="1">
        <v>82721509.359999999</v>
      </c>
      <c r="H4" s="1">
        <v>83171847.870000005</v>
      </c>
      <c r="I4" s="1">
        <v>108855900.64</v>
      </c>
      <c r="J4" s="1">
        <v>117319608.56</v>
      </c>
    </row>
    <row r="5" spans="1:10" x14ac:dyDescent="0.3">
      <c r="A5" t="s">
        <v>8</v>
      </c>
      <c r="B5" s="1">
        <v>0</v>
      </c>
      <c r="C5" s="1">
        <v>7809906.2599999998</v>
      </c>
      <c r="D5" s="95">
        <v>7280892.6600000001</v>
      </c>
      <c r="E5" s="1">
        <v>5818218.2000000002</v>
      </c>
      <c r="F5" s="1">
        <v>7705844.7199999997</v>
      </c>
      <c r="G5" s="1">
        <v>12990968.119999999</v>
      </c>
      <c r="H5" s="1">
        <v>11854195.58</v>
      </c>
      <c r="I5" s="1">
        <v>8789520.5500000007</v>
      </c>
      <c r="J5" s="1">
        <v>11181073.470000001</v>
      </c>
    </row>
    <row r="6" spans="1:10" x14ac:dyDescent="0.3">
      <c r="A6" t="s">
        <v>9</v>
      </c>
      <c r="B6" s="1">
        <v>40443336.649999999</v>
      </c>
      <c r="C6" s="1">
        <v>42767841.109999999</v>
      </c>
      <c r="D6" s="95">
        <v>46059303.189999998</v>
      </c>
      <c r="E6" s="1">
        <v>59794491.409999996</v>
      </c>
      <c r="F6" s="1">
        <v>70362202.739999995</v>
      </c>
      <c r="G6" s="1">
        <v>64954305.219999999</v>
      </c>
      <c r="H6" s="1">
        <v>57819054.850000001</v>
      </c>
      <c r="I6" s="1">
        <v>57824941.350000001</v>
      </c>
      <c r="J6" s="1">
        <v>65943916.5</v>
      </c>
    </row>
    <row r="7" spans="1:10" x14ac:dyDescent="0.3">
      <c r="A7" s="4" t="s">
        <v>0</v>
      </c>
      <c r="B7" s="3">
        <f t="shared" ref="B7" si="0">B2+B3-B4-B5-B6</f>
        <v>107618536.48999998</v>
      </c>
      <c r="C7" s="3">
        <f t="shared" ref="C7:D7" si="1">C2+C3-C4-C5-C6</f>
        <v>119596173.64000003</v>
      </c>
      <c r="D7" s="3">
        <f t="shared" si="1"/>
        <v>125737259.08000001</v>
      </c>
      <c r="E7" s="3">
        <f t="shared" ref="E7:F7" si="2">E2+E3-E4-E5-E6</f>
        <v>127235390.67000002</v>
      </c>
      <c r="F7" s="3">
        <f t="shared" si="2"/>
        <v>137823490.88</v>
      </c>
      <c r="G7" s="3">
        <f t="shared" ref="G7:J7" si="3">G2+G3-G4-G5-G6</f>
        <v>167752415.53999999</v>
      </c>
      <c r="H7" s="3">
        <f t="shared" ref="H7:I7" si="4">H2+H3-H4-H5-H6</f>
        <v>184331388.40999997</v>
      </c>
      <c r="I7" s="3">
        <f t="shared" si="4"/>
        <v>207745859.30000004</v>
      </c>
      <c r="J7" s="3">
        <f t="shared" si="3"/>
        <v>232091134.68000001</v>
      </c>
    </row>
    <row r="8" spans="1:10" x14ac:dyDescent="0.3">
      <c r="A8" t="s">
        <v>10</v>
      </c>
      <c r="B8" s="1">
        <v>26579145.109999999</v>
      </c>
      <c r="C8" s="1">
        <f>31537197.43+5123454.14</f>
        <v>36660651.57</v>
      </c>
      <c r="D8" s="1">
        <f>39045665.82+5123454.14</f>
        <v>44169119.960000001</v>
      </c>
      <c r="E8" s="1">
        <v>47750754.659999996</v>
      </c>
      <c r="F8" s="1">
        <v>54162855.689999998</v>
      </c>
      <c r="G8" s="1">
        <v>68103509.069999993</v>
      </c>
      <c r="H8" s="1">
        <v>68904226.200000003</v>
      </c>
      <c r="I8" s="1">
        <v>69779139.379999995</v>
      </c>
      <c r="J8" s="1">
        <v>75764524.709999993</v>
      </c>
    </row>
    <row r="9" spans="1:10" x14ac:dyDescent="0.3">
      <c r="A9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</row>
    <row r="10" spans="1:10" x14ac:dyDescent="0.3">
      <c r="A10" t="s">
        <v>12</v>
      </c>
      <c r="B10" s="1">
        <v>0</v>
      </c>
      <c r="C10" s="1">
        <v>233000</v>
      </c>
      <c r="D10" s="1">
        <v>233000</v>
      </c>
      <c r="E10" s="1">
        <v>500000</v>
      </c>
      <c r="F10" s="1">
        <v>500000</v>
      </c>
      <c r="G10" s="1">
        <v>12013481.93</v>
      </c>
      <c r="H10" s="1">
        <v>12013481.93</v>
      </c>
      <c r="I10" s="1">
        <v>12013481.93</v>
      </c>
      <c r="J10" s="1">
        <v>12013481.93</v>
      </c>
    </row>
    <row r="11" spans="1:10" x14ac:dyDescent="0.3">
      <c r="A11" t="s">
        <v>13</v>
      </c>
      <c r="B11" s="1">
        <v>2950000</v>
      </c>
      <c r="C11" s="1">
        <v>2950000</v>
      </c>
      <c r="D11" s="1">
        <v>2767257.14</v>
      </c>
      <c r="E11" s="1">
        <v>8531617.7100000009</v>
      </c>
      <c r="F11" s="1">
        <v>8358859.2800000003</v>
      </c>
      <c r="G11" s="1">
        <v>8858859.2799999993</v>
      </c>
      <c r="H11" s="1">
        <v>10123502.34</v>
      </c>
      <c r="I11" s="1">
        <v>10139317.35</v>
      </c>
      <c r="J11" s="1">
        <v>10497030</v>
      </c>
    </row>
    <row r="12" spans="1:10" x14ac:dyDescent="0.3">
      <c r="A12" t="s">
        <v>14</v>
      </c>
      <c r="B12" s="1">
        <v>5148454.1100000003</v>
      </c>
      <c r="C12" s="1">
        <v>33000</v>
      </c>
      <c r="D12" s="1">
        <v>1308000</v>
      </c>
      <c r="E12" s="1">
        <v>236139</v>
      </c>
      <c r="F12" s="1">
        <v>308139</v>
      </c>
      <c r="G12" s="1">
        <v>424139</v>
      </c>
      <c r="H12" s="1">
        <v>14959154.16</v>
      </c>
      <c r="I12" s="1">
        <v>15935754.16</v>
      </c>
      <c r="J12" s="1">
        <v>17414549.16</v>
      </c>
    </row>
    <row r="13" spans="1:10" x14ac:dyDescent="0.3">
      <c r="A13" s="4" t="s">
        <v>1</v>
      </c>
      <c r="B13" s="3">
        <f t="shared" ref="B13" si="5">SUM(B8:B12)</f>
        <v>34677599.219999999</v>
      </c>
      <c r="C13" s="3">
        <f t="shared" ref="C13:D13" si="6">SUM(C8:C12)</f>
        <v>39876651.57</v>
      </c>
      <c r="D13" s="3">
        <f t="shared" si="6"/>
        <v>48477377.100000001</v>
      </c>
      <c r="E13" s="3">
        <f t="shared" ref="E13:J13" si="7">SUM(E8:E12)</f>
        <v>57018511.369999997</v>
      </c>
      <c r="F13" s="3">
        <f t="shared" si="7"/>
        <v>63329853.969999999</v>
      </c>
      <c r="G13" s="3">
        <f t="shared" si="7"/>
        <v>89399989.280000001</v>
      </c>
      <c r="H13" s="3">
        <f t="shared" si="7"/>
        <v>106000364.63</v>
      </c>
      <c r="I13" s="3">
        <f t="shared" si="7"/>
        <v>107867692.81999999</v>
      </c>
      <c r="J13" s="3">
        <f t="shared" si="7"/>
        <v>115689585.79999998</v>
      </c>
    </row>
    <row r="14" spans="1:10" x14ac:dyDescent="0.3">
      <c r="A14" t="s">
        <v>16</v>
      </c>
      <c r="B14" s="1">
        <v>3972517.65</v>
      </c>
      <c r="C14" s="1">
        <v>6745631.1900000004</v>
      </c>
      <c r="D14" s="1">
        <v>5417209.7400000002</v>
      </c>
      <c r="E14" s="1">
        <v>4862099.6500000004</v>
      </c>
      <c r="F14" s="1">
        <v>12005484.859999999</v>
      </c>
      <c r="G14" s="1">
        <v>19843828.760000002</v>
      </c>
      <c r="H14" s="1">
        <v>22464175.18</v>
      </c>
      <c r="I14" s="1">
        <v>24439342.219999999</v>
      </c>
      <c r="J14" s="1">
        <v>31967082.600000001</v>
      </c>
    </row>
    <row r="15" spans="1:10" x14ac:dyDescent="0.3">
      <c r="A15" t="s">
        <v>15</v>
      </c>
      <c r="B15" s="1">
        <v>4722228.32</v>
      </c>
      <c r="C15" s="1">
        <v>2963251.26</v>
      </c>
      <c r="D15" s="1">
        <v>3054435.46</v>
      </c>
      <c r="E15" s="1">
        <v>4289978.62</v>
      </c>
      <c r="F15" s="1">
        <v>3651764.58</v>
      </c>
      <c r="G15" s="1">
        <v>9197046.5099999998</v>
      </c>
      <c r="H15" s="1">
        <v>9426563.2400000002</v>
      </c>
      <c r="I15" s="1">
        <v>14558735.039999999</v>
      </c>
      <c r="J15" s="1">
        <v>15895793.17</v>
      </c>
    </row>
    <row r="16" spans="1:10" x14ac:dyDescent="0.3">
      <c r="A16" t="s">
        <v>17</v>
      </c>
      <c r="B16" s="1">
        <v>1390640.21</v>
      </c>
      <c r="C16" s="1">
        <v>833380.14</v>
      </c>
      <c r="D16" s="1">
        <v>833380.14</v>
      </c>
      <c r="E16" s="1">
        <v>833380.14</v>
      </c>
      <c r="F16" s="1">
        <v>833380.14</v>
      </c>
      <c r="G16" s="1">
        <v>833380.14</v>
      </c>
      <c r="H16" s="1">
        <v>833380.14</v>
      </c>
      <c r="I16" s="1">
        <v>0</v>
      </c>
      <c r="J16" s="1">
        <v>0</v>
      </c>
    </row>
    <row r="17" spans="1:10" x14ac:dyDescent="0.3">
      <c r="A17" t="s">
        <v>18</v>
      </c>
      <c r="B17" s="1">
        <v>20923708.07</v>
      </c>
      <c r="C17" s="1">
        <v>28658975.109999999</v>
      </c>
      <c r="D17" s="1">
        <v>7406193.6600000001</v>
      </c>
      <c r="E17" s="1">
        <v>9561087.5700000003</v>
      </c>
      <c r="F17" s="1">
        <v>3849142.02</v>
      </c>
      <c r="G17" s="1">
        <v>6217298.6600000001</v>
      </c>
      <c r="H17" s="1">
        <v>5336400.83</v>
      </c>
      <c r="I17" s="1">
        <v>2844385.01</v>
      </c>
      <c r="J17" s="1">
        <v>15668728.710000001</v>
      </c>
    </row>
    <row r="18" spans="1:10" x14ac:dyDescent="0.3">
      <c r="A18" t="s">
        <v>19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</row>
    <row r="19" spans="1:10" x14ac:dyDescent="0.3">
      <c r="A19" s="4" t="s">
        <v>2</v>
      </c>
      <c r="B19" s="3">
        <f t="shared" ref="B19" si="8">SUM(B14:B18)</f>
        <v>31009094.25</v>
      </c>
      <c r="C19" s="3">
        <f t="shared" ref="C19:D19" si="9">SUM(C14:C18)</f>
        <v>39201237.700000003</v>
      </c>
      <c r="D19" s="3">
        <f t="shared" si="9"/>
        <v>16711219</v>
      </c>
      <c r="E19" s="3">
        <f t="shared" ref="E19:J19" si="10">SUM(E14:E18)</f>
        <v>19546545.98</v>
      </c>
      <c r="F19" s="3">
        <f t="shared" si="10"/>
        <v>20339771.600000001</v>
      </c>
      <c r="G19" s="3">
        <f t="shared" si="10"/>
        <v>36091554.070000008</v>
      </c>
      <c r="H19" s="3">
        <f t="shared" si="10"/>
        <v>38060519.390000001</v>
      </c>
      <c r="I19" s="3">
        <f t="shared" si="10"/>
        <v>41842462.269999996</v>
      </c>
      <c r="J19" s="3">
        <f t="shared" si="10"/>
        <v>63531604.480000004</v>
      </c>
    </row>
    <row r="20" spans="1:10" x14ac:dyDescent="0.3">
      <c r="A20" s="4" t="s">
        <v>3</v>
      </c>
      <c r="B20" s="3">
        <v>15525592.060000001</v>
      </c>
      <c r="C20" s="3">
        <v>27190200.57</v>
      </c>
      <c r="D20" s="3">
        <v>45358687.670000002</v>
      </c>
      <c r="E20" s="3">
        <v>32630194.75</v>
      </c>
      <c r="F20" s="3">
        <v>18713413.91</v>
      </c>
      <c r="G20" s="3">
        <v>10877309.630000001</v>
      </c>
      <c r="H20" s="3">
        <v>6839830.8700000001</v>
      </c>
      <c r="I20" s="3">
        <v>10553125.01</v>
      </c>
      <c r="J20" s="3">
        <v>9873782.2100000009</v>
      </c>
    </row>
    <row r="21" spans="1:10" x14ac:dyDescent="0.3">
      <c r="A21" s="70" t="s">
        <v>4</v>
      </c>
      <c r="B21" s="37">
        <f t="shared" ref="B21:C21" si="11">B7-B13-B19-B20</f>
        <v>26406250.959999979</v>
      </c>
      <c r="C21" s="37">
        <f t="shared" si="11"/>
        <v>13328083.800000019</v>
      </c>
      <c r="D21" s="37">
        <f t="shared" ref="D21:J21" si="12">D7-D13-D19-D20</f>
        <v>15189975.310000017</v>
      </c>
      <c r="E21" s="37">
        <f t="shared" si="12"/>
        <v>18040138.570000008</v>
      </c>
      <c r="F21" s="37">
        <f t="shared" si="12"/>
        <v>35440451.399999991</v>
      </c>
      <c r="G21" s="37">
        <f t="shared" si="12"/>
        <v>31383562.55999998</v>
      </c>
      <c r="H21" s="37">
        <f t="shared" si="12"/>
        <v>33430673.51999997</v>
      </c>
      <c r="I21" s="37">
        <f t="shared" ref="I21" si="13">I7-I13-I19-I20</f>
        <v>47482579.200000055</v>
      </c>
      <c r="J21" s="37">
        <f t="shared" si="12"/>
        <v>42996162.19000002</v>
      </c>
    </row>
    <row r="22" spans="1:10" x14ac:dyDescent="0.3">
      <c r="A22" t="s">
        <v>356</v>
      </c>
      <c r="B22" s="1"/>
      <c r="C22" s="1">
        <v>-2933555.2000000002</v>
      </c>
      <c r="D22" s="1">
        <v>-8567942.2200000007</v>
      </c>
      <c r="E22" s="1">
        <v>-15978783.949999999</v>
      </c>
      <c r="F22" s="1">
        <v>-6722728.3899999997</v>
      </c>
      <c r="G22" s="1">
        <v>-6471244</v>
      </c>
      <c r="H22" s="1">
        <v>-9050466.0899999999</v>
      </c>
      <c r="I22" s="1">
        <v>-2669037.98</v>
      </c>
      <c r="J22" s="1">
        <v>-12775126.710000001</v>
      </c>
    </row>
    <row r="23" spans="1:10" x14ac:dyDescent="0.3">
      <c r="A23" t="s">
        <v>357</v>
      </c>
      <c r="B23" s="6">
        <f t="shared" ref="B23:E23" si="14">B8/B3*100</f>
        <v>22.98160301785116</v>
      </c>
      <c r="C23" s="6">
        <f t="shared" si="14"/>
        <v>31.246179331804601</v>
      </c>
      <c r="D23" s="6">
        <f t="shared" si="14"/>
        <v>36.608127153737541</v>
      </c>
      <c r="E23" s="6">
        <f t="shared" si="14"/>
        <v>37.131897772170262</v>
      </c>
      <c r="F23" s="6">
        <f t="shared" ref="F23:J23" si="15">F8/F3*100</f>
        <v>40.767503803887394</v>
      </c>
      <c r="G23" s="6">
        <f t="shared" ref="G23:I23" si="16">G8/G3*100</f>
        <v>56.088430408920686</v>
      </c>
      <c r="H23" s="6">
        <f t="shared" si="16"/>
        <v>47.276056693920573</v>
      </c>
      <c r="I23" s="6">
        <f t="shared" si="16"/>
        <v>39.469565974549162</v>
      </c>
      <c r="J23" s="6">
        <f t="shared" si="15"/>
        <v>40.086973120791669</v>
      </c>
    </row>
  </sheetData>
  <conditionalFormatting sqref="C21:F21 J21">
    <cfRule type="cellIs" dxfId="109" priority="24" operator="greaterThan">
      <formula>0</formula>
    </cfRule>
  </conditionalFormatting>
  <conditionalFormatting sqref="C21:F21 J21">
    <cfRule type="cellIs" dxfId="108" priority="21" operator="greaterThan">
      <formula>0</formula>
    </cfRule>
    <cfRule type="cellIs" dxfId="107" priority="22" operator="lessThan">
      <formula>0</formula>
    </cfRule>
  </conditionalFormatting>
  <conditionalFormatting sqref="B21">
    <cfRule type="cellIs" dxfId="106" priority="15" operator="greaterThan">
      <formula>0</formula>
    </cfRule>
  </conditionalFormatting>
  <conditionalFormatting sqref="B21">
    <cfRule type="cellIs" dxfId="105" priority="13" operator="greaterThan">
      <formula>0</formula>
    </cfRule>
    <cfRule type="cellIs" dxfId="104" priority="14" operator="lessThan">
      <formula>0</formula>
    </cfRule>
  </conditionalFormatting>
  <conditionalFormatting sqref="G21">
    <cfRule type="cellIs" dxfId="103" priority="9" operator="greaterThan">
      <formula>0</formula>
    </cfRule>
  </conditionalFormatting>
  <conditionalFormatting sqref="G21">
    <cfRule type="cellIs" dxfId="102" priority="7" operator="greaterThan">
      <formula>0</formula>
    </cfRule>
    <cfRule type="cellIs" dxfId="101" priority="8" operator="lessThan">
      <formula>0</formula>
    </cfRule>
  </conditionalFormatting>
  <conditionalFormatting sqref="H21">
    <cfRule type="cellIs" dxfId="100" priority="6" operator="greaterThan">
      <formula>0</formula>
    </cfRule>
  </conditionalFormatting>
  <conditionalFormatting sqref="H21">
    <cfRule type="cellIs" dxfId="99" priority="4" operator="greaterThan">
      <formula>0</formula>
    </cfRule>
    <cfRule type="cellIs" dxfId="98" priority="5" operator="lessThan">
      <formula>0</formula>
    </cfRule>
  </conditionalFormatting>
  <conditionalFormatting sqref="I21">
    <cfRule type="cellIs" dxfId="97" priority="3" operator="greaterThan">
      <formula>0</formula>
    </cfRule>
  </conditionalFormatting>
  <conditionalFormatting sqref="I21">
    <cfRule type="cellIs" dxfId="96" priority="1" operator="greaterThan">
      <formula>0</formula>
    </cfRule>
    <cfRule type="cellIs" dxfId="95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L2" sqref="L2:L29"/>
    </sheetView>
  </sheetViews>
  <sheetFormatPr defaultRowHeight="14.4" x14ac:dyDescent="0.3"/>
  <cols>
    <col min="1" max="1" width="65.33203125" bestFit="1" customWidth="1"/>
    <col min="2" max="2" width="10.88671875" customWidth="1"/>
    <col min="3" max="6" width="15.44140625" bestFit="1" customWidth="1"/>
    <col min="7" max="12" width="15.5546875" customWidth="1"/>
    <col min="13" max="13" width="12.33203125" bestFit="1" customWidth="1"/>
  </cols>
  <sheetData>
    <row r="1" spans="1:13" x14ac:dyDescent="0.3">
      <c r="C1" s="101">
        <v>2014</v>
      </c>
      <c r="D1" s="101">
        <v>2015</v>
      </c>
      <c r="E1" s="101">
        <v>2016</v>
      </c>
      <c r="F1" s="100">
        <v>2017</v>
      </c>
      <c r="G1" s="100">
        <v>2018</v>
      </c>
      <c r="H1" s="105">
        <v>2019</v>
      </c>
      <c r="I1" s="111">
        <v>2020</v>
      </c>
      <c r="J1" s="112">
        <v>2021</v>
      </c>
      <c r="K1" s="129">
        <v>2022</v>
      </c>
      <c r="L1" s="107">
        <v>2023</v>
      </c>
      <c r="M1" s="12" t="s">
        <v>266</v>
      </c>
    </row>
    <row r="2" spans="1:13" x14ac:dyDescent="0.3">
      <c r="A2" t="s">
        <v>236</v>
      </c>
      <c r="B2" s="26" t="s">
        <v>260</v>
      </c>
      <c r="C2" s="95">
        <v>211771070.53</v>
      </c>
      <c r="D2" s="95">
        <v>205825801.44999999</v>
      </c>
      <c r="E2" s="1">
        <v>169668187.09999999</v>
      </c>
      <c r="F2" s="1">
        <v>176531536.88999999</v>
      </c>
      <c r="G2" s="1">
        <v>171670344.06</v>
      </c>
      <c r="H2" s="1">
        <v>174576429.03</v>
      </c>
      <c r="I2" s="1">
        <v>166841487.97</v>
      </c>
      <c r="J2" s="1">
        <v>170930179.99000001</v>
      </c>
      <c r="K2" s="1">
        <v>177874480.28</v>
      </c>
      <c r="L2" s="1">
        <v>185317970.11000001</v>
      </c>
      <c r="M2" s="1">
        <f>L2-K2</f>
        <v>7443489.8300000131</v>
      </c>
    </row>
    <row r="3" spans="1:13" x14ac:dyDescent="0.3">
      <c r="A3" t="s">
        <v>237</v>
      </c>
      <c r="B3" s="26" t="s">
        <v>260</v>
      </c>
      <c r="C3" s="95"/>
      <c r="D3" s="95"/>
      <c r="E3" s="1">
        <v>33001363.219999999</v>
      </c>
      <c r="F3" s="1">
        <v>32036000</v>
      </c>
      <c r="G3" s="1">
        <v>32358957.510000002</v>
      </c>
      <c r="H3" s="1">
        <v>31633506.800000001</v>
      </c>
      <c r="I3" s="1">
        <v>29700000</v>
      </c>
      <c r="J3" s="1">
        <v>32036368.550000001</v>
      </c>
      <c r="K3" s="1">
        <v>32322377.07</v>
      </c>
      <c r="L3" s="1">
        <v>32430544.890000001</v>
      </c>
      <c r="M3" s="1">
        <f t="shared" ref="M3:M29" si="0">L3-K3</f>
        <v>108167.8200000003</v>
      </c>
    </row>
    <row r="4" spans="1:13" x14ac:dyDescent="0.3">
      <c r="A4" t="s">
        <v>238</v>
      </c>
      <c r="B4" s="26" t="s">
        <v>260</v>
      </c>
      <c r="C4" s="95">
        <v>39765576.280000001</v>
      </c>
      <c r="D4" s="95">
        <v>30803414.809999999</v>
      </c>
      <c r="E4" s="1">
        <f>35655979.46+1021017.12</f>
        <v>36676996.579999998</v>
      </c>
      <c r="F4" s="1">
        <v>40868736.18</v>
      </c>
      <c r="G4" s="1">
        <v>39200800.109999999</v>
      </c>
      <c r="H4" s="1">
        <v>41441834.640000001</v>
      </c>
      <c r="I4" s="1">
        <v>92060068.980000004</v>
      </c>
      <c r="J4" s="1">
        <v>75048174.040000007</v>
      </c>
      <c r="K4" s="1">
        <v>75235332.150000006</v>
      </c>
      <c r="L4" s="1">
        <v>89423976.150000006</v>
      </c>
      <c r="M4" s="1">
        <f t="shared" si="0"/>
        <v>14188644</v>
      </c>
    </row>
    <row r="5" spans="1:13" x14ac:dyDescent="0.3">
      <c r="A5" t="s">
        <v>239</v>
      </c>
      <c r="B5" s="26" t="s">
        <v>260</v>
      </c>
      <c r="C5" s="95">
        <v>28450213.129999999</v>
      </c>
      <c r="D5" s="95">
        <v>33231455.649999999</v>
      </c>
      <c r="E5" s="1">
        <f>18404148.68+3291.65+18656037.35</f>
        <v>37063477.68</v>
      </c>
      <c r="F5" s="1">
        <v>37194644.030000001</v>
      </c>
      <c r="G5" s="1">
        <v>37646438.549999997</v>
      </c>
      <c r="H5" s="1">
        <v>39070203.850000001</v>
      </c>
      <c r="I5" s="1">
        <v>21235892.850000001</v>
      </c>
      <c r="J5" s="1">
        <v>27368426.309999999</v>
      </c>
      <c r="K5" s="1">
        <v>36829527.359999999</v>
      </c>
      <c r="L5" s="1">
        <v>41753749.210000001</v>
      </c>
      <c r="M5" s="1">
        <f t="shared" si="0"/>
        <v>4924221.8500000015</v>
      </c>
    </row>
    <row r="6" spans="1:13" x14ac:dyDescent="0.3">
      <c r="A6" t="s">
        <v>240</v>
      </c>
      <c r="B6" s="26" t="s">
        <v>260</v>
      </c>
      <c r="C6" s="95">
        <v>0</v>
      </c>
      <c r="D6" s="95">
        <v>0</v>
      </c>
      <c r="E6" s="95">
        <v>0</v>
      </c>
      <c r="F6" s="95">
        <v>0</v>
      </c>
      <c r="G6" s="95">
        <v>0</v>
      </c>
      <c r="H6" s="95">
        <v>0</v>
      </c>
      <c r="I6" s="95">
        <v>0</v>
      </c>
      <c r="J6" s="95">
        <v>0</v>
      </c>
      <c r="K6" s="95">
        <v>0</v>
      </c>
      <c r="L6" s="1">
        <v>0</v>
      </c>
      <c r="M6" s="1">
        <f t="shared" si="0"/>
        <v>0</v>
      </c>
    </row>
    <row r="7" spans="1:13" x14ac:dyDescent="0.3">
      <c r="A7" t="s">
        <v>241</v>
      </c>
      <c r="B7" s="26" t="s">
        <v>260</v>
      </c>
      <c r="C7" s="95">
        <v>0</v>
      </c>
      <c r="D7" s="95">
        <v>0</v>
      </c>
      <c r="E7" s="95">
        <v>0</v>
      </c>
      <c r="F7" s="95">
        <v>0</v>
      </c>
      <c r="G7" s="95">
        <v>0</v>
      </c>
      <c r="H7" s="95">
        <v>0</v>
      </c>
      <c r="I7" s="95">
        <v>0</v>
      </c>
      <c r="J7" s="95">
        <v>0</v>
      </c>
      <c r="K7" s="95">
        <v>0</v>
      </c>
      <c r="L7" s="1">
        <v>0</v>
      </c>
      <c r="M7" s="1">
        <f t="shared" si="0"/>
        <v>0</v>
      </c>
    </row>
    <row r="8" spans="1:13" x14ac:dyDescent="0.3">
      <c r="A8" t="s">
        <v>242</v>
      </c>
      <c r="B8" s="26" t="s">
        <v>260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v>0</v>
      </c>
      <c r="I8" s="95">
        <v>0</v>
      </c>
      <c r="J8" s="95">
        <v>0</v>
      </c>
      <c r="K8" s="95">
        <v>0</v>
      </c>
      <c r="L8" s="1">
        <v>0</v>
      </c>
      <c r="M8" s="1">
        <f t="shared" si="0"/>
        <v>0</v>
      </c>
    </row>
    <row r="9" spans="1:13" x14ac:dyDescent="0.3">
      <c r="A9" s="32" t="s">
        <v>243</v>
      </c>
      <c r="B9" s="33" t="s">
        <v>260</v>
      </c>
      <c r="C9" s="96">
        <f>6953332.88+25963142.03+127720.95+6246707.64</f>
        <v>39290903.5</v>
      </c>
      <c r="D9" s="96">
        <f>9253972.04+25761502.74+69042.22+10532827.71</f>
        <v>45617344.710000001</v>
      </c>
      <c r="E9" s="34">
        <v>21741140.539999999</v>
      </c>
      <c r="F9" s="34">
        <v>23517090.09</v>
      </c>
      <c r="G9" s="34">
        <v>23382540.77</v>
      </c>
      <c r="H9" s="34">
        <v>23886359.300000001</v>
      </c>
      <c r="I9" s="34">
        <v>20713433.120000001</v>
      </c>
      <c r="J9" s="34">
        <v>21172682.18</v>
      </c>
      <c r="K9" s="34">
        <v>29875245.359999999</v>
      </c>
      <c r="L9" s="1">
        <v>30527093.940000001</v>
      </c>
      <c r="M9" s="1">
        <f t="shared" si="0"/>
        <v>651848.58000000194</v>
      </c>
    </row>
    <row r="10" spans="1:13" x14ac:dyDescent="0.3">
      <c r="A10" s="35" t="s">
        <v>264</v>
      </c>
      <c r="B10" s="36" t="s">
        <v>260</v>
      </c>
      <c r="C10" s="94">
        <f t="shared" ref="C10:G10" si="1">SUM(C2:C9)</f>
        <v>319277763.44</v>
      </c>
      <c r="D10" s="94">
        <f t="shared" si="1"/>
        <v>315478016.61999995</v>
      </c>
      <c r="E10" s="94">
        <f t="shared" si="1"/>
        <v>298151165.12</v>
      </c>
      <c r="F10" s="94">
        <f t="shared" si="1"/>
        <v>310148007.19</v>
      </c>
      <c r="G10" s="94">
        <f t="shared" si="1"/>
        <v>304259081</v>
      </c>
      <c r="H10" s="94">
        <f t="shared" ref="H10:L10" si="2">SUM(H2:H9)</f>
        <v>310608333.62000006</v>
      </c>
      <c r="I10" s="94">
        <f t="shared" ref="I10:K10" si="3">SUM(I2:I9)</f>
        <v>330550882.92000002</v>
      </c>
      <c r="J10" s="94">
        <f t="shared" si="3"/>
        <v>326555831.07000005</v>
      </c>
      <c r="K10" s="94">
        <f t="shared" si="3"/>
        <v>352136962.22000003</v>
      </c>
      <c r="L10" s="94">
        <f t="shared" si="2"/>
        <v>379453334.29999995</v>
      </c>
      <c r="M10" s="11">
        <f t="shared" si="0"/>
        <v>27316372.079999924</v>
      </c>
    </row>
    <row r="11" spans="1:13" x14ac:dyDescent="0.3">
      <c r="A11" t="s">
        <v>244</v>
      </c>
      <c r="B11" s="26" t="s">
        <v>261</v>
      </c>
      <c r="C11" s="95">
        <v>672615.6</v>
      </c>
      <c r="D11" s="95">
        <v>1575295.52</v>
      </c>
      <c r="E11" s="1">
        <v>1546744.2</v>
      </c>
      <c r="F11" s="1">
        <v>1784775.97</v>
      </c>
      <c r="G11" s="1">
        <v>1726260.88</v>
      </c>
      <c r="H11" s="1">
        <v>1391247.56</v>
      </c>
      <c r="I11" s="1">
        <v>1997747.59</v>
      </c>
      <c r="J11" s="1">
        <v>1553482.55</v>
      </c>
      <c r="K11" s="1">
        <v>1586594.25</v>
      </c>
      <c r="L11" s="1">
        <v>1508667.47</v>
      </c>
      <c r="M11" s="1">
        <f t="shared" si="0"/>
        <v>-77926.780000000028</v>
      </c>
    </row>
    <row r="12" spans="1:13" x14ac:dyDescent="0.3">
      <c r="A12" t="s">
        <v>245</v>
      </c>
      <c r="B12" s="26" t="s">
        <v>261</v>
      </c>
      <c r="C12" s="95">
        <v>149789103.50999999</v>
      </c>
      <c r="D12" s="95">
        <v>150160280.22999999</v>
      </c>
      <c r="E12" s="1">
        <v>130932316.58</v>
      </c>
      <c r="F12" s="1">
        <v>134442830.58000001</v>
      </c>
      <c r="G12" s="1">
        <v>138157593.11000001</v>
      </c>
      <c r="H12" s="1">
        <v>143692687.99000001</v>
      </c>
      <c r="I12" s="1">
        <v>136531290.91999999</v>
      </c>
      <c r="J12" s="1">
        <v>148155611.06</v>
      </c>
      <c r="K12" s="1">
        <v>170541368.97</v>
      </c>
      <c r="L12" s="1">
        <v>170405407.25999999</v>
      </c>
      <c r="M12" s="1">
        <f t="shared" si="0"/>
        <v>-135961.71000000834</v>
      </c>
    </row>
    <row r="13" spans="1:13" x14ac:dyDescent="0.3">
      <c r="A13" t="s">
        <v>246</v>
      </c>
      <c r="B13" s="26" t="s">
        <v>261</v>
      </c>
      <c r="C13" s="95">
        <v>2943616.18</v>
      </c>
      <c r="D13" s="95">
        <v>2841992.54</v>
      </c>
      <c r="E13" s="1">
        <v>3247458.5</v>
      </c>
      <c r="F13" s="1">
        <v>3096052.67</v>
      </c>
      <c r="G13" s="1">
        <v>2867942.67</v>
      </c>
      <c r="H13" s="1">
        <v>3088906</v>
      </c>
      <c r="I13" s="1">
        <v>2930221.16</v>
      </c>
      <c r="J13" s="1">
        <v>2244805.44</v>
      </c>
      <c r="K13" s="1">
        <v>2518680.6800000002</v>
      </c>
      <c r="L13" s="1">
        <v>2485891.0499999998</v>
      </c>
      <c r="M13" s="1">
        <f t="shared" si="0"/>
        <v>-32789.630000000354</v>
      </c>
    </row>
    <row r="14" spans="1:13" x14ac:dyDescent="0.3">
      <c r="A14" t="s">
        <v>247</v>
      </c>
      <c r="B14" s="26" t="s">
        <v>261</v>
      </c>
      <c r="C14" s="95">
        <v>21468199.43</v>
      </c>
      <c r="D14" s="95">
        <v>21821447.629999999</v>
      </c>
      <c r="E14" s="1">
        <f>39928164.42+2259226.82</f>
        <v>42187391.240000002</v>
      </c>
      <c r="F14" s="1">
        <v>39118519.369999997</v>
      </c>
      <c r="G14" s="1">
        <v>40774471.159999996</v>
      </c>
      <c r="H14" s="1">
        <v>41973013</v>
      </c>
      <c r="I14" s="1">
        <v>51833035.460000001</v>
      </c>
      <c r="J14" s="1">
        <v>57262056.520000003</v>
      </c>
      <c r="K14" s="1">
        <v>67154372.069999993</v>
      </c>
      <c r="L14" s="1">
        <v>58322282.93</v>
      </c>
      <c r="M14" s="1">
        <f t="shared" si="0"/>
        <v>-8832089.1399999931</v>
      </c>
    </row>
    <row r="15" spans="1:13" x14ac:dyDescent="0.3">
      <c r="A15" t="s">
        <v>248</v>
      </c>
      <c r="B15" s="26" t="s">
        <v>261</v>
      </c>
      <c r="C15" s="95">
        <v>81335771.099999994</v>
      </c>
      <c r="D15" s="95">
        <v>79719645.180000007</v>
      </c>
      <c r="E15" s="1">
        <v>78394555.890000001</v>
      </c>
      <c r="F15" s="1">
        <v>77043488.790000007</v>
      </c>
      <c r="G15" s="1">
        <v>78327053.590000004</v>
      </c>
      <c r="H15" s="1">
        <v>75024448.650000006</v>
      </c>
      <c r="I15" s="1">
        <v>72884119.609999999</v>
      </c>
      <c r="J15" s="1">
        <v>73347856.299999997</v>
      </c>
      <c r="K15" s="1">
        <v>75835253.709999993</v>
      </c>
      <c r="L15" s="1">
        <v>76116031.019999996</v>
      </c>
      <c r="M15" s="1">
        <f t="shared" si="0"/>
        <v>280777.31000000238</v>
      </c>
    </row>
    <row r="16" spans="1:13" x14ac:dyDescent="0.3">
      <c r="A16" t="s">
        <v>249</v>
      </c>
      <c r="B16" s="26" t="s">
        <v>261</v>
      </c>
      <c r="C16" s="95">
        <v>29149986</v>
      </c>
      <c r="D16" s="95">
        <v>29340616.18</v>
      </c>
      <c r="E16" s="1">
        <f>115642.14+23935314.46+5066008.29</f>
        <v>29116964.890000001</v>
      </c>
      <c r="F16" s="1">
        <v>42836147.619999997</v>
      </c>
      <c r="G16" s="1">
        <v>43247497.710000001</v>
      </c>
      <c r="H16" s="1">
        <v>38116408.890000001</v>
      </c>
      <c r="I16" s="1">
        <v>46511654.93</v>
      </c>
      <c r="J16" s="1">
        <v>31223712.690000001</v>
      </c>
      <c r="K16" s="1">
        <v>45740855.960000001</v>
      </c>
      <c r="L16" s="1">
        <v>50697381.609999999</v>
      </c>
      <c r="M16" s="1">
        <f t="shared" si="0"/>
        <v>4956525.6499999985</v>
      </c>
    </row>
    <row r="17" spans="1:13" x14ac:dyDescent="0.3">
      <c r="A17" t="s">
        <v>250</v>
      </c>
      <c r="B17" s="26" t="s">
        <v>261</v>
      </c>
      <c r="C17" s="95"/>
      <c r="D17" s="95"/>
      <c r="E17" s="1">
        <v>0</v>
      </c>
      <c r="F17" s="1">
        <v>0</v>
      </c>
      <c r="G17" s="1">
        <v>0</v>
      </c>
      <c r="H17" s="1">
        <v>0</v>
      </c>
      <c r="I17" s="1">
        <f>G17-F17</f>
        <v>0</v>
      </c>
      <c r="J17" s="1">
        <f>G17-F17</f>
        <v>0</v>
      </c>
      <c r="K17" s="1">
        <f>G17-F17</f>
        <v>0</v>
      </c>
      <c r="L17" s="1">
        <v>0</v>
      </c>
      <c r="M17" s="1">
        <f t="shared" si="0"/>
        <v>0</v>
      </c>
    </row>
    <row r="18" spans="1:13" x14ac:dyDescent="0.3">
      <c r="A18" t="s">
        <v>251</v>
      </c>
      <c r="B18" s="26" t="s">
        <v>261</v>
      </c>
      <c r="C18" s="95"/>
      <c r="D18" s="95"/>
      <c r="E18" s="1">
        <v>233000</v>
      </c>
      <c r="F18" s="1">
        <v>2767257.14</v>
      </c>
      <c r="G18" s="1">
        <v>6274000</v>
      </c>
      <c r="H18" s="1">
        <v>172660.22</v>
      </c>
      <c r="I18" s="1">
        <v>12020481.93</v>
      </c>
      <c r="J18" s="1">
        <v>11733143.58</v>
      </c>
      <c r="K18" s="1">
        <v>2700000</v>
      </c>
      <c r="L18" s="1">
        <v>2030091.45</v>
      </c>
      <c r="M18" s="1">
        <f t="shared" si="0"/>
        <v>-669908.55000000005</v>
      </c>
    </row>
    <row r="19" spans="1:13" x14ac:dyDescent="0.3">
      <c r="A19" t="s">
        <v>14</v>
      </c>
      <c r="B19" s="26" t="s">
        <v>261</v>
      </c>
      <c r="C19" s="95"/>
      <c r="D19" s="95"/>
      <c r="E19" s="1">
        <v>8000</v>
      </c>
      <c r="F19" s="1">
        <v>1300000</v>
      </c>
      <c r="G19" s="1">
        <v>221139</v>
      </c>
      <c r="H19" s="1">
        <v>65000</v>
      </c>
      <c r="I19" s="1">
        <v>109000</v>
      </c>
      <c r="J19" s="1">
        <v>5913067.1600000001</v>
      </c>
      <c r="K19" s="1">
        <v>4010000</v>
      </c>
      <c r="L19" s="1">
        <v>3510000</v>
      </c>
      <c r="M19" s="1">
        <f t="shared" si="0"/>
        <v>-500000</v>
      </c>
    </row>
    <row r="20" spans="1:13" x14ac:dyDescent="0.3">
      <c r="A20" s="32" t="s">
        <v>252</v>
      </c>
      <c r="B20" s="33" t="s">
        <v>261</v>
      </c>
      <c r="C20" s="96"/>
      <c r="D20" s="96"/>
      <c r="E20" s="34">
        <v>8397813.5299999993</v>
      </c>
      <c r="F20" s="34">
        <v>2977873.3</v>
      </c>
      <c r="G20" s="34">
        <v>3435926.07</v>
      </c>
      <c r="H20" s="34">
        <v>2783791.68</v>
      </c>
      <c r="I20" s="1">
        <v>3006416.69</v>
      </c>
      <c r="J20" s="1">
        <v>2741034.82</v>
      </c>
      <c r="K20" s="1">
        <v>2549965.91</v>
      </c>
      <c r="L20" s="1">
        <v>2908513.32</v>
      </c>
      <c r="M20" s="1">
        <f t="shared" si="0"/>
        <v>358547.40999999968</v>
      </c>
    </row>
    <row r="21" spans="1:13" x14ac:dyDescent="0.3">
      <c r="A21" s="35" t="s">
        <v>265</v>
      </c>
      <c r="B21" s="36" t="s">
        <v>261</v>
      </c>
      <c r="C21" s="94">
        <f>SUM(C11:C20)</f>
        <v>285359291.81999999</v>
      </c>
      <c r="D21" s="94">
        <f>SUM(D11:D20)</f>
        <v>285459277.27999997</v>
      </c>
      <c r="E21" s="94">
        <f>SUM(E11:E20)</f>
        <v>294064244.82999998</v>
      </c>
      <c r="F21" s="94">
        <f t="shared" ref="F21:G21" si="4">SUM(F11:F20)</f>
        <v>305366945.44</v>
      </c>
      <c r="G21" s="94">
        <f t="shared" si="4"/>
        <v>315031884.19</v>
      </c>
      <c r="H21" s="94">
        <f t="shared" ref="H21:L21" si="5">SUM(H11:H20)</f>
        <v>306308163.99000007</v>
      </c>
      <c r="I21" s="94">
        <f t="shared" ref="I21:K21" si="6">SUM(I11:I20)</f>
        <v>327823968.29000002</v>
      </c>
      <c r="J21" s="94">
        <f t="shared" si="6"/>
        <v>334174770.12</v>
      </c>
      <c r="K21" s="94">
        <f t="shared" si="6"/>
        <v>372637091.55000001</v>
      </c>
      <c r="L21" s="94">
        <f t="shared" si="5"/>
        <v>367984266.11000001</v>
      </c>
      <c r="M21" s="11">
        <f t="shared" si="0"/>
        <v>-4652825.4399999976</v>
      </c>
    </row>
    <row r="22" spans="1:13" x14ac:dyDescent="0.3">
      <c r="A22" t="s">
        <v>253</v>
      </c>
      <c r="B22" s="26" t="s">
        <v>260</v>
      </c>
      <c r="C22" s="95">
        <v>512111.33</v>
      </c>
      <c r="D22" s="95">
        <v>802797.22</v>
      </c>
      <c r="E22" s="1">
        <v>12666130.619999999</v>
      </c>
      <c r="F22" s="1">
        <v>2120356.7799999998</v>
      </c>
      <c r="G22" s="1">
        <v>17837279.219999999</v>
      </c>
      <c r="H22" s="1">
        <v>20240247.43</v>
      </c>
      <c r="I22" s="1">
        <v>23218382.460000001</v>
      </c>
      <c r="J22" s="1">
        <v>38603662.149999999</v>
      </c>
      <c r="K22" s="1">
        <v>24156315.120000001</v>
      </c>
      <c r="L22" s="1">
        <v>34076387.119999997</v>
      </c>
      <c r="M22" s="1">
        <f t="shared" si="0"/>
        <v>9920071.9999999963</v>
      </c>
    </row>
    <row r="23" spans="1:13" x14ac:dyDescent="0.3">
      <c r="A23" t="s">
        <v>254</v>
      </c>
      <c r="B23" s="26" t="s">
        <v>261</v>
      </c>
      <c r="C23" s="95">
        <v>10168889.98</v>
      </c>
      <c r="D23" s="95">
        <v>9515184.6500000004</v>
      </c>
      <c r="E23" s="1">
        <v>9624223.9399999995</v>
      </c>
      <c r="F23" s="1">
        <v>9368459.9700000007</v>
      </c>
      <c r="G23" s="1">
        <v>9523649.3100000005</v>
      </c>
      <c r="H23" s="1">
        <v>7178182.1799999997</v>
      </c>
      <c r="I23" s="1">
        <v>6538687.6699999999</v>
      </c>
      <c r="J23" s="1">
        <v>6473334.4500000002</v>
      </c>
      <c r="K23" s="1">
        <v>5569772.6900000004</v>
      </c>
      <c r="L23" s="1">
        <v>10258334.279999999</v>
      </c>
      <c r="M23" s="1">
        <f t="shared" si="0"/>
        <v>4688561.5899999989</v>
      </c>
    </row>
    <row r="24" spans="1:13" x14ac:dyDescent="0.3">
      <c r="A24" t="s">
        <v>255</v>
      </c>
      <c r="B24" s="26" t="s">
        <v>260</v>
      </c>
      <c r="C24" s="95">
        <v>0</v>
      </c>
      <c r="D24" s="95">
        <v>0</v>
      </c>
      <c r="E24" s="1">
        <v>0</v>
      </c>
      <c r="F24" s="1">
        <v>0</v>
      </c>
      <c r="G24" s="1">
        <v>-6689088.8499999996</v>
      </c>
      <c r="H24" s="1">
        <v>-227298.06</v>
      </c>
      <c r="I24" s="1">
        <v>-4185502.73</v>
      </c>
      <c r="J24" s="1">
        <v>0</v>
      </c>
      <c r="K24" s="1">
        <v>0</v>
      </c>
      <c r="L24" s="1">
        <v>-10226</v>
      </c>
      <c r="M24" s="1">
        <f t="shared" si="0"/>
        <v>-10226</v>
      </c>
    </row>
    <row r="25" spans="1:13" x14ac:dyDescent="0.3">
      <c r="A25" t="s">
        <v>256</v>
      </c>
      <c r="B25" s="26" t="s">
        <v>260</v>
      </c>
      <c r="C25" s="95">
        <v>14697657.23</v>
      </c>
      <c r="D25" s="95">
        <v>78641560.109999999</v>
      </c>
      <c r="E25" s="1">
        <v>62799844</v>
      </c>
      <c r="F25" s="1">
        <v>29329005.77</v>
      </c>
      <c r="G25" s="1">
        <v>42611913.090000004</v>
      </c>
      <c r="H25" s="1">
        <v>42061380.090000004</v>
      </c>
      <c r="I25" s="1">
        <v>17702579.079999998</v>
      </c>
      <c r="J25" s="1">
        <v>21979855.359999999</v>
      </c>
      <c r="K25" s="1">
        <v>31737340.030000001</v>
      </c>
      <c r="L25" s="1">
        <v>20351199.43</v>
      </c>
      <c r="M25" s="1">
        <f t="shared" si="0"/>
        <v>-11386140.600000001</v>
      </c>
    </row>
    <row r="26" spans="1:13" x14ac:dyDescent="0.3">
      <c r="A26" t="s">
        <v>257</v>
      </c>
      <c r="B26" s="26" t="s">
        <v>261</v>
      </c>
      <c r="C26" s="95">
        <v>32802953.780000001</v>
      </c>
      <c r="D26" s="95">
        <v>65827544.979999997</v>
      </c>
      <c r="E26" s="1">
        <v>27449654.75</v>
      </c>
      <c r="F26" s="1">
        <v>3887611.92</v>
      </c>
      <c r="G26" s="1">
        <v>15683493.199999999</v>
      </c>
      <c r="H26" s="1">
        <v>32552234.07</v>
      </c>
      <c r="I26" s="1">
        <v>7245877.9900000002</v>
      </c>
      <c r="J26" s="1">
        <v>9352316.1699999999</v>
      </c>
      <c r="K26" s="1">
        <v>7444053.7199999997</v>
      </c>
      <c r="L26" s="1">
        <v>2661942.9700000002</v>
      </c>
      <c r="M26" s="1">
        <f t="shared" si="0"/>
        <v>-4782110.75</v>
      </c>
    </row>
    <row r="27" spans="1:13" x14ac:dyDescent="0.3">
      <c r="A27" t="s">
        <v>258</v>
      </c>
      <c r="B27" s="26" t="s">
        <v>261</v>
      </c>
      <c r="C27" s="95">
        <v>5344002.34</v>
      </c>
      <c r="D27" s="95">
        <v>5072564.24</v>
      </c>
      <c r="E27" s="1">
        <v>4364379.8600000003</v>
      </c>
      <c r="F27" s="1">
        <v>4247767.2</v>
      </c>
      <c r="G27" s="1">
        <v>4260889.29</v>
      </c>
      <c r="H27" s="1">
        <v>4086774.35</v>
      </c>
      <c r="I27" s="1">
        <v>3961034.05</v>
      </c>
      <c r="J27" s="1">
        <v>4039356.83</v>
      </c>
      <c r="K27" s="1">
        <v>4345663.29</v>
      </c>
      <c r="L27" s="1">
        <v>4139371.83</v>
      </c>
      <c r="M27" s="1">
        <f t="shared" si="0"/>
        <v>-206291.45999999996</v>
      </c>
    </row>
    <row r="28" spans="1:13" x14ac:dyDescent="0.3">
      <c r="A28" s="10" t="s">
        <v>259</v>
      </c>
      <c r="B28" s="36" t="s">
        <v>262</v>
      </c>
      <c r="C28" s="97">
        <f>SUM(C2:C9)-SUM(C11:C20)+C22-C23+C24+C25-C26-C27</f>
        <v>812394.08000000194</v>
      </c>
      <c r="D28" s="97">
        <f>SUM(D2:D9)-SUM(D11:D20)+D22-D23+D24+D25-D26-D27</f>
        <v>29047802.799999982</v>
      </c>
      <c r="E28" s="37">
        <f>E10-E21+E22-E23+E24+E25-E26-E27</f>
        <v>38114636.360000029</v>
      </c>
      <c r="F28" s="37">
        <f t="shared" ref="F28:G28" si="7">F10-F21+F22-F23+F24+F25-F26-F27</f>
        <v>18726585.209999997</v>
      </c>
      <c r="G28" s="37">
        <f t="shared" si="7"/>
        <v>13519268.470000006</v>
      </c>
      <c r="H28" s="37">
        <f t="shared" ref="H28:L28" si="8">H10-H21+H22-H23+H24+H25-H26-H27</f>
        <v>22557308.489999995</v>
      </c>
      <c r="I28" s="37">
        <f t="shared" ref="I28:K28" si="9">I10-I21+I22-I23+I24+I25-I26-I27</f>
        <v>21716773.729999993</v>
      </c>
      <c r="J28" s="37">
        <f t="shared" si="9"/>
        <v>33099571.01000005</v>
      </c>
      <c r="K28" s="37">
        <f t="shared" si="9"/>
        <v>18034036.12000002</v>
      </c>
      <c r="L28" s="37">
        <f t="shared" si="8"/>
        <v>48826779.659999937</v>
      </c>
      <c r="M28" s="37">
        <f t="shared" si="0"/>
        <v>30792743.539999917</v>
      </c>
    </row>
    <row r="29" spans="1:13" x14ac:dyDescent="0.3">
      <c r="A29" s="72" t="s">
        <v>384</v>
      </c>
      <c r="B29" s="127"/>
      <c r="C29" s="128">
        <f>C10-SUM(C11:C15)+C17</f>
        <v>63068457.620000005</v>
      </c>
      <c r="D29" s="128">
        <f t="shared" ref="D29:L29" si="10">D10-SUM(D11:D15)+D17</f>
        <v>59359355.519999951</v>
      </c>
      <c r="E29" s="128">
        <f t="shared" si="10"/>
        <v>41842698.709999979</v>
      </c>
      <c r="F29" s="128">
        <f t="shared" si="10"/>
        <v>54662339.810000002</v>
      </c>
      <c r="G29" s="128">
        <f t="shared" si="10"/>
        <v>42405759.590000004</v>
      </c>
      <c r="H29" s="128">
        <f t="shared" si="10"/>
        <v>45438030.420000046</v>
      </c>
      <c r="I29" s="128">
        <f t="shared" si="10"/>
        <v>64374468.180000007</v>
      </c>
      <c r="J29" s="128">
        <f t="shared" si="10"/>
        <v>43992019.200000048</v>
      </c>
      <c r="K29" s="128">
        <f t="shared" ref="K29" si="11">K10-SUM(K11:K15)+K17</f>
        <v>34500692.540000021</v>
      </c>
      <c r="L29" s="128">
        <f t="shared" si="10"/>
        <v>70615054.569999933</v>
      </c>
      <c r="M29" s="128">
        <f t="shared" si="0"/>
        <v>36114362.029999912</v>
      </c>
    </row>
  </sheetData>
  <conditionalFormatting sqref="C28:H28 L28:M28">
    <cfRule type="cellIs" dxfId="94" priority="21" operator="greaterThan">
      <formula>0</formula>
    </cfRule>
  </conditionalFormatting>
  <conditionalFormatting sqref="I28">
    <cfRule type="cellIs" dxfId="93" priority="11" operator="greaterThan">
      <formula>0</formula>
    </cfRule>
  </conditionalFormatting>
  <conditionalFormatting sqref="J28">
    <cfRule type="cellIs" dxfId="92" priority="10" operator="greaterThan">
      <formula>0</formula>
    </cfRule>
  </conditionalFormatting>
  <conditionalFormatting sqref="C29:J29 L29:M29">
    <cfRule type="cellIs" dxfId="91" priority="9" operator="greaterThan">
      <formula>0</formula>
    </cfRule>
  </conditionalFormatting>
  <conditionalFormatting sqref="C29:J29 L29">
    <cfRule type="cellIs" dxfId="90" priority="8" operator="greaterThan">
      <formula>0</formula>
    </cfRule>
  </conditionalFormatting>
  <conditionalFormatting sqref="C29:J29 L29">
    <cfRule type="cellIs" dxfId="89" priority="7" operator="greaterThan">
      <formula>0</formula>
    </cfRule>
  </conditionalFormatting>
  <conditionalFormatting sqref="C29:J29 L29">
    <cfRule type="cellIs" dxfId="88" priority="6" operator="greaterThan">
      <formula>0</formula>
    </cfRule>
  </conditionalFormatting>
  <conditionalFormatting sqref="K28">
    <cfRule type="cellIs" dxfId="87" priority="5" operator="greaterThan">
      <formula>0</formula>
    </cfRule>
  </conditionalFormatting>
  <conditionalFormatting sqref="K29">
    <cfRule type="cellIs" dxfId="86" priority="4" operator="greaterThan">
      <formula>0</formula>
    </cfRule>
  </conditionalFormatting>
  <conditionalFormatting sqref="K29">
    <cfRule type="cellIs" dxfId="85" priority="3" operator="greaterThan">
      <formula>0</formula>
    </cfRule>
  </conditionalFormatting>
  <conditionalFormatting sqref="K29">
    <cfRule type="cellIs" dxfId="84" priority="2" operator="greaterThan">
      <formula>0</formula>
    </cfRule>
  </conditionalFormatting>
  <conditionalFormatting sqref="K29">
    <cfRule type="cellIs" dxfId="8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workbookViewId="0">
      <selection activeCell="L2" sqref="L2:L16"/>
    </sheetView>
  </sheetViews>
  <sheetFormatPr defaultRowHeight="14.4" x14ac:dyDescent="0.3"/>
  <cols>
    <col min="1" max="1" width="35.5546875" bestFit="1" customWidth="1"/>
    <col min="2" max="11" width="11.5546875" bestFit="1" customWidth="1"/>
    <col min="12" max="12" width="11.33203125" bestFit="1" customWidth="1"/>
  </cols>
  <sheetData>
    <row r="1" spans="1:12" x14ac:dyDescent="0.3">
      <c r="A1" s="41"/>
      <c r="B1" s="42">
        <v>2014</v>
      </c>
      <c r="C1" s="42">
        <v>2015</v>
      </c>
      <c r="D1" s="42">
        <v>2016</v>
      </c>
      <c r="E1" s="42">
        <v>2017</v>
      </c>
      <c r="F1" s="42">
        <v>2018</v>
      </c>
      <c r="G1" s="42">
        <v>2019</v>
      </c>
      <c r="H1" s="42">
        <v>2020</v>
      </c>
      <c r="I1" s="42">
        <v>2021</v>
      </c>
      <c r="J1" s="42">
        <v>2022</v>
      </c>
      <c r="K1" s="42">
        <v>2023</v>
      </c>
      <c r="L1" s="42" t="s">
        <v>266</v>
      </c>
    </row>
    <row r="2" spans="1:12" x14ac:dyDescent="0.3">
      <c r="A2" s="71" t="s">
        <v>346</v>
      </c>
      <c r="B2" s="64">
        <f>Conto_economico!C10</f>
        <v>319277763.44</v>
      </c>
      <c r="C2" s="64">
        <f>Conto_economico!D10</f>
        <v>315478016.61999995</v>
      </c>
      <c r="D2" s="64">
        <f>Conto_economico!E10</f>
        <v>298151165.12</v>
      </c>
      <c r="E2" s="64">
        <f>Conto_economico!F10</f>
        <v>310148007.19</v>
      </c>
      <c r="F2" s="64">
        <f>Conto_economico!G10</f>
        <v>304259081</v>
      </c>
      <c r="G2" s="64">
        <f>Conto_economico!H10</f>
        <v>310608333.62000006</v>
      </c>
      <c r="H2" s="64">
        <f>Conto_economico!I10</f>
        <v>330550882.92000002</v>
      </c>
      <c r="I2" s="64">
        <f>Conto_economico!J10</f>
        <v>326555831.07000005</v>
      </c>
      <c r="J2" s="64">
        <f>Conto_economico!K10</f>
        <v>352136962.22000003</v>
      </c>
      <c r="K2" s="64">
        <f>Conto_economico!L10</f>
        <v>379453334.29999995</v>
      </c>
      <c r="L2" s="64">
        <f t="shared" ref="L2:L16" si="0">K2-J2</f>
        <v>27316372.079999924</v>
      </c>
    </row>
    <row r="3" spans="1:12" x14ac:dyDescent="0.3">
      <c r="A3" s="71" t="s">
        <v>341</v>
      </c>
      <c r="B3" s="64">
        <f>Conto_economico!C2</f>
        <v>211771070.53</v>
      </c>
      <c r="C3" s="64">
        <f>Conto_economico!D2</f>
        <v>205825801.44999999</v>
      </c>
      <c r="D3" s="64">
        <f>Conto_economico!E2</f>
        <v>169668187.09999999</v>
      </c>
      <c r="E3" s="64">
        <f>Conto_economico!F2</f>
        <v>176531536.88999999</v>
      </c>
      <c r="F3" s="64">
        <f>Conto_economico!G2</f>
        <v>171670344.06</v>
      </c>
      <c r="G3" s="64">
        <f>Conto_economico!H2</f>
        <v>174576429.03</v>
      </c>
      <c r="H3" s="64">
        <f>Conto_economico!I2</f>
        <v>166841487.97</v>
      </c>
      <c r="I3" s="64">
        <f>Conto_economico!J2</f>
        <v>170930179.99000001</v>
      </c>
      <c r="J3" s="64">
        <f>Conto_economico!K2</f>
        <v>177874480.28</v>
      </c>
      <c r="K3" s="64">
        <f>Conto_economico!L2</f>
        <v>185317970.11000001</v>
      </c>
      <c r="L3" s="64">
        <f t="shared" si="0"/>
        <v>7443489.8300000131</v>
      </c>
    </row>
    <row r="4" spans="1:12" x14ac:dyDescent="0.3">
      <c r="A4" s="71" t="s">
        <v>342</v>
      </c>
      <c r="B4" s="64">
        <f>Conto_economico!C4</f>
        <v>39765576.280000001</v>
      </c>
      <c r="C4" s="64">
        <f>Conto_economico!D4</f>
        <v>30803414.809999999</v>
      </c>
      <c r="D4" s="64">
        <f>Conto_economico!E4</f>
        <v>36676996.579999998</v>
      </c>
      <c r="E4" s="64">
        <f>Conto_economico!F4</f>
        <v>40868736.18</v>
      </c>
      <c r="F4" s="64">
        <f>Conto_economico!G4</f>
        <v>39200800.109999999</v>
      </c>
      <c r="G4" s="64">
        <f>Conto_economico!H4</f>
        <v>41441834.640000001</v>
      </c>
      <c r="H4" s="64">
        <f>Conto_economico!I4</f>
        <v>92060068.980000004</v>
      </c>
      <c r="I4" s="64">
        <f>Conto_economico!J4</f>
        <v>75048174.040000007</v>
      </c>
      <c r="J4" s="64">
        <f>Conto_economico!K4</f>
        <v>75235332.150000006</v>
      </c>
      <c r="K4" s="64">
        <f>Conto_economico!L4</f>
        <v>89423976.150000006</v>
      </c>
      <c r="L4" s="64">
        <f t="shared" si="0"/>
        <v>14188644</v>
      </c>
    </row>
    <row r="5" spans="1:12" x14ac:dyDescent="0.3">
      <c r="A5" s="71" t="s">
        <v>347</v>
      </c>
      <c r="B5" s="65">
        <f>Conto_economico!C21</f>
        <v>285359291.81999999</v>
      </c>
      <c r="C5" s="65">
        <f>Conto_economico!D21</f>
        <v>285459277.27999997</v>
      </c>
      <c r="D5" s="65">
        <f>Conto_economico!E21</f>
        <v>294064244.82999998</v>
      </c>
      <c r="E5" s="65">
        <f>Conto_economico!F21</f>
        <v>305366945.44</v>
      </c>
      <c r="F5" s="65">
        <f>Conto_economico!G21</f>
        <v>315031884.19</v>
      </c>
      <c r="G5" s="65">
        <f>Conto_economico!H21</f>
        <v>306308163.99000007</v>
      </c>
      <c r="H5" s="65">
        <f>Conto_economico!I21</f>
        <v>327823968.29000002</v>
      </c>
      <c r="I5" s="65">
        <f>Conto_economico!J21</f>
        <v>334174770.12</v>
      </c>
      <c r="J5" s="65">
        <f>Conto_economico!K21</f>
        <v>372637091.55000001</v>
      </c>
      <c r="K5" s="65">
        <f>Conto_economico!L21</f>
        <v>367984266.11000001</v>
      </c>
      <c r="L5" s="64">
        <f t="shared" si="0"/>
        <v>-4652825.4399999976</v>
      </c>
    </row>
    <row r="6" spans="1:12" x14ac:dyDescent="0.3">
      <c r="A6" s="71" t="s">
        <v>343</v>
      </c>
      <c r="B6" s="64">
        <f>Conto_economico!C12</f>
        <v>149789103.50999999</v>
      </c>
      <c r="C6" s="64">
        <f>Conto_economico!D12</f>
        <v>150160280.22999999</v>
      </c>
      <c r="D6" s="64">
        <f>Conto_economico!E12</f>
        <v>130932316.58</v>
      </c>
      <c r="E6" s="64">
        <f>Conto_economico!F12</f>
        <v>134442830.58000001</v>
      </c>
      <c r="F6" s="64">
        <f>Conto_economico!G12</f>
        <v>138157593.11000001</v>
      </c>
      <c r="G6" s="64">
        <f>Conto_economico!H12</f>
        <v>143692687.99000001</v>
      </c>
      <c r="H6" s="64">
        <f>Conto_economico!I12</f>
        <v>136531290.91999999</v>
      </c>
      <c r="I6" s="64">
        <f>Conto_economico!J12</f>
        <v>148155611.06</v>
      </c>
      <c r="J6" s="64">
        <f>Conto_economico!K12</f>
        <v>170541368.97</v>
      </c>
      <c r="K6" s="64">
        <f>Conto_economico!L12</f>
        <v>170405407.25999999</v>
      </c>
      <c r="L6" s="64">
        <f t="shared" si="0"/>
        <v>-135961.71000000834</v>
      </c>
    </row>
    <row r="7" spans="1:12" x14ac:dyDescent="0.3">
      <c r="A7" s="71" t="s">
        <v>344</v>
      </c>
      <c r="B7" s="64">
        <f>Conto_economico!C15</f>
        <v>81335771.099999994</v>
      </c>
      <c r="C7" s="64">
        <f>Conto_economico!D15</f>
        <v>79719645.180000007</v>
      </c>
      <c r="D7" s="64">
        <f>Conto_economico!E15</f>
        <v>78394555.890000001</v>
      </c>
      <c r="E7" s="64">
        <f>Conto_economico!F15</f>
        <v>77043488.790000007</v>
      </c>
      <c r="F7" s="64">
        <f>Conto_economico!G15</f>
        <v>78327053.590000004</v>
      </c>
      <c r="G7" s="64">
        <f>Conto_economico!H15</f>
        <v>75024448.650000006</v>
      </c>
      <c r="H7" s="64">
        <f>Conto_economico!I15</f>
        <v>72884119.609999999</v>
      </c>
      <c r="I7" s="64">
        <f>Conto_economico!J15</f>
        <v>73347856.299999997</v>
      </c>
      <c r="J7" s="64">
        <f>Conto_economico!K15</f>
        <v>75835253.709999993</v>
      </c>
      <c r="K7" s="64">
        <f>Conto_economico!L15</f>
        <v>76116031.019999996</v>
      </c>
      <c r="L7" s="64">
        <f t="shared" si="0"/>
        <v>280777.31000000238</v>
      </c>
    </row>
    <row r="8" spans="1:12" x14ac:dyDescent="0.3">
      <c r="A8" s="71" t="s">
        <v>345</v>
      </c>
      <c r="B8" s="64">
        <f>Conto_economico!C16</f>
        <v>29149986</v>
      </c>
      <c r="C8" s="64">
        <f>Conto_economico!D16</f>
        <v>29340616.18</v>
      </c>
      <c r="D8" s="64">
        <f>Conto_economico!E16</f>
        <v>29116964.890000001</v>
      </c>
      <c r="E8" s="64">
        <f>Conto_economico!F16</f>
        <v>42836147.619999997</v>
      </c>
      <c r="F8" s="64">
        <f>Conto_economico!G16</f>
        <v>43247497.710000001</v>
      </c>
      <c r="G8" s="64">
        <f>Conto_economico!H16</f>
        <v>38116408.890000001</v>
      </c>
      <c r="H8" s="64">
        <f>Conto_economico!I16</f>
        <v>46511654.93</v>
      </c>
      <c r="I8" s="64">
        <f>Conto_economico!J16</f>
        <v>31223712.690000001</v>
      </c>
      <c r="J8" s="64">
        <f>Conto_economico!K16</f>
        <v>45740855.960000001</v>
      </c>
      <c r="K8" s="64">
        <f>Conto_economico!L16</f>
        <v>50697381.609999999</v>
      </c>
      <c r="L8" s="64">
        <f t="shared" si="0"/>
        <v>4956525.6499999985</v>
      </c>
    </row>
    <row r="9" spans="1:12" x14ac:dyDescent="0.3">
      <c r="A9" s="47" t="s">
        <v>384</v>
      </c>
      <c r="B9" s="66">
        <f>Conto_economico!C29</f>
        <v>63068457.620000005</v>
      </c>
      <c r="C9" s="66">
        <f>Conto_economico!D29</f>
        <v>59359355.519999951</v>
      </c>
      <c r="D9" s="66">
        <f>Conto_economico!E29</f>
        <v>41842698.709999979</v>
      </c>
      <c r="E9" s="66">
        <f>Conto_economico!F29</f>
        <v>54662339.810000002</v>
      </c>
      <c r="F9" s="66">
        <f>Conto_economico!G29</f>
        <v>42405759.590000004</v>
      </c>
      <c r="G9" s="66">
        <f>Conto_economico!H29</f>
        <v>45438030.420000046</v>
      </c>
      <c r="H9" s="66">
        <f>Conto_economico!I29</f>
        <v>64374468.180000007</v>
      </c>
      <c r="I9" s="66">
        <f>Conto_economico!J29</f>
        <v>43992019.200000048</v>
      </c>
      <c r="J9" s="66">
        <f>Conto_economico!K29</f>
        <v>34500692.540000021</v>
      </c>
      <c r="K9" s="66">
        <f>Conto_economico!L29</f>
        <v>70615054.569999933</v>
      </c>
      <c r="L9" s="66">
        <f t="shared" si="0"/>
        <v>36114362.029999912</v>
      </c>
    </row>
    <row r="10" spans="1:12" x14ac:dyDescent="0.3">
      <c r="A10" s="47" t="s">
        <v>307</v>
      </c>
      <c r="B10" s="66">
        <f>B2-B5</f>
        <v>33918471.620000005</v>
      </c>
      <c r="C10" s="66">
        <f>C2-C5</f>
        <v>30018739.339999974</v>
      </c>
      <c r="D10" s="66">
        <f t="shared" ref="D10:F10" si="1">D2-D5</f>
        <v>4086920.2900000215</v>
      </c>
      <c r="E10" s="66">
        <f t="shared" si="1"/>
        <v>4781061.75</v>
      </c>
      <c r="F10" s="66">
        <f t="shared" si="1"/>
        <v>-10772803.189999998</v>
      </c>
      <c r="G10" s="66">
        <f t="shared" ref="G10:K10" si="2">G2-G5</f>
        <v>4300169.6299999952</v>
      </c>
      <c r="H10" s="66">
        <f t="shared" ref="H10:J10" si="3">H2-H5</f>
        <v>2726914.6299999952</v>
      </c>
      <c r="I10" s="66">
        <f t="shared" si="3"/>
        <v>-7618939.0499999523</v>
      </c>
      <c r="J10" s="66">
        <f t="shared" si="3"/>
        <v>-20500129.329999983</v>
      </c>
      <c r="K10" s="66">
        <f t="shared" si="2"/>
        <v>11469068.189999938</v>
      </c>
      <c r="L10" s="66">
        <f t="shared" si="0"/>
        <v>31969197.519999921</v>
      </c>
    </row>
    <row r="11" spans="1:12" x14ac:dyDescent="0.3">
      <c r="A11" s="71" t="s">
        <v>308</v>
      </c>
      <c r="B11" s="64">
        <f>Conto_economico!C22-Conto_economico!C23</f>
        <v>-9656778.6500000004</v>
      </c>
      <c r="C11" s="64">
        <f>Conto_economico!D22-Conto_economico!D23</f>
        <v>-8712387.4299999997</v>
      </c>
      <c r="D11" s="64">
        <f>Conto_economico!E22-Conto_economico!E23</f>
        <v>3041906.6799999997</v>
      </c>
      <c r="E11" s="64">
        <f>Conto_economico!F22-Conto_economico!F23</f>
        <v>-7248103.1900000013</v>
      </c>
      <c r="F11" s="64">
        <f>Conto_economico!G22-Conto_economico!G23</f>
        <v>8313629.9099999983</v>
      </c>
      <c r="G11" s="64">
        <f>Conto_economico!H22-Conto_economico!H23</f>
        <v>13062065.25</v>
      </c>
      <c r="H11" s="64">
        <f>Conto_economico!I22-Conto_economico!I23</f>
        <v>16679694.790000001</v>
      </c>
      <c r="I11" s="64">
        <f>Conto_economico!J22-Conto_economico!J23</f>
        <v>32130327.699999999</v>
      </c>
      <c r="J11" s="64">
        <f>Conto_economico!K22-Conto_economico!K23</f>
        <v>18586542.43</v>
      </c>
      <c r="K11" s="64">
        <f>Conto_economico!L22-Conto_economico!L23</f>
        <v>23818052.839999996</v>
      </c>
      <c r="L11" s="64">
        <f t="shared" si="0"/>
        <v>5231510.4099999964</v>
      </c>
    </row>
    <row r="12" spans="1:12" x14ac:dyDescent="0.3">
      <c r="A12" s="71" t="s">
        <v>309</v>
      </c>
      <c r="B12" s="65">
        <f>Conto_economico!C25-Conto_economico!C26</f>
        <v>-18105296.550000001</v>
      </c>
      <c r="C12" s="65">
        <f>Conto_economico!D25-Conto_economico!D26</f>
        <v>12814015.130000003</v>
      </c>
      <c r="D12" s="65">
        <f>Conto_economico!E25-Conto_economico!E26</f>
        <v>35350189.25</v>
      </c>
      <c r="E12" s="65">
        <f>Conto_economico!F25-Conto_economico!F26</f>
        <v>25441393.850000001</v>
      </c>
      <c r="F12" s="65">
        <f>Conto_economico!G25-Conto_economico!G26</f>
        <v>26928419.890000004</v>
      </c>
      <c r="G12" s="65">
        <f>Conto_economico!H25-Conto_economico!H26</f>
        <v>9509146.0200000033</v>
      </c>
      <c r="H12" s="65">
        <f>Conto_economico!I25-Conto_economico!I26</f>
        <v>10456701.089999998</v>
      </c>
      <c r="I12" s="65">
        <f>Conto_economico!J25-Conto_economico!J26</f>
        <v>12627539.189999999</v>
      </c>
      <c r="J12" s="65">
        <f>Conto_economico!K25-Conto_economico!K26</f>
        <v>24293286.310000002</v>
      </c>
      <c r="K12" s="65">
        <f>Conto_economico!L25-Conto_economico!L26</f>
        <v>17689256.460000001</v>
      </c>
      <c r="L12" s="64">
        <f t="shared" si="0"/>
        <v>-6604029.8500000015</v>
      </c>
    </row>
    <row r="13" spans="1:12" x14ac:dyDescent="0.3">
      <c r="A13" s="71" t="s">
        <v>255</v>
      </c>
      <c r="B13" s="65">
        <f>Conto_economico!C24</f>
        <v>0</v>
      </c>
      <c r="C13" s="65">
        <f>Conto_economico!D24</f>
        <v>0</v>
      </c>
      <c r="D13" s="65">
        <f>Conto_economico!E24</f>
        <v>0</v>
      </c>
      <c r="E13" s="65">
        <f>Conto_economico!F24</f>
        <v>0</v>
      </c>
      <c r="F13" s="65">
        <f>Conto_economico!G24</f>
        <v>-6689088.8499999996</v>
      </c>
      <c r="G13" s="65">
        <f>Conto_economico!H24</f>
        <v>-227298.06</v>
      </c>
      <c r="H13" s="65">
        <f>Conto_economico!I24</f>
        <v>-4185502.73</v>
      </c>
      <c r="I13" s="65">
        <f>Conto_economico!J24</f>
        <v>0</v>
      </c>
      <c r="J13" s="65">
        <f>Conto_economico!K24</f>
        <v>0</v>
      </c>
      <c r="K13" s="65">
        <f>Conto_economico!L24</f>
        <v>-10226</v>
      </c>
      <c r="L13" s="64">
        <f t="shared" si="0"/>
        <v>-10226</v>
      </c>
    </row>
    <row r="14" spans="1:12" x14ac:dyDescent="0.3">
      <c r="A14" s="47" t="s">
        <v>310</v>
      </c>
      <c r="B14" s="66">
        <f>SUM(B10:B13)</f>
        <v>6156396.4200000055</v>
      </c>
      <c r="C14" s="66">
        <f>SUM(C10:C13)</f>
        <v>34120367.039999977</v>
      </c>
      <c r="D14" s="66">
        <f t="shared" ref="D14:F14" si="4">SUM(D10:D13)</f>
        <v>42479016.220000021</v>
      </c>
      <c r="E14" s="66">
        <f t="shared" si="4"/>
        <v>22974352.41</v>
      </c>
      <c r="F14" s="66">
        <f t="shared" si="4"/>
        <v>17780157.760000005</v>
      </c>
      <c r="G14" s="66">
        <f t="shared" ref="G14:K14" si="5">SUM(G10:G13)</f>
        <v>26644082.84</v>
      </c>
      <c r="H14" s="66">
        <f t="shared" ref="H14:J14" si="6">SUM(H10:H13)</f>
        <v>25677807.77999999</v>
      </c>
      <c r="I14" s="66">
        <f t="shared" si="6"/>
        <v>37138927.840000048</v>
      </c>
      <c r="J14" s="66">
        <f t="shared" si="6"/>
        <v>22379699.410000019</v>
      </c>
      <c r="K14" s="66">
        <f t="shared" si="5"/>
        <v>52966151.489999935</v>
      </c>
      <c r="L14" s="66">
        <f t="shared" si="0"/>
        <v>30586452.079999916</v>
      </c>
    </row>
    <row r="15" spans="1:12" x14ac:dyDescent="0.3">
      <c r="A15" s="71" t="s">
        <v>258</v>
      </c>
      <c r="B15" s="64">
        <f>Conto_economico!C27</f>
        <v>5344002.34</v>
      </c>
      <c r="C15" s="64">
        <f>Conto_economico!D27</f>
        <v>5072564.24</v>
      </c>
      <c r="D15" s="64">
        <f>Conto_economico!E27</f>
        <v>4364379.8600000003</v>
      </c>
      <c r="E15" s="64">
        <f>Conto_economico!F27</f>
        <v>4247767.2</v>
      </c>
      <c r="F15" s="64">
        <f>Conto_economico!G27</f>
        <v>4260889.29</v>
      </c>
      <c r="G15" s="64">
        <f>Conto_economico!H27</f>
        <v>4086774.35</v>
      </c>
      <c r="H15" s="64">
        <f>Conto_economico!I27</f>
        <v>3961034.05</v>
      </c>
      <c r="I15" s="64">
        <f>Conto_economico!J27</f>
        <v>4039356.83</v>
      </c>
      <c r="J15" s="64">
        <f>Conto_economico!K27</f>
        <v>4345663.29</v>
      </c>
      <c r="K15" s="64">
        <f>Conto_economico!L27</f>
        <v>4139371.83</v>
      </c>
      <c r="L15" s="64">
        <f t="shared" si="0"/>
        <v>-206291.45999999996</v>
      </c>
    </row>
    <row r="16" spans="1:12" x14ac:dyDescent="0.3">
      <c r="A16" s="70" t="s">
        <v>259</v>
      </c>
      <c r="B16" s="67">
        <f>B14-B15</f>
        <v>812394.08000000566</v>
      </c>
      <c r="C16" s="67">
        <f>C14-C15</f>
        <v>29047802.799999975</v>
      </c>
      <c r="D16" s="67">
        <f t="shared" ref="D16:F16" si="7">D14-D15</f>
        <v>38114636.360000022</v>
      </c>
      <c r="E16" s="67">
        <f t="shared" si="7"/>
        <v>18726585.210000001</v>
      </c>
      <c r="F16" s="67">
        <f t="shared" si="7"/>
        <v>13519268.470000006</v>
      </c>
      <c r="G16" s="67">
        <f t="shared" ref="G16:K16" si="8">G14-G15</f>
        <v>22557308.489999998</v>
      </c>
      <c r="H16" s="67">
        <f t="shared" ref="H16:J16" si="9">H14-H15</f>
        <v>21716773.729999989</v>
      </c>
      <c r="I16" s="67">
        <f t="shared" si="9"/>
        <v>33099571.01000005</v>
      </c>
      <c r="J16" s="67">
        <f t="shared" si="9"/>
        <v>18034036.12000002</v>
      </c>
      <c r="K16" s="67">
        <f t="shared" si="8"/>
        <v>48826779.659999937</v>
      </c>
      <c r="L16" s="67">
        <f t="shared" si="0"/>
        <v>30792743.539999917</v>
      </c>
    </row>
    <row r="18" spans="2:3" x14ac:dyDescent="0.3">
      <c r="B18" s="98"/>
      <c r="C18" s="98"/>
    </row>
    <row r="19" spans="2:3" x14ac:dyDescent="0.3">
      <c r="B19" s="104"/>
      <c r="C19" s="104"/>
    </row>
    <row r="20" spans="2:3" x14ac:dyDescent="0.3">
      <c r="B20" s="98"/>
      <c r="C20" s="98"/>
    </row>
  </sheetData>
  <conditionalFormatting sqref="B16:G16 K16:L16">
    <cfRule type="cellIs" dxfId="82" priority="19" operator="greaterThan">
      <formula>0</formula>
    </cfRule>
  </conditionalFormatting>
  <conditionalFormatting sqref="B10:G10 B14:G14 K14:L14 K10:L10">
    <cfRule type="cellIs" dxfId="81" priority="18" operator="lessThan">
      <formula>0</formula>
    </cfRule>
  </conditionalFormatting>
  <conditionalFormatting sqref="H16">
    <cfRule type="cellIs" dxfId="80" priority="10" operator="greaterThan">
      <formula>0</formula>
    </cfRule>
  </conditionalFormatting>
  <conditionalFormatting sqref="H14 H10">
    <cfRule type="cellIs" dxfId="79" priority="9" operator="lessThan">
      <formula>0</formula>
    </cfRule>
  </conditionalFormatting>
  <conditionalFormatting sqref="I16">
    <cfRule type="cellIs" dxfId="78" priority="8" operator="greaterThan">
      <formula>0</formula>
    </cfRule>
  </conditionalFormatting>
  <conditionalFormatting sqref="I14 I10">
    <cfRule type="cellIs" dxfId="77" priority="7" operator="lessThan">
      <formula>0</formula>
    </cfRule>
  </conditionalFormatting>
  <conditionalFormatting sqref="B9:I9 K9:L9">
    <cfRule type="cellIs" dxfId="76" priority="6" operator="lessThan">
      <formula>0</formula>
    </cfRule>
  </conditionalFormatting>
  <conditionalFormatting sqref="J16">
    <cfRule type="cellIs" dxfId="75" priority="3" operator="greaterThan">
      <formula>0</formula>
    </cfRule>
  </conditionalFormatting>
  <conditionalFormatting sqref="J14 J10">
    <cfRule type="cellIs" dxfId="74" priority="2" operator="lessThan">
      <formula>0</formula>
    </cfRule>
  </conditionalFormatting>
  <conditionalFormatting sqref="J9">
    <cfRule type="cellIs" dxfId="7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Entrate_Uscite</vt:lpstr>
      <vt:lpstr>Tav_Entrate</vt:lpstr>
      <vt:lpstr>Tav_Uscite</vt:lpstr>
      <vt:lpstr>Tav_Saldi</vt:lpstr>
      <vt:lpstr>Missione12_Programmi</vt:lpstr>
      <vt:lpstr>Missione12_Macroaggregati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2024-12-27T11:53:53Z</dcterms:modified>
</cp:coreProperties>
</file>