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7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5" r:id="rId5"/>
    <sheet name="Missione12_Macroaggregati" sheetId="16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H6" i="9"/>
  <c r="H5" i="9"/>
  <c r="H4" i="9"/>
  <c r="H3" i="9"/>
  <c r="H2" i="9"/>
  <c r="H28" i="8"/>
  <c r="H17" i="8"/>
  <c r="E29" i="8"/>
  <c r="E28" i="8"/>
  <c r="E26" i="8"/>
  <c r="H26" i="8" s="1"/>
  <c r="E25" i="8"/>
  <c r="H25" i="8" s="1"/>
  <c r="E24" i="8"/>
  <c r="E23" i="8"/>
  <c r="H23" i="8" s="1"/>
  <c r="E22" i="8"/>
  <c r="E19" i="8"/>
  <c r="E18" i="8"/>
  <c r="H18" i="8" s="1"/>
  <c r="E17" i="8"/>
  <c r="E16" i="8"/>
  <c r="H16" i="8" s="1"/>
  <c r="E14" i="8"/>
  <c r="E13" i="8"/>
  <c r="H13" i="8" s="1"/>
  <c r="E12" i="8"/>
  <c r="E11" i="8"/>
  <c r="E9" i="8"/>
  <c r="E8" i="8"/>
  <c r="E7" i="8"/>
  <c r="E6" i="8"/>
  <c r="E5" i="8"/>
  <c r="E4" i="8"/>
  <c r="E3" i="8"/>
  <c r="E2" i="8"/>
  <c r="K18" i="7"/>
  <c r="H19" i="7"/>
  <c r="H18" i="7"/>
  <c r="H17" i="7"/>
  <c r="H14" i="7"/>
  <c r="H13" i="7"/>
  <c r="K13" i="7" s="1"/>
  <c r="H12" i="7"/>
  <c r="H10" i="7"/>
  <c r="H9" i="7"/>
  <c r="H8" i="7"/>
  <c r="K8" i="7" s="1"/>
  <c r="H7" i="7"/>
  <c r="H6" i="7"/>
  <c r="H4" i="7"/>
  <c r="H3" i="7"/>
  <c r="H2" i="7"/>
  <c r="X55" i="2"/>
  <c r="AA55" i="2" s="1"/>
  <c r="X54" i="2"/>
  <c r="AA54" i="2" s="1"/>
  <c r="W53" i="2"/>
  <c r="X52" i="2"/>
  <c r="W52" i="2"/>
  <c r="X51" i="2"/>
  <c r="AA51" i="2" s="1"/>
  <c r="W51" i="2"/>
  <c r="Z51" i="2" s="1"/>
  <c r="X50" i="2"/>
  <c r="W50" i="2"/>
  <c r="Z50" i="2" s="1"/>
  <c r="X49" i="2"/>
  <c r="W49" i="2"/>
  <c r="X48" i="2"/>
  <c r="W48" i="2"/>
  <c r="W54" i="2" s="1"/>
  <c r="X16" i="2"/>
  <c r="W16" i="2"/>
  <c r="X15" i="2"/>
  <c r="W15" i="2"/>
  <c r="X14" i="2"/>
  <c r="X20" i="2" s="1"/>
  <c r="W14" i="2"/>
  <c r="W20" i="2" s="1"/>
  <c r="AA59" i="2"/>
  <c r="AA58" i="2"/>
  <c r="AA57" i="2"/>
  <c r="Z57" i="2"/>
  <c r="AA56" i="2"/>
  <c r="AA53" i="2"/>
  <c r="Z53" i="2"/>
  <c r="AA52" i="2"/>
  <c r="Z52" i="2"/>
  <c r="AA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E15" i="8" l="1"/>
  <c r="H5" i="7"/>
  <c r="E27" i="8"/>
  <c r="E20" i="8"/>
  <c r="E10" i="8"/>
  <c r="H15" i="7"/>
  <c r="H11" i="7"/>
  <c r="W55" i="2"/>
  <c r="Z55" i="2" s="1"/>
  <c r="Z54" i="2"/>
  <c r="AA20" i="2"/>
  <c r="X21" i="2"/>
  <c r="AA21" i="2" s="1"/>
  <c r="W21" i="2"/>
  <c r="Z21" i="2" s="1"/>
  <c r="Z20" i="2"/>
  <c r="AA14" i="2"/>
  <c r="E30" i="8" l="1"/>
  <c r="E21" i="8"/>
  <c r="H16" i="7"/>
  <c r="H20" i="7"/>
  <c r="T57" i="2"/>
  <c r="T54" i="2"/>
  <c r="T55" i="2" s="1"/>
  <c r="T53" i="2"/>
  <c r="V53" i="2" s="1"/>
  <c r="U52" i="2"/>
  <c r="T52" i="2"/>
  <c r="V52" i="2" s="1"/>
  <c r="U51" i="2"/>
  <c r="T51" i="2"/>
  <c r="V51" i="2" s="1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T20" i="2"/>
  <c r="T21" i="2" s="1"/>
  <c r="V19" i="2"/>
  <c r="V18" i="2"/>
  <c r="V17" i="2"/>
  <c r="U16" i="2"/>
  <c r="T16" i="2"/>
  <c r="V16" i="2" s="1"/>
  <c r="U15" i="2"/>
  <c r="V15" i="2" s="1"/>
  <c r="T15" i="2"/>
  <c r="V14" i="2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K24" i="5"/>
  <c r="J27" i="5"/>
  <c r="J24" i="5"/>
  <c r="J26" i="5" s="1"/>
  <c r="J13" i="5"/>
  <c r="J15" i="10"/>
  <c r="J13" i="10"/>
  <c r="J12" i="10"/>
  <c r="J11" i="10"/>
  <c r="J9" i="10"/>
  <c r="J8" i="10"/>
  <c r="J7" i="10"/>
  <c r="J6" i="10"/>
  <c r="J5" i="10"/>
  <c r="J4" i="10"/>
  <c r="J3" i="10"/>
  <c r="J2" i="10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J23" i="1"/>
  <c r="J19" i="1"/>
  <c r="J13" i="1"/>
  <c r="J7" i="1"/>
  <c r="J14" i="16"/>
  <c r="I17" i="16"/>
  <c r="I16" i="16"/>
  <c r="I18" i="16" s="1"/>
  <c r="I15" i="16"/>
  <c r="J8" i="16" s="1"/>
  <c r="H114" i="15"/>
  <c r="H113" i="15"/>
  <c r="H112" i="15"/>
  <c r="H110" i="15"/>
  <c r="H111" i="15"/>
  <c r="H109" i="15"/>
  <c r="H108" i="15"/>
  <c r="H107" i="15"/>
  <c r="H106" i="15"/>
  <c r="I106" i="15"/>
  <c r="I114" i="15"/>
  <c r="I113" i="15"/>
  <c r="I112" i="15"/>
  <c r="I110" i="15"/>
  <c r="I111" i="15"/>
  <c r="I109" i="15"/>
  <c r="I108" i="15"/>
  <c r="I107" i="15"/>
  <c r="C24" i="15"/>
  <c r="B24" i="15"/>
  <c r="F25" i="15" s="1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J10" i="10" l="1"/>
  <c r="J14" i="10" s="1"/>
  <c r="J16" i="10" s="1"/>
  <c r="J21" i="1"/>
  <c r="I115" i="15"/>
  <c r="H115" i="15"/>
  <c r="E31" i="8"/>
  <c r="H21" i="7"/>
  <c r="T59" i="2"/>
  <c r="U20" i="2"/>
  <c r="U21" i="2" s="1"/>
  <c r="U59" i="2" s="1"/>
  <c r="V48" i="2"/>
  <c r="U54" i="2"/>
  <c r="U55" i="2" s="1"/>
  <c r="V55" i="2" s="1"/>
  <c r="U57" i="2"/>
  <c r="V20" i="2"/>
  <c r="T58" i="2"/>
  <c r="U58" i="2"/>
  <c r="U60" i="2"/>
  <c r="J28" i="5"/>
  <c r="K28" i="6"/>
  <c r="J17" i="16"/>
  <c r="J9" i="16"/>
  <c r="J2" i="16"/>
  <c r="J10" i="16"/>
  <c r="J3" i="16"/>
  <c r="J6" i="16"/>
  <c r="J11" i="16"/>
  <c r="J4" i="16"/>
  <c r="J12" i="16"/>
  <c r="J5" i="16"/>
  <c r="J13" i="16"/>
  <c r="J7" i="16"/>
  <c r="J15" i="16"/>
  <c r="J16" i="16"/>
  <c r="D24" i="15"/>
  <c r="E24" i="15"/>
  <c r="E3" i="13"/>
  <c r="G3" i="13"/>
  <c r="G4" i="13"/>
  <c r="V54" i="2" l="1"/>
  <c r="V21" i="2"/>
  <c r="J9" i="12"/>
  <c r="J8" i="12"/>
  <c r="J7" i="12"/>
  <c r="J6" i="12"/>
  <c r="J5" i="12"/>
  <c r="J4" i="12"/>
  <c r="J3" i="12"/>
  <c r="J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l="1"/>
  <c r="G15" i="7"/>
  <c r="D10" i="8"/>
  <c r="D15" i="8"/>
  <c r="D20" i="8"/>
  <c r="D27" i="8"/>
  <c r="G11" i="7"/>
  <c r="G16" i="7" s="1"/>
  <c r="G20" i="7" l="1"/>
  <c r="D21" i="8"/>
  <c r="Q53" i="2"/>
  <c r="R52" i="2"/>
  <c r="Q52" i="2"/>
  <c r="R51" i="2"/>
  <c r="Q51" i="2"/>
  <c r="R50" i="2"/>
  <c r="Q50" i="2"/>
  <c r="R49" i="2"/>
  <c r="Q49" i="2"/>
  <c r="R48" i="2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Q58" i="2" l="1"/>
  <c r="G5" i="9" s="1"/>
  <c r="S15" i="2"/>
  <c r="S16" i="2"/>
  <c r="G4" i="9"/>
  <c r="S48" i="2"/>
  <c r="Q57" i="2"/>
  <c r="S50" i="2"/>
  <c r="S51" i="2"/>
  <c r="S52" i="2"/>
  <c r="D28" i="8"/>
  <c r="S53" i="2"/>
  <c r="D29" i="8"/>
  <c r="R58" i="2"/>
  <c r="R57" i="2"/>
  <c r="R61" i="2"/>
  <c r="G21" i="7"/>
  <c r="S14" i="2"/>
  <c r="Q20" i="2"/>
  <c r="S49" i="2"/>
  <c r="Q54" i="2"/>
  <c r="Q56" i="2"/>
  <c r="G2" i="9" s="1"/>
  <c r="R60" i="2"/>
  <c r="R20" i="2"/>
  <c r="R54" i="2"/>
  <c r="R55" i="2" s="1"/>
  <c r="R56" i="2"/>
  <c r="I27" i="5"/>
  <c r="I24" i="5"/>
  <c r="I26" i="5" s="1"/>
  <c r="I13" i="5"/>
  <c r="I15" i="10"/>
  <c r="I13" i="10"/>
  <c r="I12" i="10"/>
  <c r="I11" i="10"/>
  <c r="I8" i="10"/>
  <c r="I7" i="10"/>
  <c r="I6" i="10"/>
  <c r="I4" i="10"/>
  <c r="I3" i="10"/>
  <c r="J21" i="6"/>
  <c r="I5" i="10" s="1"/>
  <c r="J10" i="6"/>
  <c r="J29" i="6" s="1"/>
  <c r="I9" i="10" s="1"/>
  <c r="G17" i="16"/>
  <c r="G16" i="16"/>
  <c r="G15" i="16"/>
  <c r="I23" i="1"/>
  <c r="I19" i="1"/>
  <c r="I13" i="1"/>
  <c r="I7" i="1"/>
  <c r="I21" i="1" s="1"/>
  <c r="G114" i="15"/>
  <c r="G112" i="15"/>
  <c r="G110" i="15"/>
  <c r="G111" i="15"/>
  <c r="G109" i="15"/>
  <c r="G108" i="15"/>
  <c r="G107" i="15"/>
  <c r="G113" i="15"/>
  <c r="G106" i="15"/>
  <c r="C37" i="15"/>
  <c r="B37" i="15"/>
  <c r="F38" i="15" s="1"/>
  <c r="E36" i="15"/>
  <c r="D36" i="15"/>
  <c r="E35" i="15"/>
  <c r="D35" i="15"/>
  <c r="E34" i="15"/>
  <c r="D34" i="15"/>
  <c r="E33" i="15"/>
  <c r="D33" i="15"/>
  <c r="E32" i="15"/>
  <c r="D32" i="15"/>
  <c r="E31" i="15"/>
  <c r="D31" i="15"/>
  <c r="E30" i="15"/>
  <c r="D30" i="15"/>
  <c r="E29" i="15"/>
  <c r="D29" i="15"/>
  <c r="E28" i="15"/>
  <c r="D28" i="15"/>
  <c r="H17" i="16"/>
  <c r="F17" i="16"/>
  <c r="E17" i="16"/>
  <c r="D17" i="16"/>
  <c r="C17" i="16"/>
  <c r="B17" i="16"/>
  <c r="H16" i="16"/>
  <c r="F16" i="16"/>
  <c r="E16" i="16"/>
  <c r="D16" i="16"/>
  <c r="C16" i="16"/>
  <c r="B16" i="16"/>
  <c r="H15" i="16"/>
  <c r="F15" i="16"/>
  <c r="E15" i="16"/>
  <c r="E18" i="16" s="1"/>
  <c r="D15" i="16"/>
  <c r="C15" i="16"/>
  <c r="B15" i="16"/>
  <c r="F114" i="15"/>
  <c r="E114" i="15"/>
  <c r="D114" i="15"/>
  <c r="C114" i="15"/>
  <c r="B114" i="15"/>
  <c r="F113" i="15"/>
  <c r="E113" i="15"/>
  <c r="D113" i="15"/>
  <c r="C113" i="15"/>
  <c r="B113" i="15"/>
  <c r="F112" i="15"/>
  <c r="E112" i="15"/>
  <c r="D112" i="15"/>
  <c r="C112" i="15"/>
  <c r="B112" i="15"/>
  <c r="F110" i="15"/>
  <c r="E110" i="15"/>
  <c r="D110" i="15"/>
  <c r="C110" i="15"/>
  <c r="B110" i="15"/>
  <c r="F111" i="15"/>
  <c r="E111" i="15"/>
  <c r="D111" i="15"/>
  <c r="C111" i="15"/>
  <c r="B111" i="15"/>
  <c r="F109" i="15"/>
  <c r="E109" i="15"/>
  <c r="D109" i="15"/>
  <c r="C109" i="15"/>
  <c r="B109" i="15"/>
  <c r="F108" i="15"/>
  <c r="E108" i="15"/>
  <c r="D108" i="15"/>
  <c r="C108" i="15"/>
  <c r="B108" i="15"/>
  <c r="F107" i="15"/>
  <c r="E107" i="15"/>
  <c r="D107" i="15"/>
  <c r="C107" i="15"/>
  <c r="B107" i="15"/>
  <c r="F106" i="15"/>
  <c r="E106" i="15"/>
  <c r="D106" i="15"/>
  <c r="C106" i="15"/>
  <c r="B106" i="15"/>
  <c r="C102" i="15"/>
  <c r="B102" i="15"/>
  <c r="F98" i="15" s="1"/>
  <c r="E101" i="15"/>
  <c r="D101" i="15"/>
  <c r="E100" i="15"/>
  <c r="D100" i="15"/>
  <c r="E99" i="15"/>
  <c r="D99" i="15"/>
  <c r="E98" i="15"/>
  <c r="D98" i="15"/>
  <c r="E97" i="15"/>
  <c r="D97" i="15"/>
  <c r="E96" i="15"/>
  <c r="D96" i="15"/>
  <c r="E95" i="15"/>
  <c r="D95" i="15"/>
  <c r="E94" i="15"/>
  <c r="D94" i="15"/>
  <c r="E93" i="15"/>
  <c r="D93" i="15"/>
  <c r="C89" i="15"/>
  <c r="B89" i="15"/>
  <c r="F88" i="15" s="1"/>
  <c r="E88" i="15"/>
  <c r="D88" i="15"/>
  <c r="E87" i="15"/>
  <c r="D87" i="15"/>
  <c r="E86" i="15"/>
  <c r="D86" i="15"/>
  <c r="E85" i="15"/>
  <c r="D85" i="15"/>
  <c r="E84" i="15"/>
  <c r="D84" i="15"/>
  <c r="E83" i="15"/>
  <c r="D83" i="15"/>
  <c r="E82" i="15"/>
  <c r="D82" i="15"/>
  <c r="E81" i="15"/>
  <c r="D81" i="15"/>
  <c r="E80" i="15"/>
  <c r="D80" i="15"/>
  <c r="C76" i="15"/>
  <c r="B76" i="15"/>
  <c r="F74" i="15" s="1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C63" i="15"/>
  <c r="B63" i="15"/>
  <c r="F60" i="15" s="1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C50" i="15"/>
  <c r="B50" i="15"/>
  <c r="F51" i="15" s="1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C11" i="15"/>
  <c r="B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E3" i="15"/>
  <c r="D3" i="15"/>
  <c r="E2" i="15"/>
  <c r="D2" i="15"/>
  <c r="D115" i="15" l="1"/>
  <c r="E115" i="15"/>
  <c r="G115" i="15"/>
  <c r="F115" i="15"/>
  <c r="B115" i="15"/>
  <c r="F54" i="15"/>
  <c r="C115" i="15"/>
  <c r="F69" i="15"/>
  <c r="F59" i="15"/>
  <c r="F101" i="15"/>
  <c r="F42" i="15"/>
  <c r="F18" i="15"/>
  <c r="F23" i="15"/>
  <c r="F15" i="15"/>
  <c r="F20" i="15"/>
  <c r="F16" i="15"/>
  <c r="F17" i="15"/>
  <c r="F21" i="15"/>
  <c r="F22" i="15"/>
  <c r="F19" i="15"/>
  <c r="F24" i="15"/>
  <c r="R21" i="2"/>
  <c r="D30" i="8"/>
  <c r="F67" i="15"/>
  <c r="F72" i="15"/>
  <c r="B18" i="16"/>
  <c r="D18" i="16"/>
  <c r="G3" i="9"/>
  <c r="C18" i="16"/>
  <c r="Q55" i="2"/>
  <c r="S55" i="2" s="1"/>
  <c r="S54" i="2"/>
  <c r="Q21" i="2"/>
  <c r="S20" i="2"/>
  <c r="R59" i="2"/>
  <c r="I28" i="5"/>
  <c r="F56" i="15"/>
  <c r="F62" i="15"/>
  <c r="F68" i="15"/>
  <c r="F70" i="15"/>
  <c r="F75" i="15"/>
  <c r="F18" i="16"/>
  <c r="G18" i="16"/>
  <c r="J28" i="6"/>
  <c r="I2" i="10"/>
  <c r="I10" i="10" s="1"/>
  <c r="I14" i="10" s="1"/>
  <c r="I16" i="10" s="1"/>
  <c r="H18" i="16"/>
  <c r="F57" i="15"/>
  <c r="D50" i="15"/>
  <c r="D63" i="15"/>
  <c r="F73" i="15"/>
  <c r="E76" i="15"/>
  <c r="E63" i="15"/>
  <c r="F76" i="15"/>
  <c r="F96" i="15"/>
  <c r="E50" i="15"/>
  <c r="F58" i="15"/>
  <c r="F61" i="15"/>
  <c r="F63" i="15"/>
  <c r="F71" i="15"/>
  <c r="F77" i="15"/>
  <c r="F93" i="15"/>
  <c r="F55" i="15"/>
  <c r="F10" i="15"/>
  <c r="F64" i="15"/>
  <c r="F83" i="15"/>
  <c r="F7" i="15"/>
  <c r="F48" i="15"/>
  <c r="F45" i="15"/>
  <c r="F32" i="15"/>
  <c r="F29" i="15"/>
  <c r="F4" i="15"/>
  <c r="F30" i="15"/>
  <c r="F2" i="15"/>
  <c r="F11" i="15"/>
  <c r="F46" i="15"/>
  <c r="F33" i="15"/>
  <c r="F35" i="15"/>
  <c r="F5" i="15"/>
  <c r="F43" i="15"/>
  <c r="F12" i="15"/>
  <c r="F28" i="15"/>
  <c r="F36" i="15"/>
  <c r="F9" i="15"/>
  <c r="F31" i="15"/>
  <c r="F50" i="15"/>
  <c r="F34" i="15"/>
  <c r="D37" i="15"/>
  <c r="F37" i="15"/>
  <c r="E37" i="15"/>
  <c r="D76" i="15"/>
  <c r="F86" i="15"/>
  <c r="F81" i="15"/>
  <c r="D89" i="15"/>
  <c r="F99" i="15"/>
  <c r="F84" i="15"/>
  <c r="E89" i="15"/>
  <c r="F94" i="15"/>
  <c r="D102" i="15"/>
  <c r="F41" i="15"/>
  <c r="F49" i="15"/>
  <c r="F87" i="15"/>
  <c r="F89" i="15"/>
  <c r="F97" i="15"/>
  <c r="E102" i="15"/>
  <c r="F8" i="15"/>
  <c r="F44" i="15"/>
  <c r="F82" i="15"/>
  <c r="F90" i="15"/>
  <c r="F100" i="15"/>
  <c r="F102" i="15"/>
  <c r="F3" i="15"/>
  <c r="D11" i="15"/>
  <c r="F47" i="15"/>
  <c r="F85" i="15"/>
  <c r="F95" i="15"/>
  <c r="F103" i="15"/>
  <c r="F6" i="15"/>
  <c r="E11" i="15"/>
  <c r="F80" i="15"/>
  <c r="D31" i="8" l="1"/>
  <c r="S21" i="2"/>
  <c r="Q59" i="2"/>
  <c r="G6" i="9" s="1"/>
  <c r="G11" i="13"/>
  <c r="G10" i="13"/>
  <c r="G9" i="13"/>
  <c r="G8" i="13"/>
  <c r="G7" i="13"/>
  <c r="G6" i="13"/>
  <c r="G5" i="13"/>
  <c r="E27" i="5" l="1"/>
  <c r="F27" i="5"/>
  <c r="G27" i="5"/>
  <c r="H27" i="5"/>
  <c r="K27" i="5"/>
  <c r="I9" i="12" l="1"/>
  <c r="I8" i="12"/>
  <c r="I7" i="12"/>
  <c r="I6" i="12"/>
  <c r="I5" i="12"/>
  <c r="I4" i="12"/>
  <c r="I3" i="12"/>
  <c r="I2" i="12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K4" i="9"/>
  <c r="F15" i="7" l="1"/>
  <c r="C10" i="8"/>
  <c r="C15" i="8"/>
  <c r="C20" i="8"/>
  <c r="C27" i="8"/>
  <c r="F5" i="7"/>
  <c r="F11" i="7"/>
  <c r="C21" i="8" l="1"/>
  <c r="F16" i="7"/>
  <c r="F20" i="7"/>
  <c r="F21" i="7" l="1"/>
  <c r="N53" i="2"/>
  <c r="P53" i="2" s="1"/>
  <c r="O52" i="2"/>
  <c r="N52" i="2"/>
  <c r="O51" i="2"/>
  <c r="N51" i="2"/>
  <c r="O50" i="2"/>
  <c r="N50" i="2"/>
  <c r="O49" i="2"/>
  <c r="N49" i="2"/>
  <c r="O48" i="2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H24" i="5"/>
  <c r="H26" i="5" s="1"/>
  <c r="H28" i="5" s="1"/>
  <c r="H13" i="5"/>
  <c r="H15" i="10"/>
  <c r="H13" i="10"/>
  <c r="H12" i="10"/>
  <c r="H11" i="10"/>
  <c r="H8" i="10"/>
  <c r="H7" i="10"/>
  <c r="H6" i="10"/>
  <c r="H4" i="10"/>
  <c r="H3" i="10"/>
  <c r="I21" i="6"/>
  <c r="H5" i="10" s="1"/>
  <c r="I10" i="6"/>
  <c r="H23" i="1"/>
  <c r="H19" i="1"/>
  <c r="H13" i="1"/>
  <c r="H7" i="1"/>
  <c r="H21" i="1" s="1"/>
  <c r="I28" i="6" l="1"/>
  <c r="I29" i="6"/>
  <c r="H9" i="10" s="1"/>
  <c r="O60" i="2"/>
  <c r="O58" i="2"/>
  <c r="O20" i="2"/>
  <c r="P48" i="2"/>
  <c r="P49" i="2"/>
  <c r="P50" i="2"/>
  <c r="O54" i="2"/>
  <c r="O55" i="2" s="1"/>
  <c r="N56" i="2"/>
  <c r="F2" i="9" s="1"/>
  <c r="P15" i="2"/>
  <c r="P16" i="2"/>
  <c r="F4" i="9"/>
  <c r="O57" i="2"/>
  <c r="P51" i="2"/>
  <c r="P52" i="2"/>
  <c r="C28" i="8"/>
  <c r="C29" i="8"/>
  <c r="O56" i="2"/>
  <c r="H2" i="10"/>
  <c r="H10" i="10" s="1"/>
  <c r="H14" i="10" s="1"/>
  <c r="H16" i="10" s="1"/>
  <c r="O61" i="2"/>
  <c r="N20" i="2"/>
  <c r="N54" i="2"/>
  <c r="N57" i="2"/>
  <c r="N58" i="2"/>
  <c r="F5" i="9" s="1"/>
  <c r="P14" i="2"/>
  <c r="H9" i="12"/>
  <c r="H8" i="12"/>
  <c r="H7" i="12"/>
  <c r="H6" i="12"/>
  <c r="H5" i="12"/>
  <c r="H4" i="12"/>
  <c r="H3" i="12"/>
  <c r="H2" i="12"/>
  <c r="B26" i="8"/>
  <c r="B25" i="8"/>
  <c r="B24" i="8"/>
  <c r="B23" i="8"/>
  <c r="B22" i="8"/>
  <c r="B19" i="8"/>
  <c r="B18" i="8"/>
  <c r="B17" i="8"/>
  <c r="B16" i="8"/>
  <c r="B14" i="8"/>
  <c r="B13" i="8"/>
  <c r="B12" i="8"/>
  <c r="B11" i="8"/>
  <c r="B9" i="8"/>
  <c r="B8" i="8"/>
  <c r="B7" i="8"/>
  <c r="B6" i="8"/>
  <c r="B5" i="8"/>
  <c r="B4" i="8"/>
  <c r="B3" i="8"/>
  <c r="B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F3" i="9" l="1"/>
  <c r="C30" i="8"/>
  <c r="O21" i="2"/>
  <c r="O59" i="2" s="1"/>
  <c r="N55" i="2"/>
  <c r="P55" i="2" s="1"/>
  <c r="P54" i="2"/>
  <c r="N21" i="2"/>
  <c r="P20" i="2"/>
  <c r="E5" i="7"/>
  <c r="B27" i="8"/>
  <c r="B10" i="8"/>
  <c r="B15" i="8"/>
  <c r="B20" i="8"/>
  <c r="E15" i="7"/>
  <c r="E11" i="7"/>
  <c r="C31" i="8" l="1"/>
  <c r="P21" i="2"/>
  <c r="N59" i="2"/>
  <c r="F6" i="9" s="1"/>
  <c r="E16" i="7"/>
  <c r="B21" i="8"/>
  <c r="E20" i="7"/>
  <c r="K53" i="2"/>
  <c r="M53" i="2" s="1"/>
  <c r="L52" i="2"/>
  <c r="K52" i="2"/>
  <c r="L51" i="2"/>
  <c r="K51" i="2"/>
  <c r="M51" i="2" s="1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K26" i="5"/>
  <c r="K28" i="5" s="1"/>
  <c r="K13" i="5"/>
  <c r="K15" i="10"/>
  <c r="L15" i="10" s="1"/>
  <c r="K13" i="10"/>
  <c r="L13" i="10" s="1"/>
  <c r="K12" i="10"/>
  <c r="L12" i="10" s="1"/>
  <c r="K11" i="10"/>
  <c r="L11" i="10" s="1"/>
  <c r="K8" i="10"/>
  <c r="L8" i="10" s="1"/>
  <c r="K7" i="10"/>
  <c r="L7" i="10" s="1"/>
  <c r="K6" i="10"/>
  <c r="L6" i="10" s="1"/>
  <c r="K4" i="10"/>
  <c r="L4" i="10" s="1"/>
  <c r="K3" i="10"/>
  <c r="L3" i="10" s="1"/>
  <c r="L21" i="6"/>
  <c r="M21" i="6" s="1"/>
  <c r="L10" i="6"/>
  <c r="M10" i="6" s="1"/>
  <c r="K23" i="1"/>
  <c r="K19" i="1"/>
  <c r="K13" i="1"/>
  <c r="K7" i="1"/>
  <c r="L29" i="6" l="1"/>
  <c r="M29" i="6" s="1"/>
  <c r="M14" i="2"/>
  <c r="K2" i="10"/>
  <c r="L2" i="10" s="1"/>
  <c r="K5" i="10"/>
  <c r="L5" i="10" s="1"/>
  <c r="L60" i="2"/>
  <c r="L61" i="2"/>
  <c r="K57" i="2"/>
  <c r="K54" i="2"/>
  <c r="B29" i="8"/>
  <c r="L57" i="2"/>
  <c r="L54" i="2"/>
  <c r="K20" i="2"/>
  <c r="L20" i="2"/>
  <c r="M16" i="2"/>
  <c r="E4" i="9"/>
  <c r="M49" i="2"/>
  <c r="M50" i="2"/>
  <c r="M52" i="2"/>
  <c r="B28" i="8"/>
  <c r="L56" i="2"/>
  <c r="E21" i="7"/>
  <c r="M54" i="2"/>
  <c r="K55" i="2"/>
  <c r="L58" i="2"/>
  <c r="K56" i="2"/>
  <c r="M15" i="2"/>
  <c r="M48" i="2"/>
  <c r="K58" i="2"/>
  <c r="L28" i="6"/>
  <c r="M28" i="6" s="1"/>
  <c r="K21" i="1"/>
  <c r="K9" i="10" l="1"/>
  <c r="L9" i="10" s="1"/>
  <c r="K10" i="10"/>
  <c r="L10" i="10" s="1"/>
  <c r="B30" i="8"/>
  <c r="L21" i="2"/>
  <c r="E2" i="9"/>
  <c r="K21" i="2"/>
  <c r="E5" i="9"/>
  <c r="M20" i="2"/>
  <c r="L55" i="2"/>
  <c r="M55" i="2" s="1"/>
  <c r="E3" i="9"/>
  <c r="K14" i="10" l="1"/>
  <c r="L14" i="10" s="1"/>
  <c r="M21" i="2"/>
  <c r="K59" i="2"/>
  <c r="E6" i="9" s="1"/>
  <c r="L59" i="2"/>
  <c r="B31" i="8"/>
  <c r="K16" i="10" l="1"/>
  <c r="L16" i="10" s="1"/>
  <c r="I4" i="9"/>
  <c r="J4" i="9" s="1"/>
  <c r="L9" i="12"/>
  <c r="L8" i="12"/>
  <c r="L7" i="12"/>
  <c r="L6" i="12"/>
  <c r="L5" i="12"/>
  <c r="L4" i="12"/>
  <c r="L3" i="12"/>
  <c r="L2" i="12"/>
  <c r="M26" i="8"/>
  <c r="M25" i="8"/>
  <c r="M24" i="8"/>
  <c r="M23" i="8"/>
  <c r="M22" i="8"/>
  <c r="M19" i="8"/>
  <c r="M18" i="8"/>
  <c r="M17" i="8"/>
  <c r="M16" i="8"/>
  <c r="M14" i="8"/>
  <c r="M13" i="8"/>
  <c r="M12" i="8"/>
  <c r="M11" i="8"/>
  <c r="M9" i="8"/>
  <c r="M8" i="8"/>
  <c r="M7" i="8"/>
  <c r="M6" i="8"/>
  <c r="M5" i="8"/>
  <c r="M4" i="8"/>
  <c r="M3" i="8"/>
  <c r="M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K5" i="9" s="1"/>
  <c r="W58" i="2"/>
  <c r="Z58" i="2" s="1"/>
  <c r="X57" i="2"/>
  <c r="K3" i="9" s="1"/>
  <c r="W57" i="2"/>
  <c r="I3" i="9" s="1"/>
  <c r="J3" i="9" s="1"/>
  <c r="X56" i="2"/>
  <c r="W56" i="2"/>
  <c r="Z56" i="2" s="1"/>
  <c r="H53" i="2"/>
  <c r="J53" i="2" s="1"/>
  <c r="I52" i="2"/>
  <c r="H52" i="2"/>
  <c r="M28" i="8" s="1"/>
  <c r="I51" i="2"/>
  <c r="H51" i="2"/>
  <c r="J51" i="2" s="1"/>
  <c r="I50" i="2"/>
  <c r="H50" i="2"/>
  <c r="J50" i="2" s="1"/>
  <c r="I49" i="2"/>
  <c r="H49" i="2"/>
  <c r="I48" i="2"/>
  <c r="H48" i="2"/>
  <c r="J48" i="2" s="1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D4" i="9" s="1"/>
  <c r="I15" i="2"/>
  <c r="I57" i="2" s="1"/>
  <c r="H15" i="2"/>
  <c r="H57" i="2" s="1"/>
  <c r="D3" i="9" s="1"/>
  <c r="I14" i="2"/>
  <c r="H14" i="2"/>
  <c r="H58" i="2" s="1"/>
  <c r="D5" i="9" s="1"/>
  <c r="J13" i="2"/>
  <c r="J12" i="2"/>
  <c r="J11" i="2"/>
  <c r="J10" i="2"/>
  <c r="J9" i="2"/>
  <c r="J8" i="2"/>
  <c r="J7" i="2"/>
  <c r="J6" i="2"/>
  <c r="J5" i="2"/>
  <c r="J4" i="2"/>
  <c r="J3" i="2"/>
  <c r="G24" i="5"/>
  <c r="G26" i="5" s="1"/>
  <c r="G28" i="5" s="1"/>
  <c r="G13" i="5"/>
  <c r="G15" i="10"/>
  <c r="G13" i="10"/>
  <c r="G12" i="10"/>
  <c r="G11" i="10"/>
  <c r="G8" i="10"/>
  <c r="G7" i="10"/>
  <c r="G6" i="10"/>
  <c r="G4" i="10"/>
  <c r="G3" i="10"/>
  <c r="H21" i="6"/>
  <c r="H10" i="6"/>
  <c r="G23" i="1"/>
  <c r="F23" i="1"/>
  <c r="E23" i="1"/>
  <c r="D23" i="1"/>
  <c r="C23" i="1"/>
  <c r="B23" i="1"/>
  <c r="G2" i="10" l="1"/>
  <c r="H29" i="6"/>
  <c r="G9" i="10" s="1"/>
  <c r="I61" i="2"/>
  <c r="K2" i="9"/>
  <c r="J52" i="2"/>
  <c r="I20" i="2"/>
  <c r="I21" i="2" s="1"/>
  <c r="I56" i="2"/>
  <c r="I58" i="2"/>
  <c r="I2" i="9"/>
  <c r="J2" i="9" s="1"/>
  <c r="I5" i="9"/>
  <c r="J5" i="9" s="1"/>
  <c r="M29" i="8"/>
  <c r="J15" i="2"/>
  <c r="H56" i="2"/>
  <c r="D2" i="9" s="1"/>
  <c r="I60" i="2"/>
  <c r="D5" i="7"/>
  <c r="G5" i="10"/>
  <c r="M10" i="8"/>
  <c r="M15" i="8"/>
  <c r="M27" i="8"/>
  <c r="M20" i="8"/>
  <c r="D11" i="7"/>
  <c r="D15" i="7"/>
  <c r="J14" i="2"/>
  <c r="J16" i="2"/>
  <c r="I54" i="2"/>
  <c r="I55" i="2" s="1"/>
  <c r="H54" i="2"/>
  <c r="H20" i="2"/>
  <c r="J49" i="2"/>
  <c r="H28" i="6"/>
  <c r="J54" i="2" l="1"/>
  <c r="M30" i="8"/>
  <c r="M31" i="8" s="1"/>
  <c r="I59" i="2"/>
  <c r="D16" i="7"/>
  <c r="M21" i="8"/>
  <c r="G10" i="10"/>
  <c r="G14" i="10" s="1"/>
  <c r="D20" i="7"/>
  <c r="H55" i="2"/>
  <c r="J55" i="2" s="1"/>
  <c r="J20" i="2"/>
  <c r="H21" i="2"/>
  <c r="H59" i="2" l="1"/>
  <c r="D6" i="9" s="1"/>
  <c r="D21" i="7"/>
  <c r="G16" i="10"/>
  <c r="J21" i="2"/>
  <c r="G12" i="1" l="1"/>
  <c r="G13" i="1" s="1"/>
  <c r="G19" i="1"/>
  <c r="G7" i="1"/>
  <c r="B24" i="5"/>
  <c r="B23" i="5"/>
  <c r="B21" i="5"/>
  <c r="B15" i="5"/>
  <c r="B27" i="5" s="1"/>
  <c r="B6" i="5"/>
  <c r="B5" i="5"/>
  <c r="C24" i="5"/>
  <c r="C23" i="5"/>
  <c r="C21" i="5"/>
  <c r="C15" i="5"/>
  <c r="C27" i="5" s="1"/>
  <c r="D24" i="5"/>
  <c r="D23" i="5"/>
  <c r="D21" i="5"/>
  <c r="D15" i="5"/>
  <c r="D27" i="5" s="1"/>
  <c r="C6" i="5"/>
  <c r="C5" i="5"/>
  <c r="D6" i="5"/>
  <c r="G21" i="1" l="1"/>
  <c r="G9" i="12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G4" i="12"/>
  <c r="F4" i="12"/>
  <c r="E4" i="12"/>
  <c r="G3" i="12"/>
  <c r="F3" i="12"/>
  <c r="E3" i="12"/>
  <c r="G2" i="12"/>
  <c r="F2" i="12"/>
  <c r="E2" i="12"/>
  <c r="D26" i="5"/>
  <c r="D28" i="5" s="1"/>
  <c r="C26" i="5"/>
  <c r="C28" i="5" s="1"/>
  <c r="B26" i="5"/>
  <c r="B28" i="5" s="1"/>
  <c r="F24" i="5"/>
  <c r="F26" i="5" s="1"/>
  <c r="F28" i="5" s="1"/>
  <c r="E24" i="5"/>
  <c r="E26" i="5" s="1"/>
  <c r="E28" i="5" s="1"/>
  <c r="F13" i="5"/>
  <c r="E13" i="5"/>
  <c r="C13" i="5"/>
  <c r="B13" i="5"/>
  <c r="D5" i="5"/>
  <c r="D13" i="5" s="1"/>
  <c r="F15" i="10"/>
  <c r="E15" i="10"/>
  <c r="D15" i="10"/>
  <c r="C15" i="10"/>
  <c r="B15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F8" i="10"/>
  <c r="E8" i="10"/>
  <c r="D8" i="10"/>
  <c r="C8" i="10"/>
  <c r="B8" i="10"/>
  <c r="F7" i="10"/>
  <c r="E7" i="10"/>
  <c r="D7" i="10"/>
  <c r="C7" i="10"/>
  <c r="B7" i="10"/>
  <c r="F6" i="10"/>
  <c r="E6" i="10"/>
  <c r="D6" i="10"/>
  <c r="C6" i="10"/>
  <c r="B6" i="10"/>
  <c r="F4" i="10"/>
  <c r="E4" i="10"/>
  <c r="D4" i="10"/>
  <c r="C4" i="10"/>
  <c r="B4" i="10"/>
  <c r="F3" i="10"/>
  <c r="E3" i="10"/>
  <c r="D3" i="10"/>
  <c r="C3" i="10"/>
  <c r="B3" i="10"/>
  <c r="D28" i="6"/>
  <c r="C28" i="6"/>
  <c r="G21" i="6"/>
  <c r="F21" i="6"/>
  <c r="E5" i="10" s="1"/>
  <c r="E21" i="6"/>
  <c r="D5" i="10" s="1"/>
  <c r="D21" i="6"/>
  <c r="C5" i="10" s="1"/>
  <c r="C21" i="6"/>
  <c r="B5" i="10" s="1"/>
  <c r="G10" i="6"/>
  <c r="F10" i="6"/>
  <c r="E10" i="6"/>
  <c r="D10" i="6"/>
  <c r="C10" i="6"/>
  <c r="F19" i="1"/>
  <c r="E19" i="1"/>
  <c r="D19" i="1"/>
  <c r="C19" i="1"/>
  <c r="B19" i="1"/>
  <c r="D13" i="1"/>
  <c r="C13" i="1"/>
  <c r="B13" i="1"/>
  <c r="F12" i="1"/>
  <c r="F13" i="1" s="1"/>
  <c r="E12" i="1"/>
  <c r="E13" i="1" s="1"/>
  <c r="F7" i="1"/>
  <c r="E7" i="1"/>
  <c r="D7" i="1"/>
  <c r="C7" i="1"/>
  <c r="B7" i="1"/>
  <c r="I29" i="8"/>
  <c r="F29" i="8"/>
  <c r="H29" i="8" s="1"/>
  <c r="I28" i="8"/>
  <c r="F28" i="8"/>
  <c r="J28" i="8" s="1"/>
  <c r="I26" i="8"/>
  <c r="F26" i="8"/>
  <c r="J26" i="8" s="1"/>
  <c r="L26" i="8"/>
  <c r="K26" i="8"/>
  <c r="I25" i="8"/>
  <c r="F25" i="8"/>
  <c r="J25" i="8" s="1"/>
  <c r="L25" i="8"/>
  <c r="K25" i="8"/>
  <c r="I24" i="8"/>
  <c r="F24" i="8"/>
  <c r="H24" i="8" s="1"/>
  <c r="L24" i="8"/>
  <c r="K24" i="8"/>
  <c r="I23" i="8"/>
  <c r="F23" i="8"/>
  <c r="L23" i="8"/>
  <c r="K23" i="8"/>
  <c r="I22" i="8"/>
  <c r="F22" i="8"/>
  <c r="H22" i="8" s="1"/>
  <c r="L22" i="8"/>
  <c r="K22" i="8"/>
  <c r="I19" i="8"/>
  <c r="F19" i="8"/>
  <c r="H19" i="8" s="1"/>
  <c r="L19" i="8"/>
  <c r="K19" i="8"/>
  <c r="I18" i="8"/>
  <c r="F18" i="8"/>
  <c r="L18" i="8"/>
  <c r="K18" i="8"/>
  <c r="I17" i="8"/>
  <c r="F17" i="8"/>
  <c r="J17" i="8" s="1"/>
  <c r="L17" i="8"/>
  <c r="K17" i="8"/>
  <c r="I16" i="8"/>
  <c r="F16" i="8"/>
  <c r="L16" i="8"/>
  <c r="K16" i="8"/>
  <c r="I14" i="8"/>
  <c r="F14" i="8"/>
  <c r="H14" i="8" s="1"/>
  <c r="L14" i="8"/>
  <c r="K14" i="8"/>
  <c r="I13" i="8"/>
  <c r="F13" i="8"/>
  <c r="L13" i="8"/>
  <c r="K13" i="8"/>
  <c r="I12" i="8"/>
  <c r="F12" i="8"/>
  <c r="H12" i="8" s="1"/>
  <c r="L12" i="8"/>
  <c r="K12" i="8"/>
  <c r="I11" i="8"/>
  <c r="F11" i="8"/>
  <c r="H11" i="8" s="1"/>
  <c r="L11" i="8"/>
  <c r="K11" i="8"/>
  <c r="I9" i="8"/>
  <c r="F9" i="8"/>
  <c r="H9" i="8" s="1"/>
  <c r="L9" i="8"/>
  <c r="K9" i="8"/>
  <c r="I8" i="8"/>
  <c r="F8" i="8"/>
  <c r="H8" i="8" s="1"/>
  <c r="L8" i="8"/>
  <c r="K8" i="8"/>
  <c r="I7" i="8"/>
  <c r="F7" i="8"/>
  <c r="H7" i="8" s="1"/>
  <c r="L7" i="8"/>
  <c r="K7" i="8"/>
  <c r="I6" i="8"/>
  <c r="F6" i="8"/>
  <c r="H6" i="8" s="1"/>
  <c r="L6" i="8"/>
  <c r="K6" i="8"/>
  <c r="I5" i="8"/>
  <c r="F5" i="8"/>
  <c r="H5" i="8" s="1"/>
  <c r="L5" i="8"/>
  <c r="K5" i="8"/>
  <c r="I4" i="8"/>
  <c r="F4" i="8"/>
  <c r="H4" i="8" s="1"/>
  <c r="L4" i="8"/>
  <c r="K4" i="8"/>
  <c r="I3" i="8"/>
  <c r="F3" i="8"/>
  <c r="H3" i="8" s="1"/>
  <c r="L3" i="8"/>
  <c r="K3" i="8"/>
  <c r="I2" i="8"/>
  <c r="F2" i="8"/>
  <c r="H2" i="8" s="1"/>
  <c r="L2" i="8"/>
  <c r="K2" i="8"/>
  <c r="L19" i="7"/>
  <c r="I19" i="7"/>
  <c r="K19" i="7" s="1"/>
  <c r="C19" i="7"/>
  <c r="B19" i="7"/>
  <c r="L18" i="7"/>
  <c r="I18" i="7"/>
  <c r="M18" i="7" s="1"/>
  <c r="C18" i="7"/>
  <c r="B18" i="7"/>
  <c r="L17" i="7"/>
  <c r="I17" i="7"/>
  <c r="K17" i="7" s="1"/>
  <c r="C17" i="7"/>
  <c r="B17" i="7"/>
  <c r="L14" i="7"/>
  <c r="I14" i="7"/>
  <c r="K14" i="7" s="1"/>
  <c r="C14" i="7"/>
  <c r="B14" i="7"/>
  <c r="L13" i="7"/>
  <c r="I13" i="7"/>
  <c r="C13" i="7"/>
  <c r="B13" i="7"/>
  <c r="L12" i="7"/>
  <c r="I12" i="7"/>
  <c r="K12" i="7" s="1"/>
  <c r="C12" i="7"/>
  <c r="B12" i="7"/>
  <c r="L10" i="7"/>
  <c r="I10" i="7"/>
  <c r="K10" i="7" s="1"/>
  <c r="C10" i="7"/>
  <c r="B10" i="7"/>
  <c r="L9" i="7"/>
  <c r="I9" i="7"/>
  <c r="K9" i="7" s="1"/>
  <c r="C9" i="7"/>
  <c r="B9" i="7"/>
  <c r="L8" i="7"/>
  <c r="I8" i="7"/>
  <c r="C8" i="7"/>
  <c r="B8" i="7"/>
  <c r="L7" i="7"/>
  <c r="I7" i="7"/>
  <c r="K7" i="7" s="1"/>
  <c r="C7" i="7"/>
  <c r="B7" i="7"/>
  <c r="L6" i="7"/>
  <c r="I6" i="7"/>
  <c r="K6" i="7" s="1"/>
  <c r="C6" i="7"/>
  <c r="B6" i="7"/>
  <c r="L4" i="7"/>
  <c r="I4" i="7"/>
  <c r="K4" i="7" s="1"/>
  <c r="C4" i="7"/>
  <c r="B4" i="7"/>
  <c r="L3" i="7"/>
  <c r="I3" i="7"/>
  <c r="K3" i="7" s="1"/>
  <c r="C3" i="7"/>
  <c r="B3" i="7"/>
  <c r="L2" i="7"/>
  <c r="I2" i="7"/>
  <c r="K2" i="7" s="1"/>
  <c r="C2" i="7"/>
  <c r="B2" i="7"/>
  <c r="Y53" i="2"/>
  <c r="E53" i="2"/>
  <c r="L29" i="8" s="1"/>
  <c r="B53" i="2"/>
  <c r="D53" i="2" s="1"/>
  <c r="Y52" i="2"/>
  <c r="F52" i="2"/>
  <c r="E52" i="2"/>
  <c r="L28" i="8" s="1"/>
  <c r="B52" i="2"/>
  <c r="D52" i="2" s="1"/>
  <c r="Y51" i="2"/>
  <c r="E51" i="2"/>
  <c r="G51" i="2" s="1"/>
  <c r="B51" i="2"/>
  <c r="D51" i="2" s="1"/>
  <c r="Y50" i="2"/>
  <c r="F50" i="2"/>
  <c r="E50" i="2"/>
  <c r="C50" i="2"/>
  <c r="B50" i="2"/>
  <c r="Y49" i="2"/>
  <c r="F49" i="2"/>
  <c r="E49" i="2"/>
  <c r="C49" i="2"/>
  <c r="B49" i="2"/>
  <c r="D49" i="2" s="1"/>
  <c r="Y48" i="2"/>
  <c r="F48" i="2"/>
  <c r="E48" i="2"/>
  <c r="C48" i="2"/>
  <c r="B48" i="2"/>
  <c r="Y47" i="2"/>
  <c r="G47" i="2"/>
  <c r="D47" i="2"/>
  <c r="Y46" i="2"/>
  <c r="G46" i="2"/>
  <c r="D46" i="2"/>
  <c r="Y45" i="2"/>
  <c r="G45" i="2"/>
  <c r="D45" i="2"/>
  <c r="Y44" i="2"/>
  <c r="G44" i="2"/>
  <c r="D44" i="2"/>
  <c r="Y43" i="2"/>
  <c r="G43" i="2"/>
  <c r="D43" i="2"/>
  <c r="Y42" i="2"/>
  <c r="G42" i="2"/>
  <c r="D42" i="2"/>
  <c r="Y41" i="2"/>
  <c r="G41" i="2"/>
  <c r="D41" i="2"/>
  <c r="Y40" i="2"/>
  <c r="G40" i="2"/>
  <c r="D40" i="2"/>
  <c r="Y39" i="2"/>
  <c r="G39" i="2"/>
  <c r="D39" i="2"/>
  <c r="Y38" i="2"/>
  <c r="G38" i="2"/>
  <c r="D38" i="2"/>
  <c r="Y37" i="2"/>
  <c r="G37" i="2"/>
  <c r="D37" i="2"/>
  <c r="Y36" i="2"/>
  <c r="G36" i="2"/>
  <c r="D36" i="2"/>
  <c r="Y35" i="2"/>
  <c r="G35" i="2"/>
  <c r="D35" i="2"/>
  <c r="Y34" i="2"/>
  <c r="G34" i="2"/>
  <c r="D34" i="2"/>
  <c r="Y33" i="2"/>
  <c r="G33" i="2"/>
  <c r="D33" i="2"/>
  <c r="Y32" i="2"/>
  <c r="G32" i="2"/>
  <c r="D32" i="2"/>
  <c r="Y31" i="2"/>
  <c r="G31" i="2"/>
  <c r="D31" i="2"/>
  <c r="Y30" i="2"/>
  <c r="G30" i="2"/>
  <c r="D30" i="2"/>
  <c r="Y29" i="2"/>
  <c r="G29" i="2"/>
  <c r="D29" i="2"/>
  <c r="Y28" i="2"/>
  <c r="G28" i="2"/>
  <c r="D28" i="2"/>
  <c r="Y27" i="2"/>
  <c r="G27" i="2"/>
  <c r="D27" i="2"/>
  <c r="Y26" i="2"/>
  <c r="G26" i="2"/>
  <c r="D26" i="2"/>
  <c r="Y25" i="2"/>
  <c r="G25" i="2"/>
  <c r="D25" i="2"/>
  <c r="Y24" i="2"/>
  <c r="G24" i="2"/>
  <c r="D24" i="2"/>
  <c r="Y23" i="2"/>
  <c r="G23" i="2"/>
  <c r="D23" i="2"/>
  <c r="Y21" i="2"/>
  <c r="Y20" i="2"/>
  <c r="Y19" i="2"/>
  <c r="G19" i="2"/>
  <c r="D19" i="2"/>
  <c r="Y18" i="2"/>
  <c r="G18" i="2"/>
  <c r="D18" i="2"/>
  <c r="Y17" i="2"/>
  <c r="G17" i="2"/>
  <c r="D17" i="2"/>
  <c r="Y16" i="2"/>
  <c r="F16" i="2"/>
  <c r="E16" i="2"/>
  <c r="C4" i="9" s="1"/>
  <c r="C16" i="2"/>
  <c r="B16" i="2"/>
  <c r="B4" i="9" s="1"/>
  <c r="Y15" i="2"/>
  <c r="F15" i="2"/>
  <c r="E15" i="2"/>
  <c r="E57" i="2" s="1"/>
  <c r="C3" i="9" s="1"/>
  <c r="C15" i="2"/>
  <c r="C57" i="2" s="1"/>
  <c r="B15" i="2"/>
  <c r="Y14" i="2"/>
  <c r="F14" i="2"/>
  <c r="E14" i="2"/>
  <c r="C14" i="2"/>
  <c r="B14" i="2"/>
  <c r="Y13" i="2"/>
  <c r="G13" i="2"/>
  <c r="D13" i="2"/>
  <c r="Y12" i="2"/>
  <c r="G12" i="2"/>
  <c r="D12" i="2"/>
  <c r="Y11" i="2"/>
  <c r="G11" i="2"/>
  <c r="D11" i="2"/>
  <c r="Y10" i="2"/>
  <c r="G10" i="2"/>
  <c r="D10" i="2"/>
  <c r="Y9" i="2"/>
  <c r="G9" i="2"/>
  <c r="D9" i="2"/>
  <c r="Y8" i="2"/>
  <c r="G8" i="2"/>
  <c r="D8" i="2"/>
  <c r="Y7" i="2"/>
  <c r="G7" i="2"/>
  <c r="D7" i="2"/>
  <c r="Y6" i="2"/>
  <c r="G6" i="2"/>
  <c r="D6" i="2"/>
  <c r="Y5" i="2"/>
  <c r="G5" i="2"/>
  <c r="D5" i="2"/>
  <c r="Y4" i="2"/>
  <c r="G4" i="2"/>
  <c r="D4" i="2"/>
  <c r="Y3" i="2"/>
  <c r="G3" i="2"/>
  <c r="D3" i="2"/>
  <c r="B15" i="7" l="1"/>
  <c r="K20" i="8"/>
  <c r="C2" i="10"/>
  <c r="D29" i="6"/>
  <c r="C9" i="10" s="1"/>
  <c r="E2" i="10"/>
  <c r="E10" i="10" s="1"/>
  <c r="E14" i="10" s="1"/>
  <c r="E16" i="10" s="1"/>
  <c r="F29" i="6"/>
  <c r="E9" i="10" s="1"/>
  <c r="D48" i="2"/>
  <c r="B2" i="10"/>
  <c r="B10" i="10" s="1"/>
  <c r="B14" i="10" s="1"/>
  <c r="B16" i="10" s="1"/>
  <c r="C29" i="6"/>
  <c r="B9" i="10" s="1"/>
  <c r="D2" i="10"/>
  <c r="D10" i="10" s="1"/>
  <c r="D14" i="10" s="1"/>
  <c r="D16" i="10" s="1"/>
  <c r="E29" i="6"/>
  <c r="D9" i="10" s="1"/>
  <c r="F2" i="10"/>
  <c r="G29" i="6"/>
  <c r="F9" i="10" s="1"/>
  <c r="F21" i="1"/>
  <c r="G15" i="2"/>
  <c r="G48" i="2"/>
  <c r="F54" i="2"/>
  <c r="F55" i="2" s="1"/>
  <c r="G50" i="2"/>
  <c r="E21" i="1"/>
  <c r="D21" i="1"/>
  <c r="L20" i="8"/>
  <c r="C11" i="7"/>
  <c r="M13" i="7"/>
  <c r="F20" i="8"/>
  <c r="H20" i="8" s="1"/>
  <c r="L15" i="7"/>
  <c r="I15" i="8"/>
  <c r="I20" i="8"/>
  <c r="E58" i="2"/>
  <c r="C5" i="9" s="1"/>
  <c r="E56" i="2"/>
  <c r="C2" i="9" s="1"/>
  <c r="C21" i="1"/>
  <c r="B58" i="2"/>
  <c r="B5" i="9" s="1"/>
  <c r="B56" i="2"/>
  <c r="B2" i="9" s="1"/>
  <c r="F60" i="2"/>
  <c r="F58" i="2"/>
  <c r="F56" i="2"/>
  <c r="D15" i="2"/>
  <c r="F20" i="2"/>
  <c r="G49" i="2"/>
  <c r="C60" i="2"/>
  <c r="C58" i="2"/>
  <c r="C56" i="2"/>
  <c r="G16" i="2"/>
  <c r="F61" i="2"/>
  <c r="C54" i="2"/>
  <c r="C55" i="2" s="1"/>
  <c r="D14" i="2"/>
  <c r="B57" i="2"/>
  <c r="B3" i="9" s="1"/>
  <c r="F57" i="2"/>
  <c r="C20" i="2"/>
  <c r="C21" i="2" s="1"/>
  <c r="C59" i="2" s="1"/>
  <c r="C61" i="2"/>
  <c r="D50" i="2"/>
  <c r="G52" i="2"/>
  <c r="G53" i="2"/>
  <c r="F28" i="6"/>
  <c r="Y54" i="2"/>
  <c r="J13" i="8"/>
  <c r="I11" i="7"/>
  <c r="K11" i="7" s="1"/>
  <c r="I15" i="7"/>
  <c r="K15" i="7" s="1"/>
  <c r="E28" i="6"/>
  <c r="F5" i="10"/>
  <c r="G28" i="6"/>
  <c r="J7" i="8"/>
  <c r="K10" i="8"/>
  <c r="J22" i="8"/>
  <c r="J19" i="8"/>
  <c r="M3" i="7"/>
  <c r="C5" i="7"/>
  <c r="B5" i="7"/>
  <c r="F21" i="2"/>
  <c r="F59" i="2" s="1"/>
  <c r="K28" i="8"/>
  <c r="B20" i="2"/>
  <c r="K27" i="8"/>
  <c r="G14" i="2"/>
  <c r="E20" i="2"/>
  <c r="E54" i="2"/>
  <c r="B11" i="7"/>
  <c r="J3" i="8"/>
  <c r="J4" i="8"/>
  <c r="J5" i="8"/>
  <c r="K15" i="8"/>
  <c r="K29" i="8"/>
  <c r="B54" i="2"/>
  <c r="D16" i="2"/>
  <c r="M19" i="7"/>
  <c r="M2" i="7"/>
  <c r="I5" i="7"/>
  <c r="K5" i="7" s="1"/>
  <c r="L11" i="7"/>
  <c r="M14" i="7"/>
  <c r="J8" i="8"/>
  <c r="J9" i="8"/>
  <c r="I27" i="8"/>
  <c r="J29" i="8"/>
  <c r="J12" i="8"/>
  <c r="L5" i="7"/>
  <c r="M7" i="7"/>
  <c r="I10" i="8"/>
  <c r="F27" i="8"/>
  <c r="H27" i="8" s="1"/>
  <c r="J24" i="8"/>
  <c r="M9" i="7"/>
  <c r="M17" i="7"/>
  <c r="L10" i="8"/>
  <c r="J11" i="8"/>
  <c r="F15" i="8"/>
  <c r="H15" i="8" s="1"/>
  <c r="M6" i="7"/>
  <c r="M10" i="7"/>
  <c r="L15" i="8"/>
  <c r="L27" i="8"/>
  <c r="M4" i="7"/>
  <c r="M8" i="7"/>
  <c r="M12" i="7"/>
  <c r="C15" i="7"/>
  <c r="J2" i="8"/>
  <c r="J6" i="8"/>
  <c r="F10" i="8"/>
  <c r="H10" i="8" s="1"/>
  <c r="J14" i="8"/>
  <c r="J18" i="8"/>
  <c r="J23" i="8"/>
  <c r="J16" i="8"/>
  <c r="B21" i="1"/>
  <c r="C10" i="10"/>
  <c r="C14" i="10" s="1"/>
  <c r="C16" i="10" s="1"/>
  <c r="B16" i="7" l="1"/>
  <c r="J20" i="8"/>
  <c r="I21" i="8"/>
  <c r="Y55" i="2"/>
  <c r="K21" i="8"/>
  <c r="M15" i="7"/>
  <c r="M11" i="7"/>
  <c r="W59" i="2"/>
  <c r="X59" i="2"/>
  <c r="K6" i="9" s="1"/>
  <c r="I20" i="7"/>
  <c r="K20" i="7" s="1"/>
  <c r="F10" i="10"/>
  <c r="J27" i="8"/>
  <c r="K30" i="8"/>
  <c r="K31" i="8" s="1"/>
  <c r="B55" i="2"/>
  <c r="D55" i="2" s="1"/>
  <c r="D54" i="2"/>
  <c r="E21" i="2"/>
  <c r="G20" i="2"/>
  <c r="E55" i="2"/>
  <c r="G54" i="2"/>
  <c r="D20" i="2"/>
  <c r="B21" i="2"/>
  <c r="B59" i="2" s="1"/>
  <c r="B6" i="9" s="1"/>
  <c r="I16" i="7"/>
  <c r="K16" i="7" s="1"/>
  <c r="B20" i="7"/>
  <c r="B21" i="7" s="1"/>
  <c r="M5" i="7"/>
  <c r="I30" i="8"/>
  <c r="I31" i="8" s="1"/>
  <c r="L20" i="7"/>
  <c r="L21" i="7" s="1"/>
  <c r="L16" i="7"/>
  <c r="F21" i="8"/>
  <c r="H21" i="8" s="1"/>
  <c r="J10" i="8"/>
  <c r="F30" i="8"/>
  <c r="H30" i="8" s="1"/>
  <c r="L30" i="8"/>
  <c r="L21" i="8"/>
  <c r="C20" i="7"/>
  <c r="J15" i="8"/>
  <c r="C16" i="7"/>
  <c r="I6" i="9" l="1"/>
  <c r="J6" i="9" s="1"/>
  <c r="Z59" i="2"/>
  <c r="E59" i="2"/>
  <c r="C6" i="9" s="1"/>
  <c r="I21" i="7"/>
  <c r="K21" i="7" s="1"/>
  <c r="F14" i="10"/>
  <c r="M16" i="7"/>
  <c r="D21" i="2"/>
  <c r="G55" i="2"/>
  <c r="G21" i="2"/>
  <c r="M20" i="7"/>
  <c r="C21" i="7"/>
  <c r="L31" i="8"/>
  <c r="J21" i="8"/>
  <c r="F31" i="8"/>
  <c r="H31" i="8" s="1"/>
  <c r="J30" i="8"/>
  <c r="J12" i="7" l="1"/>
  <c r="J2" i="7"/>
  <c r="J6" i="7"/>
  <c r="J8" i="7"/>
  <c r="J13" i="7"/>
  <c r="J11" i="7"/>
  <c r="J10" i="7"/>
  <c r="J14" i="7"/>
  <c r="J9" i="7"/>
  <c r="J17" i="7"/>
  <c r="J15" i="7"/>
  <c r="J7" i="7"/>
  <c r="J21" i="7"/>
  <c r="J4" i="7"/>
  <c r="J5" i="7"/>
  <c r="J18" i="7"/>
  <c r="J3" i="7"/>
  <c r="G21" i="8"/>
  <c r="M21" i="7"/>
  <c r="J16" i="7"/>
  <c r="F16" i="10"/>
  <c r="J31" i="8"/>
  <c r="G26" i="8"/>
  <c r="G22" i="8"/>
  <c r="G31" i="8"/>
  <c r="G25" i="8"/>
  <c r="G9" i="8"/>
  <c r="G5" i="8"/>
  <c r="G28" i="8"/>
  <c r="G24" i="8"/>
  <c r="G17" i="8"/>
  <c r="G13" i="8"/>
  <c r="G16" i="8"/>
  <c r="G12" i="8"/>
  <c r="G8" i="8"/>
  <c r="G4" i="8"/>
  <c r="G14" i="8"/>
  <c r="G18" i="8"/>
  <c r="G23" i="8"/>
  <c r="G19" i="8"/>
  <c r="G6" i="8"/>
  <c r="G11" i="8"/>
  <c r="G7" i="8"/>
  <c r="G20" i="8"/>
  <c r="G2" i="8"/>
  <c r="G27" i="8"/>
  <c r="G3" i="8"/>
  <c r="G15" i="8"/>
  <c r="G10" i="8"/>
</calcChain>
</file>

<file path=xl/sharedStrings.xml><?xml version="1.0" encoding="utf-8"?>
<sst xmlns="http://schemas.openxmlformats.org/spreadsheetml/2006/main" count="638" uniqueCount="387">
  <si>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</si>
  <si>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</si>
  <si>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</si>
  <si>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</si>
  <si>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</si>
  <si>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</si>
  <si>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</si>
  <si>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</si>
  <si>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</si>
  <si>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</si>
  <si>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</si>
  <si>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</si>
  <si>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</si>
  <si>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</si>
  <si>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</si>
  <si>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</si>
  <si>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</si>
  <si>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</si>
  <si>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</si>
  <si>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</si>
  <si>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</si>
  <si>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</si>
  <si>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</si>
  <si>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</si>
  <si>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</si>
  <si>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</si>
  <si>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</si>
  <si>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</si>
  <si>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</si>
  <si>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</si>
  <si>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</si>
  <si>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</si>
  <si>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</si>
  <si>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</si>
  <si>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</si>
  <si>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</si>
  <si>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</si>
  <si>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</si>
  <si>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</si>
  <si>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</si>
  <si>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</si>
  <si>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</si>
  <si>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</si>
  <si>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</si>
  <si>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</si>
  <si>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</si>
  <si>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</si>
  <si>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</si>
  <si>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</si>
  <si>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</si>
  <si>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</si>
  <si>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</si>
  <si>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</si>
  <si>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</si>
  <si>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</si>
  <si>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</si>
  <si>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</si>
  <si>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</si>
  <si>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</si>
  <si>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</si>
  <si>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</si>
  <si>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</si>
  <si>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</si>
  <si>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</si>
  <si>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</si>
  <si>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</si>
  <si>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</si>
  <si>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</si>
  <si>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</si>
  <si>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</si>
  <si>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</si>
  <si>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</si>
  <si>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</si>
  <si>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</si>
  <si>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</si>
  <si>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</si>
  <si>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</si>
  <si>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</si>
  <si>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</si>
  <si>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</si>
  <si>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</si>
  <si>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</si>
  <si>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</si>
  <si>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</si>
  <si>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</si>
  <si>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</si>
  <si>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</si>
  <si>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</si>
  <si>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</si>
  <si>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</si>
  <si>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</si>
  <si>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</si>
  <si>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</si>
  <si>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</si>
  <si>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</si>
  <si>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</si>
  <si>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</si>
  <si>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</si>
  <si>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</si>
  <si>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</si>
  <si>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</si>
  <si>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</si>
  <si>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</si>
  <si>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</si>
  <si>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</si>
  <si>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</si>
  <si>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</si>
  <si>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</si>
  <si>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</si>
  <si>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</si>
  <si>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</si>
  <si>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</si>
  <si>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</si>
  <si>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</si>
  <si>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</si>
  <si>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</si>
  <si>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</si>
  <si>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</si>
  <si>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</si>
  <si>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</si>
  <si>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</si>
  <si>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</si>
  <si>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</si>
  <si>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</si>
  <si>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</si>
  <si>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</si>
  <si>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</si>
  <si>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</si>
  <si>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</si>
  <si>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</si>
  <si>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</si>
  <si>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</si>
  <si>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</si>
  <si>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</si>
  <si>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</si>
  <si>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</si>
  <si>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</si>
  <si>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</si>
  <si>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</si>
  <si>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</si>
  <si>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</si>
  <si>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</si>
  <si>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</si>
  <si>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</si>
  <si>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</si>
  <si>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</si>
  <si>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</si>
  <si>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</si>
  <si>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</si>
  <si>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</si>
  <si>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</si>
  <si>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</si>
  <si>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</si>
  <si>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</si>
  <si>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</si>
  <si>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</si>
  <si>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</si>
  <si>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</si>
  <si>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</si>
  <si>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</si>
  <si>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</si>
  <si>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</si>
  <si>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</si>
  <si>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</si>
  <si>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</si>
  <si>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</si>
  <si>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</si>
  <si>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</si>
  <si>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</si>
  <si>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</si>
  <si>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</si>
  <si>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</si>
  <si>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</si>
  <si>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</si>
  <si>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</si>
  <si>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</si>
  <si>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</si>
  <si>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</si>
  <si>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</si>
  <si>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</si>
  <si>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</si>
  <si>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</si>
  <si>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</si>
  <si>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</si>
  <si>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</si>
  <si>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</si>
  <si>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</si>
  <si>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</si>
  <si>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</si>
  <si>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</si>
  <si>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</si>
  <si>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</si>
  <si>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</si>
  <si>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</si>
  <si>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</si>
  <si>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</si>
  <si>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</si>
  <si>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</si>
  <si>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</si>
  <si>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</si>
  <si>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</si>
  <si>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</si>
  <si>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</si>
  <si>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</si>
  <si>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</si>
  <si>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</si>
  <si>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</si>
  <si>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</si>
  <si>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</si>
  <si>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</si>
  <si>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</si>
  <si>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</si>
  <si>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</si>
  <si>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</si>
  <si>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</si>
  <si>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</si>
  <si>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</si>
  <si>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</si>
  <si>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</si>
  <si>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</si>
  <si>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</si>
  <si>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</si>
  <si>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</si>
  <si>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</si>
  <si>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</si>
  <si>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</si>
  <si>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</si>
  <si>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</si>
  <si>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</si>
  <si>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</si>
  <si>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</si>
  <si>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</si>
  <si>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</si>
  <si>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</si>
  <si>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</si>
  <si>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</si>
  <si>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</si>
  <si>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</si>
  <si>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</si>
  <si>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</si>
  <si>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</si>
  <si>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</si>
  <si>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</si>
  <si>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</si>
  <si>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</si>
  <si>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</si>
  <si>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</si>
  <si>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</si>
  <si>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</si>
  <si>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</si>
  <si>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</si>
  <si>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</si>
  <si>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</si>
  <si>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</si>
  <si>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</si>
  <si>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</si>
  <si>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</si>
  <si>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</si>
  <si>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</si>
  <si>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</si>
  <si>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</si>
  <si>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</si>
  <si>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</si>
  <si>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</si>
  <si>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</si>
  <si>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</si>
  <si>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</si>
  <si>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</si>
  <si>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</si>
  <si>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</si>
  <si>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</si>
  <si>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</si>
  <si>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</si>
  <si>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</si>
  <si>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</si>
  <si>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</si>
  <si>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</si>
  <si>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</si>
  <si>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</si>
  <si>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</si>
  <si>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</si>
  <si>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</si>
  <si>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</si>
  <si>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</si>
  <si>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</si>
  <si>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</si>
  <si>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</si>
  <si>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</si>
  <si>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</si>
  <si>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</si>
  <si>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</si>
  <si>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</si>
  <si>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</si>
  <si>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</si>
  <si>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</si>
  <si>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</si>
  <si>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</si>
  <si>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</si>
  <si>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</si>
  <si>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</si>
  <si>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</si>
  <si>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</si>
  <si>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</si>
  <si>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</si>
  <si>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</si>
  <si>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</si>
  <si>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</si>
  <si>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</si>
  <si>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</si>
  <si>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</si>
  <si>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</si>
  <si>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</si>
  <si>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</si>
  <si>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</si>
  <si>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</si>
  <si>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</si>
  <si>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</si>
  <si>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</si>
  <si>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</si>
  <si>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</si>
  <si>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</si>
  <si>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</si>
  <si>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</si>
  <si>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</si>
  <si>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</si>
  <si>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</si>
  <si>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</si>
  <si>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</si>
  <si>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</si>
  <si>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</si>
  <si>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</si>
  <si>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</si>
  <si>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</si>
  <si>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</si>
  <si>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</si>
  <si>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</si>
  <si>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</si>
  <si>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</si>
  <si>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</si>
  <si>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</si>
  <si>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</si>
  <si>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</si>
  <si>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</si>
  <si>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</si>
  <si>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</si>
  <si>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</si>
  <si>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</si>
  <si>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</si>
  <si>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</si>
  <si>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</si>
  <si>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</si>
  <si>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</si>
  <si>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</si>
  <si>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</si>
  <si>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</si>
  <si>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</si>
  <si>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Rapporto Fcde/Residui attivi (scala dx)</t>
  </si>
  <si>
    <t>Riaccertamento residui attivi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</si>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</sst>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4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6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right"/>
    </xf>
    <xf numFmtId="165" fontId="1" fillId="0" borderId="0" xfId="0" applyNumberFormat="1" applyFont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/>
    <xf numFmtId="165" fontId="2" fillId="0" borderId="0" xfId="0" applyNumberFormat="1" applyFont="1"/>
    <xf numFmtId="164" fontId="0" fillId="0" borderId="0" xfId="1" applyNumberFormat="1" applyFont="1" applyBorder="1"/>
    <xf numFmtId="3" fontId="2" fillId="0" borderId="0" xfId="0" applyNumberFormat="1" applyFont="1"/>
    <xf numFmtId="0" fontId="0" fillId="0" borderId="0" xfId="0" applyAlignment="1">
      <alignment vertical="center"/>
    </xf>
    <xf numFmtId="0" fontId="11" fillId="0" borderId="0" xfId="2" applyFont="1" applyFill="1" applyBorder="1" applyAlignment="1" applyProtection="1">
      <alignment vertical="center" readingOrder="1"/>
    </xf>
    <xf numFmtId="0" fontId="12" fillId="0" borderId="0" xfId="2" applyFont="1" applyFill="1" applyBorder="1" applyAlignment="1" applyProtection="1">
      <alignment vertical="center" readingOrder="1"/>
    </xf>
    <xf numFmtId="165" fontId="13" fillId="0" borderId="0" xfId="0" applyNumberFormat="1" applyFo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6" fontId="3" fillId="0" borderId="0" xfId="1" applyNumberFormat="1" applyFont="1" applyFill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1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360116429587997E-2"/>
          <c:y val="6.9518263342082231E-3"/>
          <c:w val="0.54095355718756311"/>
          <c:h val="0.937652832458442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8D-47E1-BFF9-603F7265A5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8D-47E1-BFF9-603F7265A5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8D-47E1-BFF9-603F7265A5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8D-47E1-BFF9-603F7265A5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88D-47E1-BFF9-603F7265A5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88D-47E1-BFF9-603F7265A5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88D-47E1-BFF9-603F7265A58E}"/>
              </c:ext>
            </c:extLst>
          </c:dPt>
          <c:dPt>
            <c:idx val="7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88D-47E1-BFF9-603F7265A58E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88D-47E1-BFF9-603F7265A58E}"/>
              </c:ext>
            </c:extLst>
          </c:dPt>
          <c:dLbls>
            <c:dLbl>
              <c:idx val="0"/>
              <c:layout>
                <c:manualLayout>
                  <c:x val="-0.15088535357359176"/>
                  <c:y val="0.11215851924759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8D-47E1-BFF9-603F7265A58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6290032556026644E-2"/>
                  <c:y val="-0.14878417541557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8D-47E1-BFF9-603F7265A58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4938042600444181E-2"/>
                  <c:y val="-0.1295631014873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88D-47E1-BFF9-603F7265A58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7606564203513023E-2"/>
                  <c:y val="-9.5155293088363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88D-47E1-BFF9-603F7265A58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88D-47E1-BFF9-603F7265A58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03846153846154E-2"/>
                  <c:y val="7.0148458005249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88D-47E1-BFF9-603F7265A58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018478750762213E-2"/>
                  <c:y val="1.6747450364324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88D-47E1-BFF9-603F7265A58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88D-47E1-BFF9-603F7265A58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671480254157415E-2"/>
                  <c:y val="0.10163003062117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88D-47E1-BFF9-603F7265A58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Missione12_Programmi!$A$2:$A$10</c:f>
              <c:strCache>
                <c:ptCount val="9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Famiglie</c:v>
                </c:pt>
                <c:pt idx="5">
                  <c:v>Diritto alla casa</c:v>
                </c:pt>
                <c:pt idx="6">
                  <c:v>Rete dei servizi sociosanitari e sociali</c:v>
                </c:pt>
                <c:pt idx="7">
                  <c:v>Cooperazione e associazionismo</c:v>
                </c:pt>
                <c:pt idx="8">
                  <c:v>Servizio necroscopico e cimiteriale</c:v>
                </c:pt>
              </c:strCache>
            </c:strRef>
          </c:cat>
          <c:val>
            <c:numRef>
              <c:f>Missione12_Programmi!$B$2:$B$10</c:f>
              <c:numCache>
                <c:formatCode>#,##0</c:formatCode>
                <c:ptCount val="9"/>
                <c:pt idx="0">
                  <c:v>32555498.800000001</c:v>
                </c:pt>
                <c:pt idx="1">
                  <c:v>16332463.77</c:v>
                </c:pt>
                <c:pt idx="2">
                  <c:v>12637473.41</c:v>
                </c:pt>
                <c:pt idx="3">
                  <c:v>13213921.24</c:v>
                </c:pt>
                <c:pt idx="4">
                  <c:v>0</c:v>
                </c:pt>
                <c:pt idx="5">
                  <c:v>2611834.21</c:v>
                </c:pt>
                <c:pt idx="6">
                  <c:v>11744751.91</c:v>
                </c:pt>
                <c:pt idx="7">
                  <c:v>230348.16</c:v>
                </c:pt>
                <c:pt idx="8">
                  <c:v>7521978.9299999997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888D-47E1-BFF9-603F7265A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05368777131741"/>
          <c:y val="3.1215427490599516E-2"/>
          <c:w val="0.37732233402704773"/>
          <c:h val="0.92108789244360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1E-2"/>
          <c:w val="0.9122665336936"/>
          <c:h val="0.7262500698051042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87.82</c:v>
                </c:pt>
                <c:pt idx="1">
                  <c:v>79.53</c:v>
                </c:pt>
                <c:pt idx="2">
                  <c:v>86.21</c:v>
                </c:pt>
                <c:pt idx="3">
                  <c:v>88.39</c:v>
                </c:pt>
                <c:pt idx="4">
                  <c:v>85.31</c:v>
                </c:pt>
                <c:pt idx="5">
                  <c:v>80.230999999999995</c:v>
                </c:pt>
                <c:pt idx="6">
                  <c:v>73.656657702614709</c:v>
                </c:pt>
                <c:pt idx="7">
                  <c:v>74.719185095382642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75.430000000000007</c:v>
                </c:pt>
                <c:pt idx="1">
                  <c:v>76.650000000000006</c:v>
                </c:pt>
                <c:pt idx="2">
                  <c:v>77.27</c:v>
                </c:pt>
                <c:pt idx="3">
                  <c:v>80.52</c:v>
                </c:pt>
                <c:pt idx="4">
                  <c:v>74.97</c:v>
                </c:pt>
                <c:pt idx="5">
                  <c:v>91.825000000000003</c:v>
                </c:pt>
                <c:pt idx="6">
                  <c:v>89.625051911296964</c:v>
                </c:pt>
                <c:pt idx="7">
                  <c:v>85.032213168608166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77.94</c:v>
                </c:pt>
                <c:pt idx="1">
                  <c:v>65.150000000000006</c:v>
                </c:pt>
                <c:pt idx="2">
                  <c:v>75.180000000000007</c:v>
                </c:pt>
                <c:pt idx="3">
                  <c:v>80.290000000000006</c:v>
                </c:pt>
                <c:pt idx="4">
                  <c:v>81.400000000000006</c:v>
                </c:pt>
                <c:pt idx="5">
                  <c:v>77.486000000000004</c:v>
                </c:pt>
                <c:pt idx="6">
                  <c:v>59.949937341928518</c:v>
                </c:pt>
                <c:pt idx="7">
                  <c:v>83.004692107642995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77.59</c:v>
                </c:pt>
                <c:pt idx="1">
                  <c:v>75.24091591191636</c:v>
                </c:pt>
                <c:pt idx="2">
                  <c:v>77.061368498054932</c:v>
                </c:pt>
                <c:pt idx="3">
                  <c:v>73.880501196603419</c:v>
                </c:pt>
                <c:pt idx="4">
                  <c:v>75.435897176982252</c:v>
                </c:pt>
                <c:pt idx="5">
                  <c:v>75.599999999999994</c:v>
                </c:pt>
                <c:pt idx="6">
                  <c:v>78.587874122791177</c:v>
                </c:pt>
                <c:pt idx="7">
                  <c:v>83.24093643219274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522016"/>
        <c:axId val="1731520384"/>
      </c:lineChart>
      <c:catAx>
        <c:axId val="17315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31520384"/>
        <c:crosses val="autoZero"/>
        <c:auto val="1"/>
        <c:lblAlgn val="ctr"/>
        <c:lblOffset val="100"/>
        <c:noMultiLvlLbl val="0"/>
      </c:catAx>
      <c:valAx>
        <c:axId val="1731520384"/>
        <c:scaling>
          <c:orientation val="minMax"/>
          <c:max val="95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73152201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7007734405539761"/>
          <c:w val="0.9843888070692195"/>
          <c:h val="0.1025252694477021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95E-2"/>
          <c:y val="2.6928255433737256E-2"/>
          <c:w val="0.95679921453118233"/>
          <c:h val="0.77555889760750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462.76</c:v>
                </c:pt>
                <c:pt idx="1">
                  <c:v>443.95</c:v>
                </c:pt>
                <c:pt idx="2">
                  <c:v>461.27</c:v>
                </c:pt>
                <c:pt idx="3">
                  <c:v>464.44</c:v>
                </c:pt>
                <c:pt idx="4">
                  <c:v>447.91</c:v>
                </c:pt>
                <c:pt idx="5">
                  <c:v>442.04700000000003</c:v>
                </c:pt>
                <c:pt idx="6">
                  <c:v>465.2</c:v>
                </c:pt>
                <c:pt idx="7">
                  <c:v>444.8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5.8970422850435217E-3"/>
                  <c:y val="3.6197753744116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9A9-44CF-94FD-58A0CE7FBC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6272304672469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A9-44CF-94FD-58A0CE7FBC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794084570087043E-2"/>
                  <c:y val="1.0859326123234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A9-44CF-94FD-58A0CE7FBC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6272304672469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A9-44CF-94FD-58A0CE7FBC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8284038084059423E-3"/>
                  <c:y val="-3.318089095695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A9-44CF-94FD-58A0CE7FBC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794084570087043E-2"/>
                  <c:y val="-3.6197753744116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A9-44CF-94FD-58A0CE7FBC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89704228504337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02D-4608-B56E-6F9629DFC82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6368"/>
        <c:axId val="1731521472"/>
      </c:barChart>
      <c:catAx>
        <c:axId val="173152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21472"/>
        <c:crosses val="autoZero"/>
        <c:auto val="1"/>
        <c:lblAlgn val="ctr"/>
        <c:lblOffset val="100"/>
        <c:noMultiLvlLbl val="0"/>
      </c:catAx>
      <c:valAx>
        <c:axId val="1731521472"/>
        <c:scaling>
          <c:orientation val="minMax"/>
          <c:max val="50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73152636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663831112055395E-2"/>
          <c:y val="7.0123133245026198E-2"/>
          <c:w val="0.98542792371394439"/>
          <c:h val="0.74721437676671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3.9313615233624198E-3"/>
                  <c:y val="1.447910562450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23E-4747-9F53-387D29267C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412.39</c:v>
                </c:pt>
                <c:pt idx="1">
                  <c:v>221.44</c:v>
                </c:pt>
                <c:pt idx="2">
                  <c:v>288.11</c:v>
                </c:pt>
                <c:pt idx="3">
                  <c:v>362.94</c:v>
                </c:pt>
                <c:pt idx="4">
                  <c:v>554.29999999999995</c:v>
                </c:pt>
                <c:pt idx="5">
                  <c:v>520.50699999999995</c:v>
                </c:pt>
                <c:pt idx="6">
                  <c:v>659.09799999999996</c:v>
                </c:pt>
                <c:pt idx="7">
                  <c:v>890.58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3"/>
              <c:layout>
                <c:manualLayout>
                  <c:x val="5.8970422850434497E-3"/>
                  <c:y val="7.2395528122526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23E-4747-9F53-387D29267C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627230467246956E-3"/>
                  <c:y val="-6.63618008284641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23E-4747-9F53-387D29267C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9704228504352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23E-4747-9F53-387D29267C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2480114580167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3104"/>
        <c:axId val="1731524736"/>
      </c:barChart>
      <c:catAx>
        <c:axId val="17315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24736"/>
        <c:crosses val="autoZero"/>
        <c:auto val="1"/>
        <c:lblAlgn val="ctr"/>
        <c:lblOffset val="100"/>
        <c:noMultiLvlLbl val="0"/>
      </c:catAx>
      <c:valAx>
        <c:axId val="1731524736"/>
        <c:scaling>
          <c:orientation val="minMax"/>
          <c:max val="9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73152310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06E-2"/>
          <c:y val="2.9547553093259463E-2"/>
          <c:w val="0.956799214531183"/>
          <c:h val="0.88004943980340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9.8737042754047065E-3"/>
                  <c:y val="-4.52417749379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5E-4A66-907D-6915F744CA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35.04</c:v>
                </c:pt>
                <c:pt idx="1">
                  <c:v>46.59</c:v>
                </c:pt>
                <c:pt idx="2">
                  <c:v>-2.19</c:v>
                </c:pt>
                <c:pt idx="3">
                  <c:v>-8.57</c:v>
                </c:pt>
                <c:pt idx="4">
                  <c:v>-13.94</c:v>
                </c:pt>
                <c:pt idx="5">
                  <c:v>-14.92</c:v>
                </c:pt>
                <c:pt idx="6">
                  <c:v>-17.79</c:v>
                </c:pt>
                <c:pt idx="7">
                  <c:v>-18.420000000000002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2560"/>
        <c:axId val="1731519296"/>
      </c:barChart>
      <c:catAx>
        <c:axId val="173152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19296"/>
        <c:crosses val="autoZero"/>
        <c:auto val="1"/>
        <c:lblAlgn val="ctr"/>
        <c:lblOffset val="100"/>
        <c:noMultiLvlLbl val="0"/>
      </c:catAx>
      <c:valAx>
        <c:axId val="1731519296"/>
        <c:scaling>
          <c:orientation val="minMax"/>
          <c:max val="50"/>
          <c:min val="-20"/>
        </c:scaling>
        <c:delete val="1"/>
        <c:axPos val="l"/>
        <c:numFmt formatCode="0" sourceLinked="0"/>
        <c:majorTickMark val="out"/>
        <c:minorTickMark val="none"/>
        <c:tickLblPos val="nextTo"/>
        <c:crossAx val="173152256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06E-2"/>
          <c:y val="4.2007723172534484E-2"/>
          <c:w val="0.956799214531183"/>
          <c:h val="0.76047937973270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3587708836914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DE9-4A9E-B53B-C39E49E19A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3600534402137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DE9-4A9E-B53B-C39E49E19A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3587708836914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DE9-4A9E-B53B-C39E49E19A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7560549538838E-2"/>
                  <c:y val="1.1742149787300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DE9-4A9E-B53B-C39E49E19A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267338446787824E-2"/>
                  <c:y val="8.290389219901605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DE9-4A9E-B53B-C39E49E19A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4960229160334E-2"/>
                  <c:y val="3.9140499291002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DE9-4A9E-B53B-C39E49E19A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44960229160334E-2"/>
                  <c:y val="-3.587837654668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B4-424B-87D7-ED6AE97D38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899204583206819E-2"/>
                  <c:y val="-3.587837654668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1213.18</c:v>
                </c:pt>
                <c:pt idx="1">
                  <c:v>1130.8426490139555</c:v>
                </c:pt>
                <c:pt idx="2">
                  <c:v>1136.8499999999999</c:v>
                </c:pt>
                <c:pt idx="3">
                  <c:v>1048.51</c:v>
                </c:pt>
                <c:pt idx="4">
                  <c:v>1094.24</c:v>
                </c:pt>
                <c:pt idx="5">
                  <c:v>1073.4929999999999</c:v>
                </c:pt>
                <c:pt idx="6">
                  <c:v>1039.3789999999999</c:v>
                </c:pt>
                <c:pt idx="7">
                  <c:v>1001.34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3648"/>
        <c:axId val="1731525824"/>
      </c:barChart>
      <c:catAx>
        <c:axId val="173152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25824"/>
        <c:crosses val="autoZero"/>
        <c:auto val="1"/>
        <c:lblAlgn val="ctr"/>
        <c:lblOffset val="100"/>
        <c:noMultiLvlLbl val="0"/>
      </c:catAx>
      <c:valAx>
        <c:axId val="1731525824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3152364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21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250369</c:v>
                </c:pt>
                <c:pt idx="1">
                  <c:v>250913</c:v>
                </c:pt>
                <c:pt idx="2">
                  <c:v>251944</c:v>
                </c:pt>
                <c:pt idx="3">
                  <c:v>256083</c:v>
                </c:pt>
                <c:pt idx="4">
                  <c:v>258685</c:v>
                </c:pt>
                <c:pt idx="5">
                  <c:v>259961</c:v>
                </c:pt>
                <c:pt idx="6">
                  <c:v>260585</c:v>
                </c:pt>
                <c:pt idx="7">
                  <c:v>261138</c:v>
                </c:pt>
                <c:pt idx="8">
                  <c:v>262102</c:v>
                </c:pt>
                <c:pt idx="9">
                  <c:v>262970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4192"/>
        <c:axId val="1731519840"/>
      </c:barChart>
      <c:catAx>
        <c:axId val="173152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731519840"/>
        <c:crosses val="autoZero"/>
        <c:auto val="1"/>
        <c:lblAlgn val="ctr"/>
        <c:lblOffset val="100"/>
        <c:noMultiLvlLbl val="0"/>
      </c:catAx>
      <c:valAx>
        <c:axId val="1731519840"/>
        <c:scaling>
          <c:orientation val="minMax"/>
          <c:max val="300000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173152419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5340178872625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Missione12_Programmi!$A$106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26804539.34</c:v>
                </c:pt>
                <c:pt idx="1">
                  <c:v>28100629.989999998</c:v>
                </c:pt>
                <c:pt idx="2">
                  <c:v>27905529.449999999</c:v>
                </c:pt>
                <c:pt idx="3">
                  <c:v>25663700.489999998</c:v>
                </c:pt>
                <c:pt idx="4">
                  <c:v>24652467.239999998</c:v>
                </c:pt>
                <c:pt idx="5">
                  <c:v>28398190.370000001</c:v>
                </c:pt>
                <c:pt idx="6">
                  <c:v>29845460.920000002</c:v>
                </c:pt>
                <c:pt idx="7">
                  <c:v>32555498.800000001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C1-49E6-AC0B-929ED3A8E03B}"/>
            </c:ext>
          </c:extLst>
        </c:ser>
        <c:ser>
          <c:idx val="1"/>
          <c:order val="1"/>
          <c:tx>
            <c:strRef>
              <c:f>Missione12_Programmi!$A$107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16517629.5</c:v>
                </c:pt>
                <c:pt idx="1">
                  <c:v>15265701.050000001</c:v>
                </c:pt>
                <c:pt idx="2">
                  <c:v>14838240.689999999</c:v>
                </c:pt>
                <c:pt idx="3">
                  <c:v>14897319.220000001</c:v>
                </c:pt>
                <c:pt idx="4">
                  <c:v>15168469.17</c:v>
                </c:pt>
                <c:pt idx="5">
                  <c:v>16739226.02</c:v>
                </c:pt>
                <c:pt idx="6">
                  <c:v>16495528.26</c:v>
                </c:pt>
                <c:pt idx="7">
                  <c:v>16332463.77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C1-49E6-AC0B-929ED3A8E03B}"/>
            </c:ext>
          </c:extLst>
        </c:ser>
        <c:ser>
          <c:idx val="3"/>
          <c:order val="2"/>
          <c:tx>
            <c:strRef>
              <c:f>Missione12_Programmi!$A$108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9617038.4399999995</c:v>
                </c:pt>
                <c:pt idx="1">
                  <c:v>7775138.5</c:v>
                </c:pt>
                <c:pt idx="2">
                  <c:v>8834547.0099999998</c:v>
                </c:pt>
                <c:pt idx="3">
                  <c:v>11142400.890000001</c:v>
                </c:pt>
                <c:pt idx="4">
                  <c:v>15148169.85</c:v>
                </c:pt>
                <c:pt idx="5">
                  <c:v>14929618.1</c:v>
                </c:pt>
                <c:pt idx="6">
                  <c:v>12946320.439999999</c:v>
                </c:pt>
                <c:pt idx="7">
                  <c:v>13213921.24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C1-49E6-AC0B-929ED3A8E03B}"/>
            </c:ext>
          </c:extLst>
        </c:ser>
        <c:ser>
          <c:idx val="2"/>
          <c:order val="3"/>
          <c:tx>
            <c:strRef>
              <c:f>Missione12_Programmi!$A$109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13442422.65</c:v>
                </c:pt>
                <c:pt idx="1">
                  <c:v>12436097.35</c:v>
                </c:pt>
                <c:pt idx="2">
                  <c:v>12422275.67</c:v>
                </c:pt>
                <c:pt idx="3">
                  <c:v>12796516.689999999</c:v>
                </c:pt>
                <c:pt idx="4">
                  <c:v>11319911.23</c:v>
                </c:pt>
                <c:pt idx="5">
                  <c:v>11575908.949999999</c:v>
                </c:pt>
                <c:pt idx="6">
                  <c:v>12263112.210000001</c:v>
                </c:pt>
                <c:pt idx="7">
                  <c:v>12637473.41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C1-49E6-AC0B-929ED3A8E03B}"/>
            </c:ext>
          </c:extLst>
        </c:ser>
        <c:ser>
          <c:idx val="8"/>
          <c:order val="4"/>
          <c:tx>
            <c:strRef>
              <c:f>Missione12_Programmi!$A$111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5915849.2400000002</c:v>
                </c:pt>
                <c:pt idx="1">
                  <c:v>6200239.6399999997</c:v>
                </c:pt>
                <c:pt idx="2">
                  <c:v>7316676.7999999998</c:v>
                </c:pt>
                <c:pt idx="3">
                  <c:v>7458290.0099999998</c:v>
                </c:pt>
                <c:pt idx="4">
                  <c:v>7040397.54</c:v>
                </c:pt>
                <c:pt idx="5">
                  <c:v>6556352.1799999997</c:v>
                </c:pt>
                <c:pt idx="6">
                  <c:v>8757612.3200000003</c:v>
                </c:pt>
                <c:pt idx="7">
                  <c:v>7521978.9299999997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C1-49E6-AC0B-929ED3A8E03B}"/>
            </c:ext>
          </c:extLst>
        </c:ser>
        <c:ser>
          <c:idx val="6"/>
          <c:order val="5"/>
          <c:tx>
            <c:strRef>
              <c:f>Missione12_Programmi!$A$110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4384682.09</c:v>
                </c:pt>
                <c:pt idx="1">
                  <c:v>4517480.1399999997</c:v>
                </c:pt>
                <c:pt idx="2">
                  <c:v>5354008.79</c:v>
                </c:pt>
                <c:pt idx="3">
                  <c:v>6086814.3099999996</c:v>
                </c:pt>
                <c:pt idx="4">
                  <c:v>5506872.4400000004</c:v>
                </c:pt>
                <c:pt idx="5">
                  <c:v>5142770.3</c:v>
                </c:pt>
                <c:pt idx="6">
                  <c:v>5414409.8099999996</c:v>
                </c:pt>
                <c:pt idx="7">
                  <c:v>11744751.91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9C1-49E6-AC0B-929ED3A8E03B}"/>
            </c:ext>
          </c:extLst>
        </c:ser>
        <c:ser>
          <c:idx val="5"/>
          <c:order val="6"/>
          <c:tx>
            <c:strRef>
              <c:f>Missione12_Programmi!$A$112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1661944.82</c:v>
                </c:pt>
                <c:pt idx="1">
                  <c:v>499508.13</c:v>
                </c:pt>
                <c:pt idx="2">
                  <c:v>597634.16</c:v>
                </c:pt>
                <c:pt idx="3">
                  <c:v>1304376.81</c:v>
                </c:pt>
                <c:pt idx="4">
                  <c:v>1647562.86</c:v>
                </c:pt>
                <c:pt idx="5">
                  <c:v>2625691.73</c:v>
                </c:pt>
                <c:pt idx="6">
                  <c:v>1813164.57</c:v>
                </c:pt>
                <c:pt idx="7">
                  <c:v>2611834.21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9C1-49E6-AC0B-929ED3A8E03B}"/>
            </c:ext>
          </c:extLst>
        </c:ser>
        <c:ser>
          <c:idx val="7"/>
          <c:order val="7"/>
          <c:tx>
            <c:strRef>
              <c:f>Missione12_Programmi!$A$113</c:f>
              <c:strCache>
                <c:ptCount val="1"/>
                <c:pt idx="0">
                  <c:v>Cooperazione e associazionismo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202433.47</c:v>
                </c:pt>
                <c:pt idx="1">
                  <c:v>198410.25</c:v>
                </c:pt>
                <c:pt idx="2">
                  <c:v>208469.34</c:v>
                </c:pt>
                <c:pt idx="3">
                  <c:v>223712.96</c:v>
                </c:pt>
                <c:pt idx="4">
                  <c:v>185838.66</c:v>
                </c:pt>
                <c:pt idx="5">
                  <c:v>186577.53</c:v>
                </c:pt>
                <c:pt idx="6">
                  <c:v>202300.73</c:v>
                </c:pt>
                <c:pt idx="7">
                  <c:v>230348.16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9C1-49E6-AC0B-929ED3A8E03B}"/>
            </c:ext>
          </c:extLst>
        </c:ser>
        <c:ser>
          <c:idx val="4"/>
          <c:order val="8"/>
          <c:tx>
            <c:strRef>
              <c:f>Missione12_Programmi!$A$114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Missione12_Programmi!$B$114:$I$114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C1-49E6-AC0B-929ED3A8E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3488"/>
        <c:axId val="1064544032"/>
      </c:barChart>
      <c:catAx>
        <c:axId val="10645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032"/>
        <c:crosses val="autoZero"/>
        <c:auto val="1"/>
        <c:lblAlgn val="ctr"/>
        <c:lblOffset val="100"/>
        <c:noMultiLvlLbl val="0"/>
      </c:catAx>
      <c:valAx>
        <c:axId val="1064544032"/>
        <c:scaling>
          <c:orientation val="minMax"/>
          <c:max val="9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3488"/>
        <c:crosses val="autoZero"/>
        <c:crossBetween val="between"/>
        <c:majorUnit val="2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439130754.07999998</c:v>
                </c:pt>
                <c:pt idx="1">
                  <c:v>520830464.47000003</c:v>
                </c:pt>
                <c:pt idx="2">
                  <c:v>539240866.30999994</c:v>
                </c:pt>
                <c:pt idx="3">
                  <c:v>483271742.32999998</c:v>
                </c:pt>
                <c:pt idx="4">
                  <c:v>462559010.20999998</c:v>
                </c:pt>
                <c:pt idx="5">
                  <c:v>469552781.63</c:v>
                </c:pt>
                <c:pt idx="6">
                  <c:v>467199421.13999999</c:v>
                </c:pt>
                <c:pt idx="7">
                  <c:v>563560379.98000002</c:v>
                </c:pt>
                <c:pt idx="8">
                  <c:v>570156730.38</c:v>
                </c:pt>
                <c:pt idx="9">
                  <c:v>570559768.71000004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169059346.47999999</c:v>
                </c:pt>
                <c:pt idx="1">
                  <c:v>254200399.40000001</c:v>
                </c:pt>
                <c:pt idx="2">
                  <c:v>228242490.58000001</c:v>
                </c:pt>
                <c:pt idx="3">
                  <c:v>209605968.52000001</c:v>
                </c:pt>
                <c:pt idx="4">
                  <c:v>187154895.88999999</c:v>
                </c:pt>
                <c:pt idx="5">
                  <c:v>164612160.40000001</c:v>
                </c:pt>
                <c:pt idx="6">
                  <c:v>177315732.13</c:v>
                </c:pt>
                <c:pt idx="7">
                  <c:v>196350935.83000001</c:v>
                </c:pt>
                <c:pt idx="8">
                  <c:v>244023251.94999999</c:v>
                </c:pt>
                <c:pt idx="9">
                  <c:v>206635259.33000001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9136"/>
        <c:axId val="1064538048"/>
      </c:lineChart>
      <c:catAx>
        <c:axId val="10645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  <c:max val="600000000"/>
          <c:min val="1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9136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439130754.07999998</c:v>
                </c:pt>
                <c:pt idx="1">
                  <c:v>520830464.47000003</c:v>
                </c:pt>
                <c:pt idx="2">
                  <c:v>539240866.30999994</c:v>
                </c:pt>
                <c:pt idx="3">
                  <c:v>483271742.32999998</c:v>
                </c:pt>
                <c:pt idx="4">
                  <c:v>462559010.20999998</c:v>
                </c:pt>
                <c:pt idx="5">
                  <c:v>469552781.63</c:v>
                </c:pt>
                <c:pt idx="6">
                  <c:v>467199421.13999999</c:v>
                </c:pt>
                <c:pt idx="7">
                  <c:v>563560379.98000002</c:v>
                </c:pt>
                <c:pt idx="8">
                  <c:v>570156730.38</c:v>
                </c:pt>
                <c:pt idx="9">
                  <c:v>570559768.71000004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105538761.53</c:v>
                </c:pt>
                <c:pt idx="1">
                  <c:v>120457497.83</c:v>
                </c:pt>
                <c:pt idx="2">
                  <c:v>159935553.47</c:v>
                </c:pt>
                <c:pt idx="3">
                  <c:v>148397504.68000001</c:v>
                </c:pt>
                <c:pt idx="4">
                  <c:v>169889607.62</c:v>
                </c:pt>
                <c:pt idx="5">
                  <c:v>151558984.31</c:v>
                </c:pt>
                <c:pt idx="6">
                  <c:v>140331954.19999999</c:v>
                </c:pt>
                <c:pt idx="7">
                  <c:v>163700901.33000001</c:v>
                </c:pt>
                <c:pt idx="8">
                  <c:v>170107533.84999999</c:v>
                </c:pt>
                <c:pt idx="9">
                  <c:v>132970372.48999999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2400"/>
        <c:axId val="1064538592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24.033561883204648</c:v>
                </c:pt>
                <c:pt idx="1">
                  <c:v>23.127966977234752</c:v>
                </c:pt>
                <c:pt idx="2">
                  <c:v>29.659390350815123</c:v>
                </c:pt>
                <c:pt idx="3">
                  <c:v>30.706844965635799</c:v>
                </c:pt>
                <c:pt idx="4">
                  <c:v>36.728201995864438</c:v>
                </c:pt>
                <c:pt idx="5">
                  <c:v>32.277305180448494</c:v>
                </c:pt>
                <c:pt idx="6">
                  <c:v>30.036842481007358</c:v>
                </c:pt>
                <c:pt idx="7">
                  <c:v>29.047624202363114</c:v>
                </c:pt>
                <c:pt idx="8">
                  <c:v>29.835223331771626</c:v>
                </c:pt>
                <c:pt idx="9">
                  <c:v>23.305248596590975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2944"/>
        <c:axId val="1064541856"/>
      </c:lineChart>
      <c:catAx>
        <c:axId val="106454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592"/>
        <c:crosses val="autoZero"/>
        <c:auto val="1"/>
        <c:lblAlgn val="ctr"/>
        <c:lblOffset val="100"/>
        <c:noMultiLvlLbl val="0"/>
      </c:catAx>
      <c:valAx>
        <c:axId val="10645385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400"/>
        <c:crosses val="autoZero"/>
        <c:crossBetween val="between"/>
      </c:valAx>
      <c:valAx>
        <c:axId val="1064541856"/>
        <c:scaling>
          <c:orientation val="minMax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944"/>
        <c:crosses val="max"/>
        <c:crossBetween val="between"/>
        <c:majorUnit val="5"/>
      </c:valAx>
      <c:catAx>
        <c:axId val="10645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18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10376252897183E-2"/>
          <c:y val="0"/>
          <c:w val="0.8619543883690729"/>
          <c:h val="0.90814774240176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06-4DEC-A245-773C9C410BA8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E06-4DEC-A245-773C9C410BA8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06-4DEC-A245-773C9C410BA8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385-43ED-88CD-7E3F60359AB2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385-43ED-88CD-7E3F60359AB2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BFC-4B95-9836-42AFEEECD79D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BFC-4B95-9836-42AFEEECD79D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E06-4DEC-A245-773C9C410BA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839104990620823E-3"/>
                  <c:y val="3.864734299516919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E06-4DEC-A245-773C9C410BA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184407504617549E-3"/>
                  <c:y val="3.864734299516910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E06-4DEC-A245-773C9C410BA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-113307527.45000009</c:v>
                </c:pt>
                <c:pt idx="1">
                  <c:v>-22828677.100000087</c:v>
                </c:pt>
                <c:pt idx="2">
                  <c:v>9946965.850000035</c:v>
                </c:pt>
                <c:pt idx="3">
                  <c:v>50647304</c:v>
                </c:pt>
                <c:pt idx="4">
                  <c:v>65195730</c:v>
                </c:pt>
                <c:pt idx="5">
                  <c:v>140144829</c:v>
                </c:pt>
                <c:pt idx="6">
                  <c:v>75063589</c:v>
                </c:pt>
                <c:pt idx="7">
                  <c:v>92503274.160000071</c:v>
                </c:pt>
                <c:pt idx="8">
                  <c:v>43600471.370000117</c:v>
                </c:pt>
                <c:pt idx="9">
                  <c:v>82792066.53000024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39680"/>
        <c:axId val="1064540768"/>
      </c:barChart>
      <c:catAx>
        <c:axId val="106453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40768"/>
        <c:crosses val="autoZero"/>
        <c:auto val="1"/>
        <c:lblAlgn val="ctr"/>
        <c:lblOffset val="100"/>
        <c:noMultiLvlLbl val="0"/>
      </c:catAx>
      <c:valAx>
        <c:axId val="1064540768"/>
        <c:scaling>
          <c:orientation val="minMax"/>
          <c:min val="-130000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200">
                <a:noFill/>
              </a:defRPr>
            </a:pPr>
            <a:endParaRPr lang="it-IT"/>
          </a:p>
        </c:txPr>
        <c:crossAx val="10645396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331239734.75999999</c:v>
                </c:pt>
                <c:pt idx="1">
                  <c:v>319720264.95999998</c:v>
                </c:pt>
                <c:pt idx="2">
                  <c:v>320116060.44</c:v>
                </c:pt>
                <c:pt idx="3">
                  <c:v>296173344</c:v>
                </c:pt>
                <c:pt idx="4">
                  <c:v>282991122</c:v>
                </c:pt>
                <c:pt idx="5">
                  <c:v>271876148</c:v>
                </c:pt>
                <c:pt idx="6">
                  <c:v>280286255</c:v>
                </c:pt>
                <c:pt idx="7">
                  <c:v>273579645.56</c:v>
                </c:pt>
                <c:pt idx="8">
                  <c:v>263143631.30000001</c:v>
                </c:pt>
                <c:pt idx="9">
                  <c:v>252677759.88999999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114060991.94</c:v>
                </c:pt>
                <c:pt idx="1">
                  <c:v>155386715.13</c:v>
                </c:pt>
                <c:pt idx="2">
                  <c:v>133993845.77</c:v>
                </c:pt>
                <c:pt idx="3">
                  <c:v>135391966</c:v>
                </c:pt>
                <c:pt idx="4">
                  <c:v>135492068</c:v>
                </c:pt>
                <c:pt idx="5">
                  <c:v>116220449</c:v>
                </c:pt>
                <c:pt idx="6">
                  <c:v>121590499</c:v>
                </c:pt>
                <c:pt idx="7">
                  <c:v>110194821.87</c:v>
                </c:pt>
                <c:pt idx="8">
                  <c:v>118269121.59</c:v>
                </c:pt>
                <c:pt idx="9">
                  <c:v>132788866.79000001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23390349.609999999</c:v>
                </c:pt>
                <c:pt idx="1">
                  <c:v>19481318.710000001</c:v>
                </c:pt>
                <c:pt idx="2">
                  <c:v>19814770.810000002</c:v>
                </c:pt>
                <c:pt idx="3">
                  <c:v>20407609</c:v>
                </c:pt>
                <c:pt idx="4">
                  <c:v>19106551</c:v>
                </c:pt>
                <c:pt idx="5">
                  <c:v>23506459</c:v>
                </c:pt>
                <c:pt idx="6">
                  <c:v>32754661</c:v>
                </c:pt>
                <c:pt idx="7">
                  <c:v>54944466.5</c:v>
                </c:pt>
                <c:pt idx="8">
                  <c:v>80135944.879999995</c:v>
                </c:pt>
                <c:pt idx="9">
                  <c:v>36684738.380000003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54614921.25</c:v>
                </c:pt>
                <c:pt idx="1">
                  <c:v>54823205.409999996</c:v>
                </c:pt>
                <c:pt idx="2">
                  <c:v>53579849.82</c:v>
                </c:pt>
                <c:pt idx="3">
                  <c:v>75977559</c:v>
                </c:pt>
                <c:pt idx="4">
                  <c:v>72825290</c:v>
                </c:pt>
                <c:pt idx="5">
                  <c:v>63353450</c:v>
                </c:pt>
                <c:pt idx="6">
                  <c:v>49017924</c:v>
                </c:pt>
                <c:pt idx="7">
                  <c:v>54851371.550000004</c:v>
                </c:pt>
                <c:pt idx="8">
                  <c:v>58856180.810000002</c:v>
                </c:pt>
                <c:pt idx="9">
                  <c:v>49081162.390000001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1312"/>
        <c:axId val="1446371168"/>
      </c:barChart>
      <c:catAx>
        <c:axId val="10645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1168"/>
        <c:crosses val="autoZero"/>
        <c:auto val="1"/>
        <c:lblAlgn val="ctr"/>
        <c:lblOffset val="100"/>
        <c:noMultiLvlLbl val="0"/>
      </c:catAx>
      <c:valAx>
        <c:axId val="1446371168"/>
        <c:scaling>
          <c:orientation val="minMax"/>
          <c:max val="6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1312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806427330486821E-2"/>
          <c:y val="1.2121212121212118E-2"/>
          <c:w val="0.8883354866696490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752848064.78999996</c:v>
                </c:pt>
                <c:pt idx="1">
                  <c:v>752848064.78999996</c:v>
                </c:pt>
                <c:pt idx="2">
                  <c:v>752848064.78999996</c:v>
                </c:pt>
                <c:pt idx="3">
                  <c:v>-3913262</c:v>
                </c:pt>
                <c:pt idx="4">
                  <c:v>2000000</c:v>
                </c:pt>
                <c:pt idx="5">
                  <c:v>2000000</c:v>
                </c:pt>
                <c:pt idx="6">
                  <c:v>2000000</c:v>
                </c:pt>
                <c:pt idx="7">
                  <c:v>2000000</c:v>
                </c:pt>
                <c:pt idx="8">
                  <c:v>2000000</c:v>
                </c:pt>
                <c:pt idx="9">
                  <c:v>2000000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91322398.960000008</c:v>
                </c:pt>
                <c:pt idx="1">
                  <c:v>-19393742.09</c:v>
                </c:pt>
                <c:pt idx="2">
                  <c:v>15666124.819999998</c:v>
                </c:pt>
                <c:pt idx="3">
                  <c:v>767112849</c:v>
                </c:pt>
                <c:pt idx="4">
                  <c:v>833190379</c:v>
                </c:pt>
                <c:pt idx="5">
                  <c:v>922171994</c:v>
                </c:pt>
                <c:pt idx="6">
                  <c:v>1064209085</c:v>
                </c:pt>
                <c:pt idx="7">
                  <c:v>1459453107.8099999</c:v>
                </c:pt>
                <c:pt idx="8">
                  <c:v>1486074821.0599999</c:v>
                </c:pt>
                <c:pt idx="9">
                  <c:v>1534930287.24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-113307527.45</c:v>
                </c:pt>
                <c:pt idx="1">
                  <c:v>-22828677.100000001</c:v>
                </c:pt>
                <c:pt idx="2">
                  <c:v>9946965.8499999996</c:v>
                </c:pt>
                <c:pt idx="3">
                  <c:v>50647303</c:v>
                </c:pt>
                <c:pt idx="4">
                  <c:v>65195730</c:v>
                </c:pt>
                <c:pt idx="5">
                  <c:v>140144828</c:v>
                </c:pt>
                <c:pt idx="6">
                  <c:v>75063591</c:v>
                </c:pt>
                <c:pt idx="7">
                  <c:v>92503274.159999996</c:v>
                </c:pt>
                <c:pt idx="8">
                  <c:v>43600471.369999997</c:v>
                </c:pt>
                <c:pt idx="9">
                  <c:v>82792066.530000001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Stato_patrimoniale!$B$18:$K$18</c:f>
              <c:numCache>
                <c:formatCode>#,##0</c:formatCode>
                <c:ptCount val="10"/>
                <c:pt idx="6">
                  <c:v>0</c:v>
                </c:pt>
                <c:pt idx="7">
                  <c:v>63927051.530000001</c:v>
                </c:pt>
                <c:pt idx="8">
                  <c:v>184554519.19</c:v>
                </c:pt>
                <c:pt idx="9">
                  <c:v>195852984.16999999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EA-4E3C-AF6C-E3EB4840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2256"/>
        <c:axId val="1446371712"/>
      </c:barChart>
      <c:catAx>
        <c:axId val="1446372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1900000000"/>
          <c:min val="-5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446372256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03E-2"/>
          <c:w val="0.91226637907374641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68.2</c:v>
                </c:pt>
                <c:pt idx="1">
                  <c:v>64.744671650669176</c:v>
                </c:pt>
                <c:pt idx="2">
                  <c:v>66.701454001673795</c:v>
                </c:pt>
                <c:pt idx="3">
                  <c:v>65.510000000000005</c:v>
                </c:pt>
                <c:pt idx="4">
                  <c:v>59.729464937511331</c:v>
                </c:pt>
                <c:pt idx="5">
                  <c:v>52.529000000000003</c:v>
                </c:pt>
                <c:pt idx="6">
                  <c:v>58.704999999999998</c:v>
                </c:pt>
                <c:pt idx="7">
                  <c:v>62.093624447849983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69.593991962662599</c:v>
                </c:pt>
                <c:pt idx="1">
                  <c:v>71.892064615504296</c:v>
                </c:pt>
                <c:pt idx="2">
                  <c:v>73.641275324318173</c:v>
                </c:pt>
                <c:pt idx="3">
                  <c:v>65.504815324056835</c:v>
                </c:pt>
                <c:pt idx="4">
                  <c:v>65.868133080935536</c:v>
                </c:pt>
                <c:pt idx="5">
                  <c:v>61.815382454161359</c:v>
                </c:pt>
                <c:pt idx="6">
                  <c:v>66.729400748654172</c:v>
                </c:pt>
                <c:pt idx="7">
                  <c:v>64.364306651860943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69.192872844784802</c:v>
                </c:pt>
                <c:pt idx="1">
                  <c:v>64.546702698297679</c:v>
                </c:pt>
                <c:pt idx="2">
                  <c:v>62.960246154519062</c:v>
                </c:pt>
                <c:pt idx="3">
                  <c:v>63.243201609358579</c:v>
                </c:pt>
                <c:pt idx="4">
                  <c:v>62.075298309520974</c:v>
                </c:pt>
                <c:pt idx="5">
                  <c:v>58.157238187839141</c:v>
                </c:pt>
                <c:pt idx="6">
                  <c:v>61.363858882783816</c:v>
                </c:pt>
                <c:pt idx="7">
                  <c:v>61.736138138219218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2800"/>
        <c:axId val="1446369536"/>
      </c:lineChart>
      <c:catAx>
        <c:axId val="1446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75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280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5234684760149704"/>
          <c:w val="0.9617796744479139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836E-2"/>
          <c:w val="0.9029842635309353"/>
          <c:h val="0.711992426872871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2.437635265975624</c:v>
                </c:pt>
                <c:pt idx="1">
                  <c:v>3.330534564791491</c:v>
                </c:pt>
                <c:pt idx="2">
                  <c:v>4.1502315211798999</c:v>
                </c:pt>
                <c:pt idx="3">
                  <c:v>4.148198658938516</c:v>
                </c:pt>
                <c:pt idx="4">
                  <c:v>4.2167227294569916</c:v>
                </c:pt>
                <c:pt idx="5">
                  <c:v>3.7852686469876149</c:v>
                </c:pt>
                <c:pt idx="6">
                  <c:v>3.9643982940849245</c:v>
                </c:pt>
                <c:pt idx="7">
                  <c:v>3.4444567504707058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13.953753274860464</c:v>
                </c:pt>
                <c:pt idx="1">
                  <c:v>15.771060733277356</c:v>
                </c:pt>
                <c:pt idx="2">
                  <c:v>20.631109586691817</c:v>
                </c:pt>
                <c:pt idx="3">
                  <c:v>25.025571087623593</c:v>
                </c:pt>
                <c:pt idx="4">
                  <c:v>25.372417107160022</c:v>
                </c:pt>
                <c:pt idx="5">
                  <c:v>22.341465685818044</c:v>
                </c:pt>
                <c:pt idx="6">
                  <c:v>21.107608628469006</c:v>
                </c:pt>
                <c:pt idx="7">
                  <c:v>21.652453206335146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11.709761931882904</c:v>
                </c:pt>
                <c:pt idx="1">
                  <c:v>14.245731877973689</c:v>
                </c:pt>
                <c:pt idx="2">
                  <c:v>18.658892128279884</c:v>
                </c:pt>
                <c:pt idx="3">
                  <c:v>18.95669962495738</c:v>
                </c:pt>
                <c:pt idx="4">
                  <c:v>24.303219605958677</c:v>
                </c:pt>
                <c:pt idx="5">
                  <c:v>22.37638513828103</c:v>
                </c:pt>
                <c:pt idx="6">
                  <c:v>30.64837134557142</c:v>
                </c:pt>
                <c:pt idx="7">
                  <c:v>23.258389633403478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6.9370087709306301</c:v>
                </c:pt>
                <c:pt idx="1">
                  <c:v>8.5782255807444709</c:v>
                </c:pt>
                <c:pt idx="2">
                  <c:v>10.804321728691475</c:v>
                </c:pt>
                <c:pt idx="3">
                  <c:v>10.683032162745768</c:v>
                </c:pt>
                <c:pt idx="4">
                  <c:v>10.78808265257088</c:v>
                </c:pt>
                <c:pt idx="5">
                  <c:v>10.430440450693732</c:v>
                </c:pt>
                <c:pt idx="6">
                  <c:v>8.99932010631065</c:v>
                </c:pt>
                <c:pt idx="7">
                  <c:v>8.993243991582677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520928"/>
        <c:axId val="1731525280"/>
      </c:barChart>
      <c:catAx>
        <c:axId val="17315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731525280"/>
        <c:crosses val="autoZero"/>
        <c:auto val="1"/>
        <c:lblAlgn val="ctr"/>
        <c:lblOffset val="100"/>
        <c:noMultiLvlLbl val="0"/>
      </c:catAx>
      <c:valAx>
        <c:axId val="1731525280"/>
        <c:scaling>
          <c:orientation val="minMax"/>
          <c:max val="62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73152092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415851014911691"/>
          <c:w val="0.95561111111111163"/>
          <c:h val="0.1280639727480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106680</xdr:rowOff>
    </xdr:from>
    <xdr:to>
      <xdr:col>16</xdr:col>
      <xdr:colOff>403860</xdr:colOff>
      <xdr:row>17</xdr:row>
      <xdr:rowOff>129540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102</xdr:row>
      <xdr:rowOff>118110</xdr:rowOff>
    </xdr:from>
    <xdr:to>
      <xdr:col>20</xdr:col>
      <xdr:colOff>403860</xdr:colOff>
      <xdr:row>122</xdr:row>
      <xdr:rowOff>106680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23</xdr:row>
      <xdr:rowOff>152400</xdr:rowOff>
    </xdr:from>
    <xdr:to>
      <xdr:col>9</xdr:col>
      <xdr:colOff>541020</xdr:colOff>
      <xdr:row>50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1676401</xdr:colOff>
      <xdr:row>51</xdr:row>
      <xdr:rowOff>28575</xdr:rowOff>
    </xdr:from>
    <xdr:to>
      <xdr:col>9</xdr:col>
      <xdr:colOff>358140</xdr:colOff>
      <xdr:row>73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815339</xdr:colOff>
      <xdr:row>30</xdr:row>
      <xdr:rowOff>148589</xdr:rowOff>
    </xdr:from>
    <xdr:to>
      <xdr:col>12</xdr:col>
      <xdr:colOff>708660</xdr:colOff>
      <xdr:row>49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7</xdr:col>
      <xdr:colOff>640080</xdr:colOff>
      <xdr:row>50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85724</xdr:rowOff>
    </xdr:from>
    <xdr:to>
      <xdr:col>8</xdr:col>
      <xdr:colOff>365760</xdr:colOff>
      <xdr:row>76</xdr:row>
      <xdr:rowOff>167639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123825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19048</xdr:rowOff>
    </xdr:from>
    <xdr:to>
      <xdr:col>11</xdr:col>
      <xdr:colOff>552450</xdr:colOff>
      <xdr:row>30</xdr:row>
      <xdr:rowOff>19049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27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40">
        <v>2016</v>
      </c>
      <c r="C1" s="140"/>
      <c r="D1" s="141"/>
      <c r="E1" s="142">
        <v>2017</v>
      </c>
      <c r="F1" s="143"/>
      <c r="G1" s="144"/>
      <c r="H1" s="142">
        <v>2018</v>
      </c>
      <c r="I1" s="143"/>
      <c r="J1" s="144"/>
      <c r="K1" s="142">
        <v>2019</v>
      </c>
      <c r="L1" s="143"/>
      <c r="M1" s="144"/>
      <c r="N1" s="142">
        <v>2020</v>
      </c>
      <c r="O1" s="143"/>
      <c r="P1" s="144"/>
      <c r="Q1" s="142">
        <v>2021</v>
      </c>
      <c r="R1" s="143"/>
      <c r="S1" s="144"/>
      <c r="T1" s="142">
        <v>2022</v>
      </c>
      <c r="U1" s="143"/>
      <c r="V1" s="144"/>
      <c r="W1" s="142">
        <v>2023</v>
      </c>
      <c r="X1" s="143"/>
      <c r="Y1" s="144"/>
      <c r="Z1" s="139" t="s">
        <v>233</v>
      </c>
      <c r="AA1" s="139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01" t="s">
        <v>74</v>
      </c>
      <c r="J2" s="102" t="s">
        <v>234</v>
      </c>
      <c r="K2" s="23" t="s">
        <v>73</v>
      </c>
      <c r="L2" s="105" t="s">
        <v>74</v>
      </c>
      <c r="M2" s="106" t="s">
        <v>234</v>
      </c>
      <c r="N2" s="23" t="s">
        <v>73</v>
      </c>
      <c r="O2" s="112" t="s">
        <v>74</v>
      </c>
      <c r="P2" s="113" t="s">
        <v>234</v>
      </c>
      <c r="Q2" s="23" t="s">
        <v>73</v>
      </c>
      <c r="R2" s="130" t="s">
        <v>74</v>
      </c>
      <c r="S2" s="131" t="s">
        <v>234</v>
      </c>
      <c r="T2" s="23" t="s">
        <v>73</v>
      </c>
      <c r="U2" s="136" t="s">
        <v>74</v>
      </c>
      <c r="V2" s="137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377027357.00999999</v>
      </c>
      <c r="C3" s="28">
        <v>282734143.50999999</v>
      </c>
      <c r="D3" s="20">
        <f>IF(B3&gt;0,C3/B3*100,"-")</f>
        <v>74.990352358569297</v>
      </c>
      <c r="E3" s="28">
        <v>392076986.08999997</v>
      </c>
      <c r="F3" s="28">
        <v>271515845.63</v>
      </c>
      <c r="G3" s="20">
        <f>IF(E3&gt;0,F3/E3*100,"-")</f>
        <v>69.250645986060107</v>
      </c>
      <c r="H3" s="28">
        <v>394882863.69999999</v>
      </c>
      <c r="I3" s="28">
        <v>285918887.69</v>
      </c>
      <c r="J3" s="20">
        <f>IF(H3&gt;0,I3/H3*100,"-")</f>
        <v>72.406000354378008</v>
      </c>
      <c r="K3" s="28">
        <v>405304002.49000001</v>
      </c>
      <c r="L3" s="28">
        <v>291714173.12</v>
      </c>
      <c r="M3" s="20">
        <f>IF(K3&gt;0,L3/K3*100,"-")</f>
        <v>71.974165398773096</v>
      </c>
      <c r="N3" s="28">
        <v>306933894.38</v>
      </c>
      <c r="O3" s="28">
        <v>197005681.19999999</v>
      </c>
      <c r="P3" s="20">
        <f>IF(N3&gt;0,O3/N3*100,"-")</f>
        <v>64.18505248432966</v>
      </c>
      <c r="Q3" s="28">
        <v>335834830.19</v>
      </c>
      <c r="R3" s="28">
        <v>194658287.22999999</v>
      </c>
      <c r="S3" s="20">
        <f>IF(Q3&gt;0,R3/Q3*100,"-")</f>
        <v>57.962507081195604</v>
      </c>
      <c r="T3" s="28">
        <v>407438821.19</v>
      </c>
      <c r="U3" s="28">
        <v>263613839.94999999</v>
      </c>
      <c r="V3" s="20">
        <f>IF(T3&gt;0,U3/T3*100,"-")</f>
        <v>64.70022644873832</v>
      </c>
      <c r="W3" s="1">
        <v>435523716.81</v>
      </c>
      <c r="X3" s="1">
        <v>274606094.64999998</v>
      </c>
      <c r="Y3" s="20">
        <f>IF(W3&gt;0,X3/W3*100,"-")</f>
        <v>63.051926692157302</v>
      </c>
      <c r="Z3" s="13">
        <f>IF(T3&gt;0,W3/T3*100-100,"-")</f>
        <v>6.8930337904407111</v>
      </c>
      <c r="AA3" s="13">
        <f>IF(U3&gt;0,X3/U3*100-100,"-")</f>
        <v>4.1698321689350308</v>
      </c>
    </row>
    <row r="4" spans="1:27" x14ac:dyDescent="0.3">
      <c r="A4" t="s">
        <v>21</v>
      </c>
      <c r="B4" s="28">
        <v>88387504.790000007</v>
      </c>
      <c r="C4" s="28">
        <v>56923475.82</v>
      </c>
      <c r="D4" s="20">
        <f t="shared" ref="D4:D21" si="0">IF(B4&gt;0,C4/B4*100,"-")</f>
        <v>64.4021753473464</v>
      </c>
      <c r="E4" s="28">
        <v>90794231.140000001</v>
      </c>
      <c r="F4" s="28">
        <v>56444661.939999998</v>
      </c>
      <c r="G4" s="20">
        <f t="shared" ref="G4:G21" si="1">IF(E4&gt;0,F4/E4*100,"-")</f>
        <v>62.16767434592321</v>
      </c>
      <c r="H4" s="28">
        <v>97637017</v>
      </c>
      <c r="I4" s="28">
        <v>74257084.719999999</v>
      </c>
      <c r="J4" s="20">
        <f t="shared" ref="J4:J13" si="2">IF(H4&gt;0,I4/H4*100,"-")</f>
        <v>76.05423332423193</v>
      </c>
      <c r="K4" s="28">
        <v>160159773.88</v>
      </c>
      <c r="L4" s="28">
        <v>136035776.52000001</v>
      </c>
      <c r="M4" s="20">
        <f t="shared" ref="M4:M13" si="3">IF(K4&gt;0,L4/K4*100,"-")</f>
        <v>84.937542820162236</v>
      </c>
      <c r="N4" s="28">
        <v>276186543.19</v>
      </c>
      <c r="O4" s="28">
        <v>238152135.44</v>
      </c>
      <c r="P4" s="20">
        <f t="shared" ref="P4:P13" si="4">IF(N4&gt;0,O4/N4*100,"-")</f>
        <v>86.228725226545677</v>
      </c>
      <c r="Q4" s="28">
        <v>280550225.54000002</v>
      </c>
      <c r="R4" s="28">
        <v>264398142.56999999</v>
      </c>
      <c r="S4" s="20">
        <f t="shared" ref="S4:S13" si="5">IF(Q4&gt;0,R4/Q4*100,"-")</f>
        <v>94.242712534302669</v>
      </c>
      <c r="T4" s="28">
        <v>222908005.12</v>
      </c>
      <c r="U4" s="28">
        <v>168274642.90000001</v>
      </c>
      <c r="V4" s="20">
        <f t="shared" ref="V4:V13" si="6">IF(T4&gt;0,U4/T4*100,"-")</f>
        <v>75.490623501570184</v>
      </c>
      <c r="W4" s="1">
        <v>208654766.49000001</v>
      </c>
      <c r="X4" s="1">
        <v>140250675.94999999</v>
      </c>
      <c r="Y4" s="20">
        <f t="shared" ref="Y4:Y21" si="7">IF(W4&gt;0,X4/W4*100,"-")</f>
        <v>67.216617338440557</v>
      </c>
      <c r="Z4" s="13">
        <f t="shared" ref="Z4:AA55" si="8">IF(T4&gt;0,W4/T4*100-100,"-")</f>
        <v>-6.3942246588797502</v>
      </c>
      <c r="AA4" s="13">
        <f t="shared" si="8"/>
        <v>-16.653707574143368</v>
      </c>
    </row>
    <row r="5" spans="1:27" x14ac:dyDescent="0.3">
      <c r="A5" t="s">
        <v>22</v>
      </c>
      <c r="B5" s="28">
        <v>152259127.25</v>
      </c>
      <c r="C5" s="28">
        <v>90102679.230000004</v>
      </c>
      <c r="D5" s="20">
        <f t="shared" si="0"/>
        <v>59.177194075240571</v>
      </c>
      <c r="E5" s="28">
        <v>162950065.72</v>
      </c>
      <c r="F5" s="28">
        <v>111747253.62</v>
      </c>
      <c r="G5" s="20">
        <f t="shared" si="1"/>
        <v>68.57760573844584</v>
      </c>
      <c r="H5" s="28">
        <v>167054460.28</v>
      </c>
      <c r="I5" s="28">
        <v>132220983.59999999</v>
      </c>
      <c r="J5" s="20">
        <f t="shared" si="2"/>
        <v>79.14843062459056</v>
      </c>
      <c r="K5" s="28">
        <v>169345772.75</v>
      </c>
      <c r="L5" s="28">
        <v>128532932.48</v>
      </c>
      <c r="M5" s="20">
        <f t="shared" si="3"/>
        <v>75.899699409532502</v>
      </c>
      <c r="N5" s="28">
        <v>91819621.819999993</v>
      </c>
      <c r="O5" s="28">
        <v>66336629.090000004</v>
      </c>
      <c r="P5" s="20">
        <f t="shared" si="4"/>
        <v>72.246680802110077</v>
      </c>
      <c r="Q5" s="28">
        <v>104741978.79000001</v>
      </c>
      <c r="R5" s="28">
        <v>74075450.689999998</v>
      </c>
      <c r="S5" s="20">
        <f t="shared" si="5"/>
        <v>70.721836216705299</v>
      </c>
      <c r="T5" s="28">
        <v>139848220.62</v>
      </c>
      <c r="U5" s="28">
        <v>107350539.52</v>
      </c>
      <c r="V5" s="20">
        <f t="shared" si="6"/>
        <v>76.762177626625856</v>
      </c>
      <c r="W5" s="1">
        <v>174738272.69</v>
      </c>
      <c r="X5" s="1">
        <v>140517606.93000001</v>
      </c>
      <c r="Y5" s="20">
        <f t="shared" si="7"/>
        <v>80.416044388449308</v>
      </c>
      <c r="Z5" s="13">
        <f t="shared" si="8"/>
        <v>24.948513406405311</v>
      </c>
      <c r="AA5" s="13">
        <f t="shared" si="8"/>
        <v>30.896041657825862</v>
      </c>
    </row>
    <row r="6" spans="1:27" x14ac:dyDescent="0.3">
      <c r="A6" t="s">
        <v>23</v>
      </c>
      <c r="B6" s="28">
        <v>183867.43</v>
      </c>
      <c r="C6" s="28">
        <v>183065.46</v>
      </c>
      <c r="D6" s="20">
        <f t="shared" si="0"/>
        <v>99.563832485176945</v>
      </c>
      <c r="E6" s="28">
        <v>337155.44</v>
      </c>
      <c r="F6" s="28">
        <v>337155.44</v>
      </c>
      <c r="G6" s="20">
        <f t="shared" si="1"/>
        <v>100</v>
      </c>
      <c r="H6" s="28">
        <v>435075.14</v>
      </c>
      <c r="I6" s="28">
        <v>435075.14</v>
      </c>
      <c r="J6" s="20">
        <f t="shared" si="2"/>
        <v>100</v>
      </c>
      <c r="K6" s="28">
        <v>385587.68</v>
      </c>
      <c r="L6" s="28">
        <v>379500.75</v>
      </c>
      <c r="M6" s="20">
        <f t="shared" si="3"/>
        <v>98.421388878399853</v>
      </c>
      <c r="N6" s="28">
        <v>271925.14</v>
      </c>
      <c r="O6" s="28">
        <v>271925.14</v>
      </c>
      <c r="P6" s="20">
        <f t="shared" si="4"/>
        <v>100</v>
      </c>
      <c r="Q6" s="28">
        <v>360879.68</v>
      </c>
      <c r="R6" s="28">
        <v>344704.4</v>
      </c>
      <c r="S6" s="20">
        <f t="shared" si="5"/>
        <v>95.517819124645655</v>
      </c>
      <c r="T6" s="28">
        <v>201786.89</v>
      </c>
      <c r="U6" s="28">
        <v>201786.89</v>
      </c>
      <c r="V6" s="20">
        <f t="shared" si="6"/>
        <v>100</v>
      </c>
      <c r="W6" s="1">
        <v>135365.78</v>
      </c>
      <c r="X6" s="1">
        <v>135365.78</v>
      </c>
      <c r="Y6" s="20">
        <f t="shared" si="7"/>
        <v>100</v>
      </c>
      <c r="Z6" s="13">
        <f t="shared" si="8"/>
        <v>-32.916464493803346</v>
      </c>
      <c r="AA6" s="13">
        <f t="shared" si="8"/>
        <v>-32.916464493803346</v>
      </c>
    </row>
    <row r="7" spans="1:27" x14ac:dyDescent="0.3">
      <c r="A7" t="s">
        <v>24</v>
      </c>
      <c r="B7" s="28">
        <v>54665052.899999999</v>
      </c>
      <c r="C7" s="28">
        <v>46451102.170000002</v>
      </c>
      <c r="D7" s="20">
        <f t="shared" si="0"/>
        <v>84.974036803685237</v>
      </c>
      <c r="E7" s="28">
        <v>28524380.609999999</v>
      </c>
      <c r="F7" s="28">
        <v>24318460.77</v>
      </c>
      <c r="G7" s="20">
        <f t="shared" si="1"/>
        <v>85.255000283773029</v>
      </c>
      <c r="H7" s="28">
        <v>58239562.520000003</v>
      </c>
      <c r="I7" s="28">
        <v>29911800.52</v>
      </c>
      <c r="J7" s="20">
        <f t="shared" si="2"/>
        <v>51.359933395323864</v>
      </c>
      <c r="K7" s="28">
        <v>37040008.539999999</v>
      </c>
      <c r="L7" s="28">
        <v>13639078.17</v>
      </c>
      <c r="M7" s="20">
        <f t="shared" si="3"/>
        <v>36.822556763913752</v>
      </c>
      <c r="N7" s="28">
        <v>76654284.829999998</v>
      </c>
      <c r="O7" s="28">
        <v>19913423.050000001</v>
      </c>
      <c r="P7" s="20">
        <f t="shared" si="4"/>
        <v>25.978225606256693</v>
      </c>
      <c r="Q7" s="28">
        <v>89151514.900000006</v>
      </c>
      <c r="R7" s="28">
        <v>13526192.609999999</v>
      </c>
      <c r="S7" s="20">
        <f t="shared" si="5"/>
        <v>15.172139952049205</v>
      </c>
      <c r="T7" s="28">
        <v>119157572.19</v>
      </c>
      <c r="U7" s="28">
        <v>59677177.289999999</v>
      </c>
      <c r="V7" s="20">
        <f t="shared" si="6"/>
        <v>50.082572339459141</v>
      </c>
      <c r="W7" s="1">
        <v>118722316.81</v>
      </c>
      <c r="X7" s="1">
        <v>28508229.25</v>
      </c>
      <c r="Y7" s="20">
        <f t="shared" si="7"/>
        <v>24.01252773362215</v>
      </c>
      <c r="Z7" s="13">
        <f t="shared" si="8"/>
        <v>-0.36527714689081847</v>
      </c>
      <c r="AA7" s="13">
        <f t="shared" si="8"/>
        <v>-52.229259920480395</v>
      </c>
    </row>
    <row r="8" spans="1:27" x14ac:dyDescent="0.3">
      <c r="A8" t="s">
        <v>25</v>
      </c>
      <c r="B8" s="28">
        <v>3209.01</v>
      </c>
      <c r="C8" s="28">
        <v>3209.01</v>
      </c>
      <c r="D8" s="20">
        <f t="shared" si="0"/>
        <v>100</v>
      </c>
      <c r="E8" s="28">
        <v>0</v>
      </c>
      <c r="F8" s="28">
        <v>0</v>
      </c>
      <c r="G8" s="20" t="str">
        <f t="shared" si="1"/>
        <v>-</v>
      </c>
      <c r="H8" s="28">
        <v>446500</v>
      </c>
      <c r="I8" s="28">
        <v>0</v>
      </c>
      <c r="J8" s="20">
        <f t="shared" si="2"/>
        <v>0</v>
      </c>
      <c r="K8" s="28">
        <v>0</v>
      </c>
      <c r="L8" s="28">
        <v>0</v>
      </c>
      <c r="M8" s="20" t="str">
        <f t="shared" si="3"/>
        <v>-</v>
      </c>
      <c r="N8" s="28">
        <v>0</v>
      </c>
      <c r="O8" s="28">
        <v>0</v>
      </c>
      <c r="P8" s="20" t="str">
        <f t="shared" si="4"/>
        <v>-</v>
      </c>
      <c r="Q8" s="28">
        <v>0</v>
      </c>
      <c r="R8" s="28">
        <v>0</v>
      </c>
      <c r="S8" s="20" t="str">
        <f t="shared" si="5"/>
        <v>-</v>
      </c>
      <c r="T8" s="28">
        <v>0</v>
      </c>
      <c r="U8" s="28">
        <v>0</v>
      </c>
      <c r="V8" s="20" t="str">
        <f t="shared" si="6"/>
        <v>-</v>
      </c>
      <c r="W8" s="28">
        <v>0</v>
      </c>
      <c r="X8" s="28">
        <v>0</v>
      </c>
      <c r="Y8" s="20" t="str">
        <f t="shared" si="7"/>
        <v>-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28">
        <v>11758846.35</v>
      </c>
      <c r="C9" s="28">
        <v>7755462.5199999996</v>
      </c>
      <c r="D9" s="20">
        <f t="shared" si="0"/>
        <v>65.954280625496907</v>
      </c>
      <c r="E9" s="28">
        <v>37654508.880000003</v>
      </c>
      <c r="F9" s="28">
        <v>31928985.050000001</v>
      </c>
      <c r="G9" s="20">
        <f t="shared" si="1"/>
        <v>84.794586358179586</v>
      </c>
      <c r="H9" s="28">
        <v>14326081.15</v>
      </c>
      <c r="I9" s="28">
        <v>14306457.220000001</v>
      </c>
      <c r="J9" s="20">
        <f t="shared" si="2"/>
        <v>99.863019552978045</v>
      </c>
      <c r="K9" s="28">
        <v>7540377.6399999997</v>
      </c>
      <c r="L9" s="28">
        <v>7540377.6399999997</v>
      </c>
      <c r="M9" s="20">
        <f t="shared" si="3"/>
        <v>100</v>
      </c>
      <c r="N9" s="28">
        <v>467979.3</v>
      </c>
      <c r="O9" s="28">
        <v>467979.3</v>
      </c>
      <c r="P9" s="20">
        <f t="shared" si="4"/>
        <v>100</v>
      </c>
      <c r="Q9" s="28">
        <v>5021263.34</v>
      </c>
      <c r="R9" s="28">
        <v>4635024.4000000004</v>
      </c>
      <c r="S9" s="20">
        <f t="shared" si="5"/>
        <v>92.307933007154347</v>
      </c>
      <c r="T9" s="28">
        <v>13362083.01</v>
      </c>
      <c r="U9" s="28">
        <v>13185653.01</v>
      </c>
      <c r="V9" s="20">
        <f t="shared" si="6"/>
        <v>98.679622032972233</v>
      </c>
      <c r="W9" s="1">
        <v>1489570.92</v>
      </c>
      <c r="X9" s="1">
        <v>1483430.92</v>
      </c>
      <c r="Y9" s="20">
        <f t="shared" si="7"/>
        <v>99.587800760772112</v>
      </c>
      <c r="Z9" s="13">
        <f t="shared" si="8"/>
        <v>-88.852255154490322</v>
      </c>
      <c r="AA9" s="13">
        <f t="shared" si="8"/>
        <v>-88.749659050826182</v>
      </c>
    </row>
    <row r="10" spans="1:27" x14ac:dyDescent="0.3">
      <c r="A10" t="s">
        <v>27</v>
      </c>
      <c r="B10" s="28">
        <v>14999768.75</v>
      </c>
      <c r="C10" s="28">
        <v>14792567.85</v>
      </c>
      <c r="D10" s="20">
        <f t="shared" si="0"/>
        <v>98.618639370690303</v>
      </c>
      <c r="E10" s="28">
        <v>12331045.560000001</v>
      </c>
      <c r="F10" s="28">
        <v>10341370.869999999</v>
      </c>
      <c r="G10" s="20">
        <f t="shared" si="1"/>
        <v>83.86450945851503</v>
      </c>
      <c r="H10" s="28">
        <v>11351213.1</v>
      </c>
      <c r="I10" s="28">
        <v>10138677.74</v>
      </c>
      <c r="J10" s="20">
        <f t="shared" si="2"/>
        <v>89.318010777191731</v>
      </c>
      <c r="K10" s="28">
        <v>19842597.670000002</v>
      </c>
      <c r="L10" s="28">
        <v>19815657.23</v>
      </c>
      <c r="M10" s="20">
        <f t="shared" si="3"/>
        <v>99.864229268526003</v>
      </c>
      <c r="N10" s="28">
        <v>8149959.5999999996</v>
      </c>
      <c r="O10" s="28">
        <v>8090199.4100000001</v>
      </c>
      <c r="P10" s="20">
        <f t="shared" si="4"/>
        <v>99.266742500171418</v>
      </c>
      <c r="Q10" s="28">
        <v>12925779.289999999</v>
      </c>
      <c r="R10" s="28">
        <v>7205951.3700000001</v>
      </c>
      <c r="S10" s="20">
        <f t="shared" si="5"/>
        <v>55.748680279376806</v>
      </c>
      <c r="T10" s="28">
        <v>10923680.119999999</v>
      </c>
      <c r="U10" s="28">
        <v>9129321.4399999995</v>
      </c>
      <c r="V10" s="20">
        <f t="shared" si="6"/>
        <v>83.573679746308798</v>
      </c>
      <c r="W10" s="1">
        <v>8382892.6799999997</v>
      </c>
      <c r="X10" s="1">
        <v>6995267.1600000001</v>
      </c>
      <c r="Y10" s="20">
        <f t="shared" si="7"/>
        <v>83.446936839468165</v>
      </c>
      <c r="Z10" s="13">
        <f t="shared" si="8"/>
        <v>-23.259445645502836</v>
      </c>
      <c r="AA10" s="13">
        <f t="shared" si="8"/>
        <v>-23.37582583793872</v>
      </c>
    </row>
    <row r="11" spans="1:27" x14ac:dyDescent="0.3">
      <c r="A11" t="s">
        <v>28</v>
      </c>
      <c r="B11" s="28">
        <v>3380499.95</v>
      </c>
      <c r="C11" s="28">
        <v>3380499.95</v>
      </c>
      <c r="D11" s="20">
        <f t="shared" si="0"/>
        <v>100</v>
      </c>
      <c r="E11" s="28">
        <v>48122.68</v>
      </c>
      <c r="F11" s="28">
        <v>48122.68</v>
      </c>
      <c r="G11" s="20">
        <f t="shared" si="1"/>
        <v>100</v>
      </c>
      <c r="H11" s="28">
        <v>333450</v>
      </c>
      <c r="I11" s="28">
        <v>333450</v>
      </c>
      <c r="J11" s="20">
        <f t="shared" si="2"/>
        <v>100</v>
      </c>
      <c r="K11" s="28">
        <v>0</v>
      </c>
      <c r="L11" s="28">
        <v>0</v>
      </c>
      <c r="M11" s="20" t="str">
        <f t="shared" si="3"/>
        <v>-</v>
      </c>
      <c r="N11" s="28">
        <v>20200</v>
      </c>
      <c r="O11" s="28">
        <v>2500</v>
      </c>
      <c r="P11" s="20">
        <f t="shared" si="4"/>
        <v>12.376237623762377</v>
      </c>
      <c r="Q11" s="28">
        <v>0</v>
      </c>
      <c r="R11" s="28">
        <v>0</v>
      </c>
      <c r="S11" s="20" t="str">
        <f t="shared" si="5"/>
        <v>-</v>
      </c>
      <c r="T11" s="28">
        <v>1526084</v>
      </c>
      <c r="U11" s="28">
        <v>1526084</v>
      </c>
      <c r="V11" s="20">
        <f t="shared" si="6"/>
        <v>100</v>
      </c>
      <c r="W11" s="28">
        <v>0</v>
      </c>
      <c r="X11" s="28">
        <v>0</v>
      </c>
      <c r="Y11" s="20" t="str">
        <f t="shared" si="7"/>
        <v>-</v>
      </c>
      <c r="Z11" s="13">
        <f t="shared" si="8"/>
        <v>-100</v>
      </c>
      <c r="AA11" s="13">
        <f t="shared" si="8"/>
        <v>-100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8614.09</v>
      </c>
      <c r="F12" s="28">
        <v>0</v>
      </c>
      <c r="G12" s="20">
        <f t="shared" si="1"/>
        <v>0</v>
      </c>
      <c r="H12" s="28">
        <v>0</v>
      </c>
      <c r="I12" s="28">
        <v>0</v>
      </c>
      <c r="J12" s="20" t="str">
        <f t="shared" si="2"/>
        <v>-</v>
      </c>
      <c r="K12" s="28">
        <v>0</v>
      </c>
      <c r="L12" s="28">
        <v>0</v>
      </c>
      <c r="M12" s="20" t="str">
        <f t="shared" si="3"/>
        <v>-</v>
      </c>
      <c r="N12" s="28">
        <v>0</v>
      </c>
      <c r="O12" s="28">
        <v>0</v>
      </c>
      <c r="P12" s="20" t="str">
        <f t="shared" si="4"/>
        <v>-</v>
      </c>
      <c r="Q12" s="28">
        <v>0.16</v>
      </c>
      <c r="R12" s="28">
        <v>0.16</v>
      </c>
      <c r="S12" s="20">
        <f t="shared" si="5"/>
        <v>100</v>
      </c>
      <c r="T12" s="28">
        <v>0</v>
      </c>
      <c r="U12" s="28">
        <v>0</v>
      </c>
      <c r="V12" s="20" t="str">
        <f t="shared" si="6"/>
        <v>-</v>
      </c>
      <c r="W12" s="28">
        <v>0</v>
      </c>
      <c r="X12" s="28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1883047.52</v>
      </c>
      <c r="C13" s="28">
        <v>384522.11</v>
      </c>
      <c r="D13" s="20">
        <f t="shared" si="0"/>
        <v>20.420202141260884</v>
      </c>
      <c r="E13" s="28">
        <v>1964939.25</v>
      </c>
      <c r="F13" s="28">
        <v>391955.33</v>
      </c>
      <c r="G13" s="20">
        <f t="shared" si="1"/>
        <v>19.947452828376246</v>
      </c>
      <c r="H13" s="28">
        <v>3802822.61</v>
      </c>
      <c r="I13" s="28">
        <v>1166907.17</v>
      </c>
      <c r="J13" s="20">
        <f t="shared" si="2"/>
        <v>30.685290629425388</v>
      </c>
      <c r="K13" s="28">
        <v>8934788.8900000006</v>
      </c>
      <c r="L13" s="28">
        <v>2018656.83</v>
      </c>
      <c r="M13" s="20">
        <f t="shared" si="3"/>
        <v>22.59322357643304</v>
      </c>
      <c r="N13" s="28">
        <v>768898.61</v>
      </c>
      <c r="O13" s="28">
        <v>768898.61</v>
      </c>
      <c r="P13" s="20">
        <f t="shared" si="4"/>
        <v>100</v>
      </c>
      <c r="Q13" s="28">
        <v>27959841.34</v>
      </c>
      <c r="R13" s="28">
        <v>0</v>
      </c>
      <c r="S13" s="20">
        <f t="shared" si="5"/>
        <v>0</v>
      </c>
      <c r="T13" s="28">
        <v>1800000</v>
      </c>
      <c r="U13" s="28">
        <v>1800000</v>
      </c>
      <c r="V13" s="20">
        <f t="shared" si="6"/>
        <v>100</v>
      </c>
      <c r="W13" s="1">
        <v>12905961.25</v>
      </c>
      <c r="X13" s="1">
        <v>10224471.25</v>
      </c>
      <c r="Y13" s="20">
        <f t="shared" si="7"/>
        <v>79.22285718934728</v>
      </c>
      <c r="Z13" s="13">
        <f t="shared" si="8"/>
        <v>616.99784722222228</v>
      </c>
      <c r="AA13" s="13">
        <f t="shared" si="8"/>
        <v>468.02618055555558</v>
      </c>
    </row>
    <row r="14" spans="1:27" x14ac:dyDescent="0.3">
      <c r="A14" t="s">
        <v>31</v>
      </c>
      <c r="B14" s="28">
        <f>SUM(B3:B5)</f>
        <v>617673989.04999995</v>
      </c>
      <c r="C14" s="28">
        <f>SUM(C3:C5)</f>
        <v>429760298.56</v>
      </c>
      <c r="D14" s="20">
        <f>IF(B14&gt;0,C14/B14*100,"-")</f>
        <v>69.577205156555721</v>
      </c>
      <c r="E14" s="28">
        <f>SUM(E3:E5)</f>
        <v>645821282.94999993</v>
      </c>
      <c r="F14" s="28">
        <f>SUM(F3:F5)</f>
        <v>439707761.19</v>
      </c>
      <c r="G14" s="20">
        <f>IF(E14&gt;0,F14/E14*100,"-")</f>
        <v>68.08505275352509</v>
      </c>
      <c r="H14" s="28">
        <f>SUM(H3:H5)</f>
        <v>659574340.98000002</v>
      </c>
      <c r="I14" s="28">
        <f>SUM(I3:I5)</f>
        <v>492396956.00999999</v>
      </c>
      <c r="J14" s="20">
        <f>IF(H14&gt;0,I14/H14*100,"-")</f>
        <v>74.653746426580696</v>
      </c>
      <c r="K14" s="28">
        <f>SUM(K3:K5)</f>
        <v>734809549.12</v>
      </c>
      <c r="L14" s="28">
        <f>SUM(L3:L5)</f>
        <v>556282882.12</v>
      </c>
      <c r="M14" s="20">
        <f>IF(K14&gt;0,L14/K14*100,"-")</f>
        <v>75.704362142026923</v>
      </c>
      <c r="N14" s="28">
        <f>SUM(N3:N5)</f>
        <v>674940059.38999987</v>
      </c>
      <c r="O14" s="28">
        <f>SUM(O3:O5)</f>
        <v>501494445.73000002</v>
      </c>
      <c r="P14" s="20">
        <f>IF(N14&gt;0,O14/N14*100,"-")</f>
        <v>74.302071532580655</v>
      </c>
      <c r="Q14" s="28">
        <f>SUM(Q3:Q5)</f>
        <v>721127034.51999998</v>
      </c>
      <c r="R14" s="28">
        <f>SUM(R3:R5)</f>
        <v>533131880.48999995</v>
      </c>
      <c r="S14" s="20">
        <f>IF(Q14&gt;0,R14/Q14*100,"-")</f>
        <v>73.930369403619125</v>
      </c>
      <c r="T14" s="28">
        <f t="shared" ref="T14:U14" si="9">SUM(T3:T5)</f>
        <v>770195046.92999995</v>
      </c>
      <c r="U14" s="28">
        <f t="shared" si="9"/>
        <v>539239022.37</v>
      </c>
      <c r="V14" s="20">
        <f>IF(T14&gt;0,U14/T14*100,"-")</f>
        <v>70.013306956388334</v>
      </c>
      <c r="W14" s="28">
        <f t="shared" ref="W14:X14" si="10">SUM(W3:W5)</f>
        <v>818916755.99000001</v>
      </c>
      <c r="X14" s="28">
        <f t="shared" si="10"/>
        <v>555374377.52999997</v>
      </c>
      <c r="Y14" s="20">
        <f>IF(W14&gt;0,X14/W14*100,"-")</f>
        <v>67.818172417121929</v>
      </c>
      <c r="Z14" s="13">
        <f t="shared" si="8"/>
        <v>6.3258922858832989</v>
      </c>
      <c r="AA14" s="13">
        <f t="shared" si="8"/>
        <v>2.9922454589958534</v>
      </c>
    </row>
    <row r="15" spans="1:27" x14ac:dyDescent="0.3">
      <c r="A15" t="s">
        <v>32</v>
      </c>
      <c r="B15" s="27">
        <f>SUM(B6:B10)</f>
        <v>81610744.439999998</v>
      </c>
      <c r="C15" s="27">
        <f>SUM(C6:C10)</f>
        <v>69185407.00999999</v>
      </c>
      <c r="D15" s="20">
        <f>IF(B15&gt;0,C15/B15*100,"-")</f>
        <v>84.774875520054735</v>
      </c>
      <c r="E15" s="27">
        <f>SUM(E6:E10)</f>
        <v>78847090.49000001</v>
      </c>
      <c r="F15" s="27">
        <f>SUM(F6:F10)</f>
        <v>66925972.130000003</v>
      </c>
      <c r="G15" s="20">
        <f>IF(E15&gt;0,F15/E15*100,"-")</f>
        <v>84.880712419550946</v>
      </c>
      <c r="H15" s="27">
        <f>SUM(H6:H10)</f>
        <v>84798431.909999996</v>
      </c>
      <c r="I15" s="27">
        <f>SUM(I6:I10)</f>
        <v>54792010.620000005</v>
      </c>
      <c r="J15" s="20">
        <f>IF(H15&gt;0,I15/H15*100,"-")</f>
        <v>64.614414896436983</v>
      </c>
      <c r="K15" s="27">
        <f>SUM(K6:K10)</f>
        <v>64808571.530000001</v>
      </c>
      <c r="L15" s="27">
        <f>SUM(L6:L10)</f>
        <v>41374613.789999999</v>
      </c>
      <c r="M15" s="20">
        <f>IF(K15&gt;0,L15/K15*100,"-")</f>
        <v>63.841267926801351</v>
      </c>
      <c r="N15" s="27">
        <f>SUM(N6:N10)</f>
        <v>85544148.86999999</v>
      </c>
      <c r="O15" s="27">
        <f>SUM(O6:O10)</f>
        <v>28743526.900000002</v>
      </c>
      <c r="P15" s="20">
        <f>IF(N15&gt;0,O15/N15*100,"-")</f>
        <v>33.600809967355055</v>
      </c>
      <c r="Q15" s="27">
        <f>SUM(Q6:Q10)</f>
        <v>107459437.21000001</v>
      </c>
      <c r="R15" s="27">
        <f>SUM(R6:R10)</f>
        <v>25711872.780000001</v>
      </c>
      <c r="S15" s="20">
        <f>IF(Q15&gt;0,R15/Q15*100,"-")</f>
        <v>23.927049543124998</v>
      </c>
      <c r="T15" s="27">
        <f t="shared" ref="T15:U15" si="11">SUM(T6:T10)</f>
        <v>143645122.21000001</v>
      </c>
      <c r="U15" s="27">
        <f t="shared" si="11"/>
        <v>82193938.629999995</v>
      </c>
      <c r="V15" s="20">
        <f>IF(T15&gt;0,U15/T15*100,"-")</f>
        <v>57.22013902416937</v>
      </c>
      <c r="W15" s="27">
        <f t="shared" ref="W15:X15" si="12">SUM(W6:W10)</f>
        <v>128730146.19</v>
      </c>
      <c r="X15" s="27">
        <f t="shared" si="12"/>
        <v>37122293.109999999</v>
      </c>
      <c r="Y15" s="20">
        <f>IF(W15&gt;0,X15/W15*100,"-")</f>
        <v>28.837295853924644</v>
      </c>
      <c r="Z15" s="13">
        <f t="shared" si="8"/>
        <v>-10.383210923232937</v>
      </c>
      <c r="AA15" s="13">
        <f t="shared" si="8"/>
        <v>-54.835729095416873</v>
      </c>
    </row>
    <row r="16" spans="1:27" x14ac:dyDescent="0.3">
      <c r="A16" t="s">
        <v>33</v>
      </c>
      <c r="B16" s="28">
        <f>SUM(B11:B13)</f>
        <v>5263547.4700000007</v>
      </c>
      <c r="C16" s="28">
        <f>SUM(C11:C13)</f>
        <v>3765022.06</v>
      </c>
      <c r="D16" s="20">
        <f t="shared" si="0"/>
        <v>71.530124530253346</v>
      </c>
      <c r="E16" s="28">
        <f>SUM(E11:E13)</f>
        <v>2021676.02</v>
      </c>
      <c r="F16" s="28">
        <f>SUM(F11:F13)</f>
        <v>440078.01</v>
      </c>
      <c r="G16" s="20">
        <f t="shared" si="1"/>
        <v>21.767978926712502</v>
      </c>
      <c r="H16" s="28">
        <f>SUM(H11:H13)</f>
        <v>4136272.61</v>
      </c>
      <c r="I16" s="28">
        <f>SUM(I11:I13)</f>
        <v>1500357.17</v>
      </c>
      <c r="J16" s="20">
        <f t="shared" ref="J16:J21" si="13">IF(H16&gt;0,I16/H16*100,"-")</f>
        <v>36.273169383775219</v>
      </c>
      <c r="K16" s="28">
        <f>SUM(K11:K13)</f>
        <v>8934788.8900000006</v>
      </c>
      <c r="L16" s="28">
        <f>SUM(L11:L13)</f>
        <v>2018656.83</v>
      </c>
      <c r="M16" s="20">
        <f t="shared" ref="M16:M21" si="14">IF(K16&gt;0,L16/K16*100,"-")</f>
        <v>22.59322357643304</v>
      </c>
      <c r="N16" s="28">
        <f>SUM(N11:N13)</f>
        <v>789098.61</v>
      </c>
      <c r="O16" s="28">
        <f>SUM(O11:O13)</f>
        <v>771398.61</v>
      </c>
      <c r="P16" s="20">
        <f t="shared" ref="P16:P21" si="15">IF(N16&gt;0,O16/N16*100,"-")</f>
        <v>97.756934332959986</v>
      </c>
      <c r="Q16" s="28">
        <f>SUM(Q11:Q13)</f>
        <v>27959841.5</v>
      </c>
      <c r="R16" s="28">
        <f>SUM(R11:R13)</f>
        <v>0.16</v>
      </c>
      <c r="S16" s="20">
        <f t="shared" ref="S16:S21" si="16">IF(Q16&gt;0,R16/Q16*100,"-")</f>
        <v>5.7224930978238913E-7</v>
      </c>
      <c r="T16" s="28">
        <f t="shared" ref="T16:U16" si="17">SUM(T11:T13)</f>
        <v>3326084</v>
      </c>
      <c r="U16" s="28">
        <f t="shared" si="17"/>
        <v>3326084</v>
      </c>
      <c r="V16" s="20">
        <f t="shared" ref="V16:V21" si="18">IF(T16&gt;0,U16/T16*100,"-")</f>
        <v>100</v>
      </c>
      <c r="W16" s="28">
        <f t="shared" ref="W16:X16" si="19">SUM(W11:W13)</f>
        <v>12905961.25</v>
      </c>
      <c r="X16" s="28">
        <f t="shared" si="19"/>
        <v>10224471.25</v>
      </c>
      <c r="Y16" s="20">
        <f t="shared" si="7"/>
        <v>79.22285718934728</v>
      </c>
      <c r="Z16" s="13">
        <f t="shared" si="8"/>
        <v>288.02270928815989</v>
      </c>
      <c r="AA16" s="13">
        <f t="shared" si="8"/>
        <v>207.40267684159505</v>
      </c>
    </row>
    <row r="17" spans="1:27" x14ac:dyDescent="0.3">
      <c r="A17" t="s">
        <v>34</v>
      </c>
      <c r="B17" s="28">
        <v>0</v>
      </c>
      <c r="C17" s="28">
        <v>0</v>
      </c>
      <c r="D17" s="20" t="str">
        <f t="shared" si="0"/>
        <v>-</v>
      </c>
      <c r="E17" s="28">
        <v>0</v>
      </c>
      <c r="F17" s="28">
        <v>0</v>
      </c>
      <c r="G17" s="20" t="str">
        <f t="shared" si="1"/>
        <v>-</v>
      </c>
      <c r="H17" s="28">
        <v>0</v>
      </c>
      <c r="I17" s="28">
        <v>0</v>
      </c>
      <c r="J17" s="20" t="str">
        <f t="shared" si="13"/>
        <v>-</v>
      </c>
      <c r="K17" s="28">
        <v>1026845.08</v>
      </c>
      <c r="L17" s="28">
        <v>1026845.08</v>
      </c>
      <c r="M17" s="20">
        <f t="shared" si="14"/>
        <v>100</v>
      </c>
      <c r="N17" s="28">
        <v>16012549.4</v>
      </c>
      <c r="O17" s="28">
        <v>15957840.800000001</v>
      </c>
      <c r="P17" s="20">
        <f t="shared" si="15"/>
        <v>99.658339227356265</v>
      </c>
      <c r="Q17" s="28">
        <v>3602132.29</v>
      </c>
      <c r="R17" s="28">
        <v>3602132.29</v>
      </c>
      <c r="S17" s="20">
        <f t="shared" si="16"/>
        <v>100</v>
      </c>
      <c r="T17" s="28">
        <v>442142.37</v>
      </c>
      <c r="U17" s="28">
        <v>442142.37</v>
      </c>
      <c r="V17" s="20">
        <f t="shared" si="18"/>
        <v>100</v>
      </c>
      <c r="W17" s="1">
        <v>532401.25</v>
      </c>
      <c r="X17" s="1">
        <v>532401.25</v>
      </c>
      <c r="Y17" s="20">
        <f t="shared" si="7"/>
        <v>100</v>
      </c>
      <c r="Z17" s="13">
        <f t="shared" si="8"/>
        <v>20.413985658058522</v>
      </c>
      <c r="AA17" s="13">
        <f t="shared" si="8"/>
        <v>20.413985658058522</v>
      </c>
    </row>
    <row r="18" spans="1:27" x14ac:dyDescent="0.3">
      <c r="A18" t="s">
        <v>35</v>
      </c>
      <c r="B18" s="28">
        <v>390319619.10000002</v>
      </c>
      <c r="C18" s="28">
        <v>390319619.10000002</v>
      </c>
      <c r="D18" s="20">
        <f t="shared" si="0"/>
        <v>100</v>
      </c>
      <c r="E18" s="28">
        <v>153428146.12</v>
      </c>
      <c r="F18" s="28">
        <v>153428146.12</v>
      </c>
      <c r="G18" s="20">
        <f t="shared" si="1"/>
        <v>100</v>
      </c>
      <c r="H18" s="28">
        <v>0</v>
      </c>
      <c r="I18" s="28">
        <v>0</v>
      </c>
      <c r="J18" s="20" t="str">
        <f t="shared" si="13"/>
        <v>-</v>
      </c>
      <c r="K18" s="28">
        <v>0</v>
      </c>
      <c r="L18" s="28">
        <v>0</v>
      </c>
      <c r="M18" s="20" t="str">
        <f t="shared" si="14"/>
        <v>-</v>
      </c>
      <c r="N18" s="28">
        <v>0</v>
      </c>
      <c r="O18" s="28">
        <v>0</v>
      </c>
      <c r="P18" s="20" t="str">
        <f t="shared" si="15"/>
        <v>-</v>
      </c>
      <c r="Q18" s="28">
        <v>0</v>
      </c>
      <c r="R18" s="28">
        <v>0</v>
      </c>
      <c r="S18" s="20" t="str">
        <f t="shared" si="16"/>
        <v>-</v>
      </c>
      <c r="T18" s="28">
        <v>0</v>
      </c>
      <c r="U18" s="28">
        <v>0</v>
      </c>
      <c r="V18" s="20" t="str">
        <f t="shared" si="18"/>
        <v>-</v>
      </c>
      <c r="W18" s="28">
        <v>0</v>
      </c>
      <c r="X18" s="28">
        <v>0</v>
      </c>
      <c r="Y18" s="20" t="str">
        <f t="shared" si="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28">
        <v>160056195.28</v>
      </c>
      <c r="C19" s="28">
        <v>106275232.76000001</v>
      </c>
      <c r="D19" s="20">
        <f t="shared" si="0"/>
        <v>66.398699890425135</v>
      </c>
      <c r="E19" s="28">
        <v>352109567.51999998</v>
      </c>
      <c r="F19" s="28">
        <v>342793853.66000003</v>
      </c>
      <c r="G19" s="20">
        <f t="shared" si="1"/>
        <v>97.354313906999749</v>
      </c>
      <c r="H19" s="28">
        <v>527258900.12</v>
      </c>
      <c r="I19" s="28">
        <v>524377377.38999999</v>
      </c>
      <c r="J19" s="20">
        <f t="shared" si="13"/>
        <v>99.45348997819778</v>
      </c>
      <c r="K19" s="28">
        <v>111574181.81</v>
      </c>
      <c r="L19" s="28">
        <v>108506136.91</v>
      </c>
      <c r="M19" s="20">
        <f t="shared" si="14"/>
        <v>97.250219674275016</v>
      </c>
      <c r="N19" s="28">
        <v>165210472.11000001</v>
      </c>
      <c r="O19" s="28">
        <v>159711109.41999999</v>
      </c>
      <c r="P19" s="20">
        <f t="shared" si="15"/>
        <v>96.671298968059077</v>
      </c>
      <c r="Q19" s="28">
        <v>145084714.40000001</v>
      </c>
      <c r="R19" s="28">
        <v>140315903.09999999</v>
      </c>
      <c r="S19" s="20">
        <f t="shared" si="16"/>
        <v>96.71308495886592</v>
      </c>
      <c r="T19" s="28">
        <v>258316883.68000001</v>
      </c>
      <c r="U19" s="28">
        <v>253499930.96000001</v>
      </c>
      <c r="V19" s="20">
        <f t="shared" si="18"/>
        <v>98.135254400960022</v>
      </c>
      <c r="W19" s="1">
        <v>125742373.87</v>
      </c>
      <c r="X19" s="1">
        <v>123034022.3</v>
      </c>
      <c r="Y19" s="20">
        <f t="shared" si="7"/>
        <v>97.84611067324046</v>
      </c>
      <c r="Z19" s="13">
        <f t="shared" si="8"/>
        <v>-51.322433098965291</v>
      </c>
      <c r="AA19" s="13">
        <f t="shared" si="8"/>
        <v>-51.465855697051985</v>
      </c>
    </row>
    <row r="20" spans="1:27" x14ac:dyDescent="0.3">
      <c r="A20" t="s">
        <v>37</v>
      </c>
      <c r="B20" s="28">
        <f>B14+B15+B16+B17+B18+B19</f>
        <v>1254924095.3399999</v>
      </c>
      <c r="C20" s="28">
        <f>C14+C15+C16+C17+C18+C19</f>
        <v>999305579.49000001</v>
      </c>
      <c r="D20" s="20">
        <f t="shared" si="0"/>
        <v>79.630758800535702</v>
      </c>
      <c r="E20" s="28">
        <f>E14+E15+E16+E17+E18+E19</f>
        <v>1232227763.0999999</v>
      </c>
      <c r="F20" s="28">
        <f>F14+F15+F16+F17+F18+F19</f>
        <v>1003295811.1100001</v>
      </c>
      <c r="G20" s="20">
        <f t="shared" si="1"/>
        <v>81.421295733991585</v>
      </c>
      <c r="H20" s="28">
        <f>H14+H15+H16+H17+H18+H19</f>
        <v>1275767945.6199999</v>
      </c>
      <c r="I20" s="28">
        <f>I14+I15+I16+I17+I18+I19</f>
        <v>1073066701.1899999</v>
      </c>
      <c r="J20" s="20">
        <f t="shared" si="13"/>
        <v>84.111433029343686</v>
      </c>
      <c r="K20" s="28">
        <f>K14+K15+K16+K17+K18+K19</f>
        <v>921153936.43000007</v>
      </c>
      <c r="L20" s="28">
        <f>L14+L15+L16+L17+L18+L19</f>
        <v>709209134.73000002</v>
      </c>
      <c r="M20" s="20">
        <f t="shared" si="14"/>
        <v>76.991380776007134</v>
      </c>
      <c r="N20" s="28">
        <f>N14+N15+N16+N17+N18+N19</f>
        <v>942496328.37999988</v>
      </c>
      <c r="O20" s="28">
        <f>O14+O15+O16+O17+O18+O19</f>
        <v>706678321.45999992</v>
      </c>
      <c r="P20" s="20">
        <f t="shared" si="15"/>
        <v>74.97942434159576</v>
      </c>
      <c r="Q20" s="28">
        <f>Q14+Q15+Q16+Q17+Q18+Q19</f>
        <v>1005233159.92</v>
      </c>
      <c r="R20" s="28">
        <f>R14+R15+R16+R17+R18+R19</f>
        <v>702761788.81999993</v>
      </c>
      <c r="S20" s="20">
        <f t="shared" si="16"/>
        <v>69.910326960953839</v>
      </c>
      <c r="T20" s="28">
        <f t="shared" ref="T20:U20" si="20">T14+T15+T16+T17+T18+T19</f>
        <v>1175925279.1900001</v>
      </c>
      <c r="U20" s="28">
        <f t="shared" si="20"/>
        <v>878701118.33000004</v>
      </c>
      <c r="V20" s="20">
        <f t="shared" si="18"/>
        <v>74.724230687111884</v>
      </c>
      <c r="W20" s="28">
        <f t="shared" ref="W20:X20" si="21">W14+W15+W16+W17+W18+W19</f>
        <v>1086827638.5500002</v>
      </c>
      <c r="X20" s="28">
        <f t="shared" si="21"/>
        <v>726287565.43999994</v>
      </c>
      <c r="Y20" s="20">
        <f t="shared" si="7"/>
        <v>66.826379793670171</v>
      </c>
      <c r="Z20" s="13">
        <f t="shared" si="8"/>
        <v>-7.576811402623477</v>
      </c>
      <c r="AA20" s="13">
        <f t="shared" si="8"/>
        <v>-17.345323649942202</v>
      </c>
    </row>
    <row r="21" spans="1:27" x14ac:dyDescent="0.3">
      <c r="A21" t="s">
        <v>38</v>
      </c>
      <c r="B21" s="28">
        <f>B20-B19</f>
        <v>1094867900.0599999</v>
      </c>
      <c r="C21" s="28">
        <f>C20-C19</f>
        <v>893030346.73000002</v>
      </c>
      <c r="D21" s="20">
        <f t="shared" si="0"/>
        <v>81.565122758742035</v>
      </c>
      <c r="E21" s="28">
        <f>E20-E19</f>
        <v>880118195.57999992</v>
      </c>
      <c r="F21" s="28">
        <f>F20-F19</f>
        <v>660501957.45000005</v>
      </c>
      <c r="G21" s="20">
        <f t="shared" si="1"/>
        <v>75.046960824929627</v>
      </c>
      <c r="H21" s="28">
        <f>H20-H19</f>
        <v>748509045.49999988</v>
      </c>
      <c r="I21" s="28">
        <f>I20-I19</f>
        <v>548689323.79999995</v>
      </c>
      <c r="J21" s="20">
        <f t="shared" si="13"/>
        <v>73.304301009946855</v>
      </c>
      <c r="K21" s="28">
        <f>K20-K19</f>
        <v>809579754.62000012</v>
      </c>
      <c r="L21" s="28">
        <f>L20-L19</f>
        <v>600702997.82000005</v>
      </c>
      <c r="M21" s="20">
        <f t="shared" si="14"/>
        <v>74.199360148520213</v>
      </c>
      <c r="N21" s="28">
        <f>N20-N19</f>
        <v>777285856.26999986</v>
      </c>
      <c r="O21" s="28">
        <f>O20-O19</f>
        <v>546967212.03999996</v>
      </c>
      <c r="P21" s="20">
        <f t="shared" si="15"/>
        <v>70.368862063791909</v>
      </c>
      <c r="Q21" s="28">
        <f>Q20-Q19</f>
        <v>860148445.51999998</v>
      </c>
      <c r="R21" s="28">
        <f>R20-R19</f>
        <v>562445885.71999991</v>
      </c>
      <c r="S21" s="20">
        <f t="shared" si="16"/>
        <v>65.389397452200825</v>
      </c>
      <c r="T21" s="28">
        <f t="shared" ref="T21:U21" si="22">T20-T19</f>
        <v>917608395.50999999</v>
      </c>
      <c r="U21" s="28">
        <f t="shared" si="22"/>
        <v>625201187.37</v>
      </c>
      <c r="V21" s="20">
        <f t="shared" si="18"/>
        <v>68.133769310438552</v>
      </c>
      <c r="W21" s="28">
        <f t="shared" ref="W21:X21" si="23">W20-W19</f>
        <v>961085264.68000019</v>
      </c>
      <c r="X21" s="28">
        <f t="shared" si="23"/>
        <v>603253543.13999999</v>
      </c>
      <c r="Y21" s="20">
        <f t="shared" si="7"/>
        <v>62.767952575035821</v>
      </c>
      <c r="Z21" s="13">
        <f t="shared" si="8"/>
        <v>4.7380635773102426</v>
      </c>
      <c r="AA21" s="13">
        <f t="shared" si="8"/>
        <v>-3.5104930498174554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02"/>
      <c r="K22" s="12" t="s">
        <v>75</v>
      </c>
      <c r="L22" s="12" t="s">
        <v>76</v>
      </c>
      <c r="M22" s="106"/>
      <c r="N22" s="12" t="s">
        <v>75</v>
      </c>
      <c r="O22" s="12" t="s">
        <v>76</v>
      </c>
      <c r="P22" s="113"/>
      <c r="Q22" s="12" t="s">
        <v>75</v>
      </c>
      <c r="R22" s="12" t="s">
        <v>76</v>
      </c>
      <c r="S22" s="131"/>
      <c r="T22" s="12" t="s">
        <v>75</v>
      </c>
      <c r="U22" s="12" t="s">
        <v>76</v>
      </c>
      <c r="V22" s="137"/>
      <c r="W22" s="12" t="s">
        <v>75</v>
      </c>
      <c r="X22" s="12" t="s">
        <v>76</v>
      </c>
      <c r="Y22" s="18"/>
    </row>
    <row r="23" spans="1:27" x14ac:dyDescent="0.3">
      <c r="A23" s="5" t="s">
        <v>39</v>
      </c>
      <c r="B23" s="27">
        <v>113273899.25</v>
      </c>
      <c r="C23" s="27">
        <v>109117380.62</v>
      </c>
      <c r="D23" s="20">
        <f>IF(B23&gt;0,C23/B23*100,"-")</f>
        <v>96.330559239576985</v>
      </c>
      <c r="E23" s="27">
        <v>106921638.08</v>
      </c>
      <c r="F23" s="27">
        <v>103117003.98</v>
      </c>
      <c r="G23" s="20">
        <f>IF(E23&gt;0,F23/E23*100,"-")</f>
        <v>96.441661231234292</v>
      </c>
      <c r="H23" s="27">
        <v>113307930.02</v>
      </c>
      <c r="I23" s="27">
        <v>109089982.34999999</v>
      </c>
      <c r="J23" s="20">
        <f>IF(H23&gt;0,I23/H23*100,"-")</f>
        <v>96.277447069013178</v>
      </c>
      <c r="K23" s="27">
        <v>112905297.67</v>
      </c>
      <c r="L23" s="27">
        <v>109169011.33</v>
      </c>
      <c r="M23" s="20">
        <f>IF(K23&gt;0,L23/K23*100,"-")</f>
        <v>96.690778539975653</v>
      </c>
      <c r="N23" s="27">
        <v>106972606.58</v>
      </c>
      <c r="O23" s="27">
        <v>103227001.2</v>
      </c>
      <c r="P23" s="20">
        <f>IF(N23&gt;0,O23/N23*100,"-")</f>
        <v>96.498537803508768</v>
      </c>
      <c r="Q23" s="1">
        <v>105593828.55</v>
      </c>
      <c r="R23" s="1">
        <v>102297235.79000001</v>
      </c>
      <c r="S23" s="20">
        <f>IF(Q23&gt;0,R23/Q23*100,"-")</f>
        <v>96.878044100428639</v>
      </c>
      <c r="T23" s="1">
        <v>109895852</v>
      </c>
      <c r="U23" s="1">
        <v>105404756.48999999</v>
      </c>
      <c r="V23" s="20">
        <f>IF(T23&gt;0,U23/T23*100,"-")</f>
        <v>95.913316628183566</v>
      </c>
      <c r="W23" s="1">
        <v>107250434</v>
      </c>
      <c r="X23" s="1">
        <v>103823032.06999999</v>
      </c>
      <c r="Y23" s="20">
        <f>IF(W23&gt;0,X23/W23*100,"-")</f>
        <v>96.804300176538206</v>
      </c>
      <c r="Z23" s="13">
        <f t="shared" si="8"/>
        <v>-2.4072045958568111</v>
      </c>
      <c r="AA23" s="13">
        <f t="shared" si="8"/>
        <v>-1.5006195855592637</v>
      </c>
    </row>
    <row r="24" spans="1:27" x14ac:dyDescent="0.3">
      <c r="A24" s="5" t="s">
        <v>40</v>
      </c>
      <c r="B24" s="27">
        <v>16394594.470000001</v>
      </c>
      <c r="C24" s="27">
        <v>16305832.98</v>
      </c>
      <c r="D24" s="20">
        <f t="shared" ref="D24:D55" si="24">IF(B24&gt;0,C24/B24*100,"-")</f>
        <v>99.458592951704773</v>
      </c>
      <c r="E24" s="27">
        <v>18188506.920000002</v>
      </c>
      <c r="F24" s="27">
        <v>15290279.449999999</v>
      </c>
      <c r="G24" s="20">
        <f t="shared" ref="G24:G55" si="25">IF(E24&gt;0,F24/E24*100,"-")</f>
        <v>84.065610867634632</v>
      </c>
      <c r="H24" s="27">
        <v>18256340.359999999</v>
      </c>
      <c r="I24" s="27">
        <v>16338998.970000001</v>
      </c>
      <c r="J24" s="20">
        <f t="shared" ref="J24:J55" si="26">IF(H24&gt;0,I24/H24*100,"-")</f>
        <v>89.497668469191495</v>
      </c>
      <c r="K24" s="27">
        <v>17322696.050000001</v>
      </c>
      <c r="L24" s="27">
        <v>16926938.620000001</v>
      </c>
      <c r="M24" s="20">
        <f t="shared" ref="M24:M55" si="27">IF(K24&gt;0,L24/K24*100,"-")</f>
        <v>97.715382011797175</v>
      </c>
      <c r="N24" s="27">
        <v>13753355.949999999</v>
      </c>
      <c r="O24" s="27">
        <v>13330645.07</v>
      </c>
      <c r="P24" s="20">
        <f t="shared" ref="P24:P55" si="28">IF(N24&gt;0,O24/N24*100,"-")</f>
        <v>96.926489203531446</v>
      </c>
      <c r="Q24" s="1">
        <v>14033675.93</v>
      </c>
      <c r="R24" s="1">
        <v>12726201.619999999</v>
      </c>
      <c r="S24" s="20">
        <f t="shared" ref="S24:S55" si="29">IF(Q24&gt;0,R24/Q24*100,"-")</f>
        <v>90.683308375355935</v>
      </c>
      <c r="T24" s="1">
        <v>18191188.199999999</v>
      </c>
      <c r="U24" s="1">
        <v>16886772.93</v>
      </c>
      <c r="V24" s="20">
        <f t="shared" ref="V24:V55" si="30">IF(T24&gt;0,U24/T24*100,"-")</f>
        <v>92.82941138501333</v>
      </c>
      <c r="W24" s="1">
        <v>19828389.91</v>
      </c>
      <c r="X24" s="1">
        <v>18954058.43</v>
      </c>
      <c r="Y24" s="20">
        <f t="shared" ref="Y24:Y55" si="31">IF(W24&gt;0,X24/W24*100,"-")</f>
        <v>95.590506924825746</v>
      </c>
      <c r="Z24" s="13">
        <f t="shared" si="8"/>
        <v>8.9999712608107814</v>
      </c>
      <c r="AA24" s="13">
        <f t="shared" si="8"/>
        <v>12.242040018951087</v>
      </c>
    </row>
    <row r="25" spans="1:27" x14ac:dyDescent="0.3">
      <c r="A25" s="5" t="s">
        <v>41</v>
      </c>
      <c r="B25" s="27">
        <v>371807499.82999998</v>
      </c>
      <c r="C25" s="27">
        <v>283464682.49000001</v>
      </c>
      <c r="D25" s="20">
        <f t="shared" si="24"/>
        <v>76.23963546179337</v>
      </c>
      <c r="E25" s="27">
        <v>372002298.94999999</v>
      </c>
      <c r="F25" s="27">
        <v>250491947.46000001</v>
      </c>
      <c r="G25" s="20">
        <f t="shared" si="25"/>
        <v>67.336128880662656</v>
      </c>
      <c r="H25" s="27">
        <v>380542581.82999998</v>
      </c>
      <c r="I25" s="27">
        <v>284687295.58999997</v>
      </c>
      <c r="J25" s="20">
        <f t="shared" si="26"/>
        <v>74.810890865605799</v>
      </c>
      <c r="K25" s="27">
        <v>379780055.81999999</v>
      </c>
      <c r="L25" s="27">
        <v>316391983.86000001</v>
      </c>
      <c r="M25" s="20">
        <f t="shared" si="27"/>
        <v>83.309267827891603</v>
      </c>
      <c r="N25" s="27">
        <v>346528291.79000002</v>
      </c>
      <c r="O25" s="27">
        <v>264211642.93000001</v>
      </c>
      <c r="P25" s="20">
        <f t="shared" si="28"/>
        <v>76.245330955579007</v>
      </c>
      <c r="Q25" s="1">
        <v>370263448.93000001</v>
      </c>
      <c r="R25" s="1">
        <v>310633548.39999998</v>
      </c>
      <c r="S25" s="20">
        <f t="shared" si="29"/>
        <v>83.895277618592772</v>
      </c>
      <c r="T25" s="1">
        <v>451533457.38</v>
      </c>
      <c r="U25" s="1">
        <v>363404288.48000002</v>
      </c>
      <c r="V25" s="20">
        <f t="shared" si="30"/>
        <v>80.482250548748922</v>
      </c>
      <c r="W25" s="1">
        <v>463998248.11000001</v>
      </c>
      <c r="X25" s="1">
        <v>381807447.36000001</v>
      </c>
      <c r="Y25" s="20">
        <f t="shared" si="31"/>
        <v>82.286398475686696</v>
      </c>
      <c r="Z25" s="13">
        <f t="shared" si="8"/>
        <v>2.7605464282373049</v>
      </c>
      <c r="AA25" s="13">
        <f t="shared" si="8"/>
        <v>5.0641006348533608</v>
      </c>
    </row>
    <row r="26" spans="1:27" x14ac:dyDescent="0.3">
      <c r="A26" s="5" t="s">
        <v>42</v>
      </c>
      <c r="B26" s="27">
        <v>27397327.460000001</v>
      </c>
      <c r="C26" s="27">
        <v>18982232.32</v>
      </c>
      <c r="D26" s="20">
        <f t="shared" si="24"/>
        <v>69.284978061141146</v>
      </c>
      <c r="E26" s="27">
        <v>26964033.390000001</v>
      </c>
      <c r="F26" s="27">
        <v>18209758.239999998</v>
      </c>
      <c r="G26" s="20">
        <f t="shared" si="25"/>
        <v>67.533510200863901</v>
      </c>
      <c r="H26" s="27">
        <v>31069693.239999998</v>
      </c>
      <c r="I26" s="27">
        <v>23695017.280000001</v>
      </c>
      <c r="J26" s="20">
        <f t="shared" si="26"/>
        <v>76.264085058600998</v>
      </c>
      <c r="K26" s="27">
        <v>39107907.049999997</v>
      </c>
      <c r="L26" s="27">
        <v>27677554.91</v>
      </c>
      <c r="M26" s="20">
        <f t="shared" si="27"/>
        <v>70.772273429549344</v>
      </c>
      <c r="N26" s="27">
        <v>57412121.810000002</v>
      </c>
      <c r="O26" s="27">
        <v>45827831.270000003</v>
      </c>
      <c r="P26" s="20">
        <f t="shared" si="28"/>
        <v>79.822570260794208</v>
      </c>
      <c r="Q26" s="1">
        <v>74845052.730000004</v>
      </c>
      <c r="R26" s="1">
        <v>52164593.289999999</v>
      </c>
      <c r="S26" s="20">
        <f t="shared" si="29"/>
        <v>69.696782068123213</v>
      </c>
      <c r="T26" s="1">
        <v>79293614.140000001</v>
      </c>
      <c r="U26" s="1">
        <v>49239018.049999997</v>
      </c>
      <c r="V26" s="20">
        <f t="shared" si="30"/>
        <v>62.097078792579794</v>
      </c>
      <c r="W26" s="1">
        <v>53512764.350000001</v>
      </c>
      <c r="X26" s="1">
        <v>44129679.079999998</v>
      </c>
      <c r="Y26" s="20">
        <f t="shared" si="31"/>
        <v>82.465706296482878</v>
      </c>
      <c r="Z26" s="13">
        <f t="shared" si="8"/>
        <v>-32.513147583967594</v>
      </c>
      <c r="AA26" s="13">
        <f t="shared" si="8"/>
        <v>-10.376606139488189</v>
      </c>
    </row>
    <row r="27" spans="1:27" x14ac:dyDescent="0.3">
      <c r="A27" s="5" t="s">
        <v>43</v>
      </c>
      <c r="B27" s="27">
        <v>17622345.18</v>
      </c>
      <c r="C27" s="27">
        <v>15836505.25</v>
      </c>
      <c r="D27" s="20">
        <f t="shared" si="24"/>
        <v>89.866048407525284</v>
      </c>
      <c r="E27" s="27">
        <v>15922241.939999999</v>
      </c>
      <c r="F27" s="27">
        <v>14615855.050000001</v>
      </c>
      <c r="G27" s="20">
        <f t="shared" si="25"/>
        <v>91.795207641468622</v>
      </c>
      <c r="H27" s="27">
        <v>15291210.23</v>
      </c>
      <c r="I27" s="27">
        <v>15291210.23</v>
      </c>
      <c r="J27" s="20">
        <f t="shared" si="26"/>
        <v>100</v>
      </c>
      <c r="K27" s="27">
        <v>13461448.99</v>
      </c>
      <c r="L27" s="27">
        <v>13376312.449999999</v>
      </c>
      <c r="M27" s="20">
        <f t="shared" si="27"/>
        <v>99.367552927896213</v>
      </c>
      <c r="N27" s="27">
        <v>13009417.51</v>
      </c>
      <c r="O27" s="27">
        <v>12987262.859999999</v>
      </c>
      <c r="P27" s="20">
        <f t="shared" si="28"/>
        <v>99.829702982604942</v>
      </c>
      <c r="Q27" s="1">
        <v>12784388.779999999</v>
      </c>
      <c r="R27" s="1">
        <v>12784388.779999999</v>
      </c>
      <c r="S27" s="20">
        <f t="shared" si="29"/>
        <v>100</v>
      </c>
      <c r="T27" s="1">
        <v>9818335.8900000006</v>
      </c>
      <c r="U27" s="1">
        <v>9818335.8900000006</v>
      </c>
      <c r="V27" s="20">
        <f t="shared" si="30"/>
        <v>100</v>
      </c>
      <c r="W27" s="1">
        <v>13928460.310000001</v>
      </c>
      <c r="X27" s="1">
        <v>13928460.310000001</v>
      </c>
      <c r="Y27" s="20">
        <f t="shared" si="31"/>
        <v>100</v>
      </c>
      <c r="Z27" s="13">
        <f t="shared" si="8"/>
        <v>41.861721436788201</v>
      </c>
      <c r="AA27" s="13">
        <f t="shared" si="8"/>
        <v>41.861721436788201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24"/>
        <v>-</v>
      </c>
      <c r="E28" s="27">
        <v>462092.96</v>
      </c>
      <c r="F28" s="27">
        <v>462092.96</v>
      </c>
      <c r="G28" s="20">
        <f t="shared" si="25"/>
        <v>100</v>
      </c>
      <c r="H28" s="27">
        <v>466251.8</v>
      </c>
      <c r="I28" s="27">
        <v>466251.8</v>
      </c>
      <c r="J28" s="20">
        <f t="shared" si="26"/>
        <v>100</v>
      </c>
      <c r="K28" s="27">
        <v>467321.83</v>
      </c>
      <c r="L28" s="27">
        <v>467321.83</v>
      </c>
      <c r="M28" s="20">
        <f t="shared" si="27"/>
        <v>100</v>
      </c>
      <c r="N28" s="27">
        <v>470756.94</v>
      </c>
      <c r="O28" s="27">
        <v>470756.94</v>
      </c>
      <c r="P28" s="20">
        <f t="shared" si="28"/>
        <v>100</v>
      </c>
      <c r="Q28" s="1">
        <v>471698.45</v>
      </c>
      <c r="R28" s="1">
        <v>471698.45</v>
      </c>
      <c r="S28" s="20">
        <f t="shared" si="29"/>
        <v>100</v>
      </c>
      <c r="T28" s="1">
        <v>493868.28</v>
      </c>
      <c r="U28" s="1">
        <v>493868.28</v>
      </c>
      <c r="V28" s="20">
        <f t="shared" si="30"/>
        <v>100</v>
      </c>
      <c r="W28" s="1">
        <v>542267.37</v>
      </c>
      <c r="X28" s="1">
        <v>542267.37</v>
      </c>
      <c r="Y28" s="20">
        <f t="shared" si="31"/>
        <v>100</v>
      </c>
      <c r="Z28" s="13">
        <f t="shared" si="8"/>
        <v>9.7999997084242665</v>
      </c>
      <c r="AA28" s="13">
        <f t="shared" si="8"/>
        <v>9.7999997084242665</v>
      </c>
    </row>
    <row r="29" spans="1:27" x14ac:dyDescent="0.3">
      <c r="A29" s="5" t="s">
        <v>45</v>
      </c>
      <c r="B29" s="27">
        <v>1162126.8899999999</v>
      </c>
      <c r="C29" s="27">
        <v>791354.58</v>
      </c>
      <c r="D29" s="20">
        <f t="shared" si="24"/>
        <v>68.095367795852312</v>
      </c>
      <c r="E29" s="27">
        <v>2600005.2799999998</v>
      </c>
      <c r="F29" s="27">
        <v>2192659.56</v>
      </c>
      <c r="G29" s="20">
        <f t="shared" si="25"/>
        <v>84.332888739364421</v>
      </c>
      <c r="H29" s="27">
        <v>816241.58</v>
      </c>
      <c r="I29" s="27">
        <v>627069.54</v>
      </c>
      <c r="J29" s="20">
        <f t="shared" si="26"/>
        <v>76.824013302532336</v>
      </c>
      <c r="K29" s="27">
        <v>838077.32</v>
      </c>
      <c r="L29" s="27">
        <v>603587.47</v>
      </c>
      <c r="M29" s="20">
        <f t="shared" si="27"/>
        <v>72.020499254173828</v>
      </c>
      <c r="N29" s="27">
        <v>1666000.98</v>
      </c>
      <c r="O29" s="27">
        <v>406746.48</v>
      </c>
      <c r="P29" s="20">
        <f t="shared" si="28"/>
        <v>24.414540260354467</v>
      </c>
      <c r="Q29" s="1">
        <v>899168.98</v>
      </c>
      <c r="R29" s="1">
        <v>716383.61</v>
      </c>
      <c r="S29" s="20">
        <f t="shared" si="29"/>
        <v>79.671744236550509</v>
      </c>
      <c r="T29" s="1">
        <v>1851654.55</v>
      </c>
      <c r="U29" s="1">
        <v>658289.06000000006</v>
      </c>
      <c r="V29" s="20">
        <f t="shared" si="30"/>
        <v>35.551396992489778</v>
      </c>
      <c r="W29" s="1">
        <v>2006766.08</v>
      </c>
      <c r="X29" s="1">
        <v>1104629.5</v>
      </c>
      <c r="Y29" s="20">
        <f t="shared" si="31"/>
        <v>55.045254701534517</v>
      </c>
      <c r="Z29" s="13">
        <f t="shared" si="8"/>
        <v>8.3769151216678068</v>
      </c>
      <c r="AA29" s="13">
        <f t="shared" si="8"/>
        <v>67.80310765000408</v>
      </c>
    </row>
    <row r="30" spans="1:27" x14ac:dyDescent="0.3">
      <c r="A30" s="5" t="s">
        <v>46</v>
      </c>
      <c r="B30" s="27">
        <v>7717819.0999999996</v>
      </c>
      <c r="C30" s="27">
        <v>7476545.9199999999</v>
      </c>
      <c r="D30" s="20">
        <f t="shared" si="24"/>
        <v>96.873816594120484</v>
      </c>
      <c r="E30" s="27">
        <v>17369782.579999998</v>
      </c>
      <c r="F30" s="27">
        <v>16540940.58</v>
      </c>
      <c r="G30" s="20">
        <f t="shared" si="25"/>
        <v>95.228253455778159</v>
      </c>
      <c r="H30" s="27">
        <v>15954014.949999999</v>
      </c>
      <c r="I30" s="27">
        <v>15449524.289999999</v>
      </c>
      <c r="J30" s="20">
        <f t="shared" si="26"/>
        <v>96.837845134399842</v>
      </c>
      <c r="K30" s="27">
        <v>14184603.17</v>
      </c>
      <c r="L30" s="27">
        <v>13988356.970000001</v>
      </c>
      <c r="M30" s="20">
        <f t="shared" si="27"/>
        <v>98.616484383468304</v>
      </c>
      <c r="N30" s="27">
        <v>13474409.59</v>
      </c>
      <c r="O30" s="27">
        <v>13059761.26</v>
      </c>
      <c r="P30" s="20">
        <f t="shared" si="28"/>
        <v>96.922697597765392</v>
      </c>
      <c r="Q30" s="1">
        <v>11037527.27</v>
      </c>
      <c r="R30" s="1">
        <v>9266811.8900000006</v>
      </c>
      <c r="S30" s="20">
        <f t="shared" si="29"/>
        <v>83.957318186539808</v>
      </c>
      <c r="T30" s="1">
        <v>13466050.439999999</v>
      </c>
      <c r="U30" s="1">
        <v>9594287.3399999999</v>
      </c>
      <c r="V30" s="20">
        <f t="shared" si="30"/>
        <v>71.247968234997941</v>
      </c>
      <c r="W30" s="1">
        <v>10761962.380000001</v>
      </c>
      <c r="X30" s="1">
        <v>9509839.7400000002</v>
      </c>
      <c r="Y30" s="20">
        <f t="shared" si="31"/>
        <v>88.365294397172946</v>
      </c>
      <c r="Z30" s="13">
        <f t="shared" si="8"/>
        <v>-20.080780716279563</v>
      </c>
      <c r="AA30" s="13">
        <f t="shared" si="8"/>
        <v>-0.88018627134425742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24"/>
        <v>-</v>
      </c>
      <c r="E31" s="28">
        <v>0</v>
      </c>
      <c r="F31" s="28">
        <v>0</v>
      </c>
      <c r="G31" s="20" t="str">
        <f t="shared" si="25"/>
        <v>-</v>
      </c>
      <c r="H31" s="28">
        <v>0</v>
      </c>
      <c r="I31" s="28">
        <v>0</v>
      </c>
      <c r="J31" s="20" t="str">
        <f t="shared" si="26"/>
        <v>-</v>
      </c>
      <c r="K31" s="28">
        <v>0</v>
      </c>
      <c r="L31" s="28">
        <v>0</v>
      </c>
      <c r="M31" s="20" t="str">
        <f t="shared" si="27"/>
        <v>-</v>
      </c>
      <c r="N31" s="28">
        <v>0</v>
      </c>
      <c r="O31" s="28">
        <v>0</v>
      </c>
      <c r="P31" s="20" t="str">
        <f t="shared" si="28"/>
        <v>-</v>
      </c>
      <c r="Q31" s="28">
        <v>0</v>
      </c>
      <c r="R31" s="28">
        <v>0</v>
      </c>
      <c r="S31" s="20" t="str">
        <f t="shared" si="29"/>
        <v>-</v>
      </c>
      <c r="T31" s="28">
        <v>0</v>
      </c>
      <c r="U31" s="28">
        <v>0</v>
      </c>
      <c r="V31" s="20" t="str">
        <f t="shared" si="30"/>
        <v>-</v>
      </c>
      <c r="W31" s="28">
        <v>0</v>
      </c>
      <c r="X31" s="28">
        <v>0</v>
      </c>
      <c r="Y31" s="20" t="str">
        <f t="shared" si="3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100775712.53</v>
      </c>
      <c r="C32" s="27">
        <v>79903515.239999995</v>
      </c>
      <c r="D32" s="20">
        <f t="shared" si="24"/>
        <v>79.288464684596946</v>
      </c>
      <c r="E32" s="27">
        <v>54303235.359999999</v>
      </c>
      <c r="F32" s="27">
        <v>42792642.329999998</v>
      </c>
      <c r="G32" s="20">
        <f t="shared" si="25"/>
        <v>78.803117431786106</v>
      </c>
      <c r="H32" s="27">
        <v>70262562.25</v>
      </c>
      <c r="I32" s="27">
        <v>39824818.340000004</v>
      </c>
      <c r="J32" s="20">
        <f t="shared" si="26"/>
        <v>56.679997234231237</v>
      </c>
      <c r="K32" s="27">
        <v>88053207.420000002</v>
      </c>
      <c r="L32" s="27">
        <v>50316066.229999997</v>
      </c>
      <c r="M32" s="20">
        <f t="shared" si="27"/>
        <v>57.142797751818676</v>
      </c>
      <c r="N32" s="27">
        <v>126708801.3</v>
      </c>
      <c r="O32" s="27">
        <v>106534855.95</v>
      </c>
      <c r="P32" s="20">
        <f t="shared" si="28"/>
        <v>84.078497197494997</v>
      </c>
      <c r="Q32" s="1">
        <v>115728295.73999999</v>
      </c>
      <c r="R32" s="1">
        <v>73702782.75</v>
      </c>
      <c r="S32" s="20">
        <f t="shared" si="29"/>
        <v>63.686052126425274</v>
      </c>
      <c r="T32" s="111">
        <v>111670405.84</v>
      </c>
      <c r="U32" s="111">
        <v>92302746.799999997</v>
      </c>
      <c r="V32" s="20">
        <f t="shared" si="30"/>
        <v>82.656408477864986</v>
      </c>
      <c r="W32" s="1">
        <v>198359038.38</v>
      </c>
      <c r="X32" s="1">
        <v>149475641.96000001</v>
      </c>
      <c r="Y32" s="20">
        <f t="shared" si="31"/>
        <v>75.356103347126947</v>
      </c>
      <c r="Z32" s="13">
        <f t="shared" si="8"/>
        <v>77.629011811962442</v>
      </c>
      <c r="AA32" s="13">
        <f t="shared" si="8"/>
        <v>61.940621641391971</v>
      </c>
    </row>
    <row r="33" spans="1:27" x14ac:dyDescent="0.3">
      <c r="A33" s="5" t="s">
        <v>49</v>
      </c>
      <c r="B33" s="27">
        <v>7827589.5</v>
      </c>
      <c r="C33" s="27">
        <v>3995753.22</v>
      </c>
      <c r="D33" s="20">
        <f t="shared" si="24"/>
        <v>51.047046092542281</v>
      </c>
      <c r="E33" s="27">
        <v>3692321.56</v>
      </c>
      <c r="F33" s="27">
        <v>1306120.96</v>
      </c>
      <c r="G33" s="20">
        <f t="shared" si="25"/>
        <v>35.373976474573354</v>
      </c>
      <c r="H33" s="27">
        <v>4795097.4400000004</v>
      </c>
      <c r="I33" s="27">
        <v>1406875.67</v>
      </c>
      <c r="J33" s="20">
        <f t="shared" si="26"/>
        <v>29.339876563592831</v>
      </c>
      <c r="K33" s="27">
        <v>6057273.7000000002</v>
      </c>
      <c r="L33" s="27">
        <v>3550067.48</v>
      </c>
      <c r="M33" s="20">
        <f t="shared" si="27"/>
        <v>58.608338599591427</v>
      </c>
      <c r="N33" s="27">
        <v>15273468.26</v>
      </c>
      <c r="O33" s="27">
        <v>7100365.7699999996</v>
      </c>
      <c r="P33" s="20">
        <f t="shared" si="28"/>
        <v>46.488234689924965</v>
      </c>
      <c r="Q33" s="1">
        <v>16922849.940000001</v>
      </c>
      <c r="R33" s="1">
        <v>3549434.36</v>
      </c>
      <c r="S33" s="20">
        <f t="shared" si="29"/>
        <v>20.974211628564497</v>
      </c>
      <c r="T33" s="111">
        <v>55195913.159999996</v>
      </c>
      <c r="U33" s="111">
        <v>15482347.27</v>
      </c>
      <c r="V33" s="20">
        <f t="shared" si="30"/>
        <v>28.049807283956529</v>
      </c>
      <c r="W33" s="1">
        <v>26369263.41</v>
      </c>
      <c r="X33" s="1">
        <v>13882707.359999999</v>
      </c>
      <c r="Y33" s="20">
        <f t="shared" si="31"/>
        <v>52.647308133511494</v>
      </c>
      <c r="Z33" s="13">
        <f t="shared" si="8"/>
        <v>-52.226058234489763</v>
      </c>
      <c r="AA33" s="13">
        <f t="shared" si="8"/>
        <v>-10.332024479903041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24"/>
        <v>-</v>
      </c>
      <c r="E34" s="27">
        <v>0</v>
      </c>
      <c r="F34" s="27">
        <v>0</v>
      </c>
      <c r="G34" s="20" t="str">
        <f t="shared" si="25"/>
        <v>-</v>
      </c>
      <c r="H34" s="27">
        <v>0</v>
      </c>
      <c r="I34" s="27">
        <v>0</v>
      </c>
      <c r="J34" s="20" t="str">
        <f t="shared" si="26"/>
        <v>-</v>
      </c>
      <c r="K34" s="27">
        <v>0</v>
      </c>
      <c r="L34" s="27">
        <v>0</v>
      </c>
      <c r="M34" s="20" t="str">
        <f t="shared" si="27"/>
        <v>-</v>
      </c>
      <c r="N34" s="27">
        <v>0</v>
      </c>
      <c r="O34" s="27">
        <v>0</v>
      </c>
      <c r="P34" s="20" t="str">
        <f t="shared" si="28"/>
        <v>-</v>
      </c>
      <c r="Q34" s="28">
        <v>0</v>
      </c>
      <c r="R34" s="28">
        <v>0</v>
      </c>
      <c r="S34" s="20" t="str">
        <f t="shared" si="29"/>
        <v>-</v>
      </c>
      <c r="T34" s="28">
        <v>0</v>
      </c>
      <c r="U34" s="28">
        <v>0</v>
      </c>
      <c r="V34" s="20" t="str">
        <f t="shared" si="30"/>
        <v>-</v>
      </c>
      <c r="W34" s="28">
        <v>0</v>
      </c>
      <c r="X34" s="28">
        <v>0</v>
      </c>
      <c r="Y34" s="20" t="str">
        <f t="shared" si="31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746687.05</v>
      </c>
      <c r="C35" s="27">
        <v>744636.6</v>
      </c>
      <c r="D35" s="20">
        <f t="shared" si="24"/>
        <v>99.725393657222256</v>
      </c>
      <c r="E35" s="27">
        <v>711620.97</v>
      </c>
      <c r="F35" s="27">
        <v>708583.95</v>
      </c>
      <c r="G35" s="20">
        <f t="shared" si="25"/>
        <v>99.573225055467375</v>
      </c>
      <c r="H35" s="27">
        <v>877521.34</v>
      </c>
      <c r="I35" s="27">
        <v>481070.79</v>
      </c>
      <c r="J35" s="20">
        <f t="shared" si="26"/>
        <v>54.821548841193987</v>
      </c>
      <c r="K35" s="27">
        <v>442637.6</v>
      </c>
      <c r="L35" s="27">
        <v>268013.8</v>
      </c>
      <c r="M35" s="20">
        <f t="shared" si="27"/>
        <v>60.549261969611258</v>
      </c>
      <c r="N35" s="27">
        <v>263609.28999999998</v>
      </c>
      <c r="O35" s="27">
        <v>257268.13</v>
      </c>
      <c r="P35" s="20">
        <f t="shared" si="28"/>
        <v>97.594485384031799</v>
      </c>
      <c r="Q35" s="1">
        <v>1911029.62</v>
      </c>
      <c r="R35" s="1">
        <v>1901020.17</v>
      </c>
      <c r="S35" s="20">
        <f t="shared" si="29"/>
        <v>99.476227375272174</v>
      </c>
      <c r="T35" s="111">
        <v>303000</v>
      </c>
      <c r="U35" s="111">
        <v>204219.3</v>
      </c>
      <c r="V35" s="20">
        <f t="shared" si="30"/>
        <v>67.399108910891087</v>
      </c>
      <c r="W35" s="1">
        <v>888129.52</v>
      </c>
      <c r="X35" s="1">
        <v>885097.52</v>
      </c>
      <c r="Y35" s="20">
        <f t="shared" si="31"/>
        <v>99.658608352529484</v>
      </c>
      <c r="Z35" s="13">
        <f t="shared" si="8"/>
        <v>193.11205280528054</v>
      </c>
      <c r="AA35" s="13">
        <f t="shared" si="8"/>
        <v>333.40542250414143</v>
      </c>
    </row>
    <row r="36" spans="1:27" x14ac:dyDescent="0.3">
      <c r="A36" s="5" t="s">
        <v>52</v>
      </c>
      <c r="B36" s="27">
        <v>4050000</v>
      </c>
      <c r="C36" s="27">
        <v>4050000</v>
      </c>
      <c r="D36" s="20">
        <f t="shared" si="24"/>
        <v>100</v>
      </c>
      <c r="E36" s="27">
        <v>35767433</v>
      </c>
      <c r="F36" s="27">
        <v>30211733</v>
      </c>
      <c r="G36" s="20">
        <f t="shared" si="25"/>
        <v>84.467154799730807</v>
      </c>
      <c r="H36" s="27">
        <v>0</v>
      </c>
      <c r="I36" s="27">
        <v>0</v>
      </c>
      <c r="J36" s="20" t="str">
        <f t="shared" si="26"/>
        <v>-</v>
      </c>
      <c r="K36" s="27">
        <v>0</v>
      </c>
      <c r="L36" s="27">
        <v>0</v>
      </c>
      <c r="M36" s="20" t="str">
        <f t="shared" si="27"/>
        <v>-</v>
      </c>
      <c r="N36" s="27">
        <v>0</v>
      </c>
      <c r="O36" s="27">
        <v>0</v>
      </c>
      <c r="P36" s="20" t="str">
        <f t="shared" si="28"/>
        <v>-</v>
      </c>
      <c r="Q36" s="1">
        <v>3050200</v>
      </c>
      <c r="R36" s="1">
        <v>3000200</v>
      </c>
      <c r="S36" s="20">
        <f t="shared" si="29"/>
        <v>98.360763228640749</v>
      </c>
      <c r="T36" s="28">
        <v>0</v>
      </c>
      <c r="U36" s="28">
        <v>0</v>
      </c>
      <c r="V36" s="20" t="str">
        <f t="shared" si="30"/>
        <v>-</v>
      </c>
      <c r="W36" s="28">
        <v>0</v>
      </c>
      <c r="X36" s="28">
        <v>0</v>
      </c>
      <c r="Y36" s="20" t="str">
        <f t="shared" si="31"/>
        <v>-</v>
      </c>
      <c r="Z36" s="13" t="str">
        <f t="shared" si="8"/>
        <v>-</v>
      </c>
      <c r="AA36" s="13" t="str">
        <f t="shared" si="8"/>
        <v>-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24"/>
        <v>-</v>
      </c>
      <c r="E37" s="27">
        <v>8614.09</v>
      </c>
      <c r="F37" s="27">
        <v>8614.09</v>
      </c>
      <c r="G37" s="20">
        <f t="shared" si="25"/>
        <v>100</v>
      </c>
      <c r="H37" s="27">
        <v>0</v>
      </c>
      <c r="I37" s="27">
        <v>0</v>
      </c>
      <c r="J37" s="20" t="str">
        <f t="shared" si="26"/>
        <v>-</v>
      </c>
      <c r="K37" s="27">
        <v>0</v>
      </c>
      <c r="L37" s="27">
        <v>0</v>
      </c>
      <c r="M37" s="20" t="str">
        <f t="shared" si="27"/>
        <v>-</v>
      </c>
      <c r="N37" s="27">
        <v>0</v>
      </c>
      <c r="O37" s="27">
        <v>0</v>
      </c>
      <c r="P37" s="20" t="str">
        <f t="shared" si="28"/>
        <v>-</v>
      </c>
      <c r="Q37" s="28">
        <v>0</v>
      </c>
      <c r="R37" s="28">
        <v>0</v>
      </c>
      <c r="S37" s="20" t="str">
        <f t="shared" si="29"/>
        <v>-</v>
      </c>
      <c r="T37" s="28">
        <v>0</v>
      </c>
      <c r="U37" s="28">
        <v>0</v>
      </c>
      <c r="V37" s="20" t="str">
        <f t="shared" si="30"/>
        <v>-</v>
      </c>
      <c r="W37" s="28">
        <v>0</v>
      </c>
      <c r="X37" s="28">
        <v>0</v>
      </c>
      <c r="Y37" s="20" t="str">
        <f t="shared" si="31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24"/>
        <v>-</v>
      </c>
      <c r="E38" s="27">
        <v>0</v>
      </c>
      <c r="F38" s="27">
        <v>0</v>
      </c>
      <c r="G38" s="20" t="str">
        <f t="shared" si="25"/>
        <v>-</v>
      </c>
      <c r="H38" s="27">
        <v>0</v>
      </c>
      <c r="I38" s="27">
        <v>0</v>
      </c>
      <c r="J38" s="20" t="str">
        <f t="shared" si="26"/>
        <v>-</v>
      </c>
      <c r="K38" s="27">
        <v>0</v>
      </c>
      <c r="L38" s="27">
        <v>0</v>
      </c>
      <c r="M38" s="20" t="str">
        <f t="shared" si="27"/>
        <v>-</v>
      </c>
      <c r="N38" s="27">
        <v>0</v>
      </c>
      <c r="O38" s="27">
        <v>0</v>
      </c>
      <c r="P38" s="20" t="str">
        <f t="shared" si="28"/>
        <v>-</v>
      </c>
      <c r="Q38" s="28">
        <v>0</v>
      </c>
      <c r="R38" s="28">
        <v>0</v>
      </c>
      <c r="S38" s="20" t="str">
        <f t="shared" si="29"/>
        <v>-</v>
      </c>
      <c r="T38" s="28">
        <v>0</v>
      </c>
      <c r="U38" s="28">
        <v>0</v>
      </c>
      <c r="V38" s="20" t="str">
        <f t="shared" si="30"/>
        <v>-</v>
      </c>
      <c r="W38" s="28">
        <v>0</v>
      </c>
      <c r="X38" s="28">
        <v>0</v>
      </c>
      <c r="Y38" s="20" t="str">
        <f t="shared" si="3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5852257.0700000003</v>
      </c>
      <c r="C39" s="27">
        <v>5723206.4699999997</v>
      </c>
      <c r="D39" s="20">
        <f t="shared" si="24"/>
        <v>97.794857634304151</v>
      </c>
      <c r="E39" s="27">
        <v>6175873.6699999999</v>
      </c>
      <c r="F39" s="27">
        <v>6175873.6699999999</v>
      </c>
      <c r="G39" s="20">
        <f t="shared" si="25"/>
        <v>100</v>
      </c>
      <c r="H39" s="27">
        <v>8270202.9299999997</v>
      </c>
      <c r="I39" s="27">
        <v>8052542.3099999996</v>
      </c>
      <c r="J39" s="20">
        <f t="shared" si="26"/>
        <v>97.368134472124737</v>
      </c>
      <c r="K39" s="27">
        <v>13621812.880000001</v>
      </c>
      <c r="L39" s="27">
        <v>13581700.550000001</v>
      </c>
      <c r="M39" s="20">
        <f t="shared" si="27"/>
        <v>99.705528696118748</v>
      </c>
      <c r="N39" s="27">
        <v>5796974.5099999998</v>
      </c>
      <c r="O39" s="27">
        <v>5796974.5099999998</v>
      </c>
      <c r="P39" s="20">
        <f t="shared" si="28"/>
        <v>100</v>
      </c>
      <c r="Q39" s="1">
        <v>33294127.23</v>
      </c>
      <c r="R39" s="1">
        <v>33294127.07</v>
      </c>
      <c r="S39" s="20">
        <f t="shared" si="29"/>
        <v>99.999999519434766</v>
      </c>
      <c r="T39" s="111">
        <v>7459143.7300000004</v>
      </c>
      <c r="U39" s="111">
        <v>7459143.7300000004</v>
      </c>
      <c r="V39" s="20">
        <f t="shared" si="30"/>
        <v>100</v>
      </c>
      <c r="W39" s="1">
        <v>39999746.020000003</v>
      </c>
      <c r="X39" s="1">
        <v>39999746</v>
      </c>
      <c r="Y39" s="20">
        <f t="shared" si="31"/>
        <v>99.999999949999676</v>
      </c>
      <c r="Z39" s="13">
        <f t="shared" si="8"/>
        <v>436.25117664812717</v>
      </c>
      <c r="AA39" s="13">
        <f t="shared" si="8"/>
        <v>436.25117637999983</v>
      </c>
    </row>
    <row r="40" spans="1:27" x14ac:dyDescent="0.3">
      <c r="A40" s="5" t="s">
        <v>55</v>
      </c>
      <c r="B40" s="27">
        <v>5735006.0999999996</v>
      </c>
      <c r="C40" s="27">
        <v>0</v>
      </c>
      <c r="D40" s="20">
        <f t="shared" si="24"/>
        <v>0</v>
      </c>
      <c r="E40" s="27">
        <v>5970621.04</v>
      </c>
      <c r="F40" s="27">
        <v>0</v>
      </c>
      <c r="G40" s="20">
        <f t="shared" si="25"/>
        <v>0</v>
      </c>
      <c r="H40" s="27">
        <v>6220972.8799999999</v>
      </c>
      <c r="I40" s="27">
        <v>6220972.8799999999</v>
      </c>
      <c r="J40" s="20">
        <f t="shared" si="26"/>
        <v>100</v>
      </c>
      <c r="K40" s="27">
        <v>6482215.04</v>
      </c>
      <c r="L40" s="27">
        <v>6482215.04</v>
      </c>
      <c r="M40" s="20">
        <f t="shared" si="27"/>
        <v>100</v>
      </c>
      <c r="N40" s="27">
        <v>6761671.6200000001</v>
      </c>
      <c r="O40" s="27">
        <v>6761671.6200000001</v>
      </c>
      <c r="P40" s="20">
        <f t="shared" si="28"/>
        <v>100</v>
      </c>
      <c r="Q40" s="27">
        <v>7055140.1600000001</v>
      </c>
      <c r="R40" s="27">
        <v>7055140.1600000001</v>
      </c>
      <c r="S40" s="20">
        <f t="shared" si="29"/>
        <v>100</v>
      </c>
      <c r="T40" s="27">
        <v>7366276.1200000001</v>
      </c>
      <c r="U40" s="27">
        <v>7366276.1200000001</v>
      </c>
      <c r="V40" s="20">
        <f t="shared" si="30"/>
        <v>100</v>
      </c>
      <c r="W40" s="1">
        <v>7693398.6799999997</v>
      </c>
      <c r="X40" s="1">
        <v>7693398.6799999997</v>
      </c>
      <c r="Y40" s="20">
        <f t="shared" si="31"/>
        <v>100</v>
      </c>
      <c r="Z40" s="13">
        <f t="shared" si="8"/>
        <v>4.4408131689747137</v>
      </c>
      <c r="AA40" s="13">
        <f t="shared" si="8"/>
        <v>4.4408131689747137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24"/>
        <v>-</v>
      </c>
      <c r="E41" s="27">
        <v>0</v>
      </c>
      <c r="F41" s="27">
        <v>0</v>
      </c>
      <c r="G41" s="20" t="str">
        <f t="shared" si="25"/>
        <v>-</v>
      </c>
      <c r="H41" s="27">
        <v>0</v>
      </c>
      <c r="I41" s="27">
        <v>0</v>
      </c>
      <c r="J41" s="20" t="str">
        <f t="shared" si="26"/>
        <v>-</v>
      </c>
      <c r="K41" s="27">
        <v>0</v>
      </c>
      <c r="L41" s="27">
        <v>0</v>
      </c>
      <c r="M41" s="20" t="str">
        <f t="shared" si="27"/>
        <v>-</v>
      </c>
      <c r="N41" s="27">
        <v>0</v>
      </c>
      <c r="O41" s="27">
        <v>0</v>
      </c>
      <c r="P41" s="20" t="str">
        <f t="shared" si="28"/>
        <v>-</v>
      </c>
      <c r="Q41" s="27">
        <v>0</v>
      </c>
      <c r="R41" s="27">
        <v>0</v>
      </c>
      <c r="S41" s="20" t="str">
        <f t="shared" si="29"/>
        <v>-</v>
      </c>
      <c r="T41" s="27">
        <v>0</v>
      </c>
      <c r="U41" s="27">
        <v>0</v>
      </c>
      <c r="V41" s="20" t="str">
        <f t="shared" si="30"/>
        <v>-</v>
      </c>
      <c r="W41" s="27">
        <v>0</v>
      </c>
      <c r="X41" s="27">
        <v>0</v>
      </c>
      <c r="Y41" s="20" t="str">
        <f t="shared" si="3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4181681.96</v>
      </c>
      <c r="C42" s="27">
        <v>0</v>
      </c>
      <c r="D42" s="20">
        <f t="shared" si="24"/>
        <v>0</v>
      </c>
      <c r="E42" s="27">
        <v>8035041.1399999997</v>
      </c>
      <c r="F42" s="27">
        <v>0</v>
      </c>
      <c r="G42" s="20">
        <f t="shared" si="25"/>
        <v>0</v>
      </c>
      <c r="H42" s="27">
        <v>4280481.87</v>
      </c>
      <c r="I42" s="27">
        <v>4280481.87</v>
      </c>
      <c r="J42" s="20">
        <f t="shared" si="26"/>
        <v>100</v>
      </c>
      <c r="K42" s="27">
        <v>5728737.25</v>
      </c>
      <c r="L42" s="27">
        <v>5728737.25</v>
      </c>
      <c r="M42" s="20">
        <f t="shared" si="27"/>
        <v>100</v>
      </c>
      <c r="N42" s="27">
        <v>777788.18</v>
      </c>
      <c r="O42" s="27">
        <v>777788.18</v>
      </c>
      <c r="P42" s="20">
        <f t="shared" si="28"/>
        <v>100</v>
      </c>
      <c r="Q42" s="27">
        <v>3231447.43</v>
      </c>
      <c r="R42" s="27">
        <v>3231447.43</v>
      </c>
      <c r="S42" s="20">
        <f t="shared" si="29"/>
        <v>100</v>
      </c>
      <c r="T42" s="27">
        <v>3511880.51</v>
      </c>
      <c r="U42" s="27">
        <v>3511880.51</v>
      </c>
      <c r="V42" s="20">
        <f t="shared" si="30"/>
        <v>100</v>
      </c>
      <c r="W42" s="1">
        <v>3304873.98</v>
      </c>
      <c r="X42" s="1">
        <v>3304873.98</v>
      </c>
      <c r="Y42" s="20">
        <f t="shared" si="31"/>
        <v>100</v>
      </c>
      <c r="Z42" s="13">
        <f t="shared" si="8"/>
        <v>-5.8944639320886267</v>
      </c>
      <c r="AA42" s="13">
        <f t="shared" si="8"/>
        <v>-5.8944639320886267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24"/>
        <v>-</v>
      </c>
      <c r="E43" s="27">
        <v>0</v>
      </c>
      <c r="F43" s="27">
        <v>0</v>
      </c>
      <c r="G43" s="20" t="str">
        <f t="shared" si="25"/>
        <v>-</v>
      </c>
      <c r="H43" s="27">
        <v>0</v>
      </c>
      <c r="I43" s="27">
        <v>0</v>
      </c>
      <c r="J43" s="20" t="str">
        <f t="shared" si="26"/>
        <v>-</v>
      </c>
      <c r="K43" s="27">
        <v>0</v>
      </c>
      <c r="L43" s="27">
        <v>0</v>
      </c>
      <c r="M43" s="20" t="str">
        <f t="shared" si="27"/>
        <v>-</v>
      </c>
      <c r="N43" s="27">
        <v>0</v>
      </c>
      <c r="O43" s="27">
        <v>0</v>
      </c>
      <c r="P43" s="20" t="str">
        <f t="shared" si="28"/>
        <v>-</v>
      </c>
      <c r="Q43" s="27">
        <v>0</v>
      </c>
      <c r="R43" s="27">
        <v>0</v>
      </c>
      <c r="S43" s="20" t="str">
        <f t="shared" si="29"/>
        <v>-</v>
      </c>
      <c r="T43" s="27">
        <v>0</v>
      </c>
      <c r="U43" s="27">
        <v>0</v>
      </c>
      <c r="V43" s="20" t="str">
        <f t="shared" si="30"/>
        <v>-</v>
      </c>
      <c r="W43" s="27">
        <v>0</v>
      </c>
      <c r="X43" s="27">
        <v>0</v>
      </c>
      <c r="Y43" s="20" t="str">
        <f t="shared" si="3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24"/>
        <v>-</v>
      </c>
      <c r="E44" s="27">
        <v>0</v>
      </c>
      <c r="F44" s="27">
        <v>0</v>
      </c>
      <c r="G44" s="20" t="str">
        <f t="shared" si="25"/>
        <v>-</v>
      </c>
      <c r="H44" s="27">
        <v>0</v>
      </c>
      <c r="I44" s="27">
        <v>0</v>
      </c>
      <c r="J44" s="20" t="str">
        <f t="shared" si="26"/>
        <v>-</v>
      </c>
      <c r="K44" s="27">
        <v>0</v>
      </c>
      <c r="L44" s="27">
        <v>0</v>
      </c>
      <c r="M44" s="20" t="str">
        <f t="shared" si="27"/>
        <v>-</v>
      </c>
      <c r="N44" s="27">
        <v>0</v>
      </c>
      <c r="O44" s="27">
        <v>0</v>
      </c>
      <c r="P44" s="20" t="str">
        <f t="shared" si="28"/>
        <v>-</v>
      </c>
      <c r="Q44" s="27">
        <v>0</v>
      </c>
      <c r="R44" s="27">
        <v>0</v>
      </c>
      <c r="S44" s="20" t="str">
        <f t="shared" si="29"/>
        <v>-</v>
      </c>
      <c r="T44" s="27">
        <v>0</v>
      </c>
      <c r="U44" s="27">
        <v>0</v>
      </c>
      <c r="V44" s="20" t="str">
        <f t="shared" si="30"/>
        <v>-</v>
      </c>
      <c r="W44" s="27">
        <v>0</v>
      </c>
      <c r="X44" s="27">
        <v>0</v>
      </c>
      <c r="Y44" s="20" t="str">
        <f t="shared" si="3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390319619.10000002</v>
      </c>
      <c r="C45" s="27">
        <v>0</v>
      </c>
      <c r="D45" s="20">
        <f t="shared" si="24"/>
        <v>0</v>
      </c>
      <c r="E45" s="27">
        <v>153428146.12</v>
      </c>
      <c r="F45" s="27">
        <v>153428146.12</v>
      </c>
      <c r="G45" s="20">
        <f t="shared" si="25"/>
        <v>100</v>
      </c>
      <c r="H45" s="27">
        <v>0</v>
      </c>
      <c r="I45" s="27">
        <v>0</v>
      </c>
      <c r="J45" s="20" t="str">
        <f t="shared" si="26"/>
        <v>-</v>
      </c>
      <c r="K45" s="27">
        <v>0</v>
      </c>
      <c r="L45" s="27">
        <v>0</v>
      </c>
      <c r="M45" s="20" t="str">
        <f t="shared" si="27"/>
        <v>-</v>
      </c>
      <c r="N45" s="27">
        <v>0</v>
      </c>
      <c r="O45" s="27">
        <v>0</v>
      </c>
      <c r="P45" s="20" t="str">
        <f t="shared" si="28"/>
        <v>-</v>
      </c>
      <c r="Q45" s="27">
        <v>0</v>
      </c>
      <c r="R45" s="27">
        <v>0</v>
      </c>
      <c r="S45" s="20" t="str">
        <f t="shared" si="29"/>
        <v>-</v>
      </c>
      <c r="T45" s="27">
        <v>0</v>
      </c>
      <c r="U45" s="27">
        <v>0</v>
      </c>
      <c r="V45" s="20" t="str">
        <f t="shared" si="30"/>
        <v>-</v>
      </c>
      <c r="W45" s="27">
        <v>0</v>
      </c>
      <c r="X45" s="27">
        <v>0</v>
      </c>
      <c r="Y45" s="20" t="str">
        <f t="shared" si="31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139779640.59</v>
      </c>
      <c r="C46" s="27">
        <v>0</v>
      </c>
      <c r="D46" s="20">
        <f t="shared" si="24"/>
        <v>0</v>
      </c>
      <c r="E46" s="27">
        <v>330733885.29000002</v>
      </c>
      <c r="F46" s="27">
        <v>0</v>
      </c>
      <c r="G46" s="20">
        <f t="shared" si="25"/>
        <v>0</v>
      </c>
      <c r="H46" s="27">
        <v>503272577.87</v>
      </c>
      <c r="I46" s="27">
        <v>0</v>
      </c>
      <c r="J46" s="20">
        <f t="shared" si="26"/>
        <v>0</v>
      </c>
      <c r="K46" s="27">
        <v>83550826.680000007</v>
      </c>
      <c r="L46" s="27">
        <v>0</v>
      </c>
      <c r="M46" s="20">
        <f t="shared" si="27"/>
        <v>0</v>
      </c>
      <c r="N46" s="27">
        <v>109889533.56</v>
      </c>
      <c r="O46" s="27">
        <v>0</v>
      </c>
      <c r="P46" s="20">
        <f t="shared" si="28"/>
        <v>0</v>
      </c>
      <c r="Q46" s="27">
        <v>107697269.69</v>
      </c>
      <c r="R46" s="27">
        <v>0</v>
      </c>
      <c r="S46" s="20">
        <f t="shared" si="29"/>
        <v>0</v>
      </c>
      <c r="T46" s="27">
        <v>229083572.06999999</v>
      </c>
      <c r="U46" s="27">
        <v>0</v>
      </c>
      <c r="V46" s="20">
        <f t="shared" si="30"/>
        <v>0</v>
      </c>
      <c r="W46" s="1">
        <v>97079296.670000002</v>
      </c>
      <c r="X46" s="27">
        <v>0</v>
      </c>
      <c r="Y46" s="20">
        <f t="shared" si="31"/>
        <v>0</v>
      </c>
      <c r="Z46" s="13">
        <f t="shared" si="8"/>
        <v>-57.622759330670846</v>
      </c>
      <c r="AA46" s="13" t="str">
        <f t="shared" si="8"/>
        <v>-</v>
      </c>
    </row>
    <row r="47" spans="1:27" x14ac:dyDescent="0.3">
      <c r="A47" s="5" t="s">
        <v>62</v>
      </c>
      <c r="B47" s="27">
        <v>20276554.690000001</v>
      </c>
      <c r="C47" s="27">
        <v>0</v>
      </c>
      <c r="D47" s="20">
        <f t="shared" si="24"/>
        <v>0</v>
      </c>
      <c r="E47" s="27">
        <v>21375682.23</v>
      </c>
      <c r="F47" s="27">
        <v>0</v>
      </c>
      <c r="G47" s="20">
        <f t="shared" si="25"/>
        <v>0</v>
      </c>
      <c r="H47" s="27">
        <v>23986322.25</v>
      </c>
      <c r="I47" s="27">
        <v>0</v>
      </c>
      <c r="J47" s="20">
        <f t="shared" si="26"/>
        <v>0</v>
      </c>
      <c r="K47" s="27">
        <v>28023355.129999999</v>
      </c>
      <c r="L47" s="27">
        <v>0</v>
      </c>
      <c r="M47" s="20">
        <f t="shared" si="27"/>
        <v>0</v>
      </c>
      <c r="N47" s="27">
        <v>55320938.549999997</v>
      </c>
      <c r="O47" s="27">
        <v>0</v>
      </c>
      <c r="P47" s="20">
        <f t="shared" si="28"/>
        <v>0</v>
      </c>
      <c r="Q47" s="27">
        <v>37387444.710000001</v>
      </c>
      <c r="R47" s="27">
        <v>0</v>
      </c>
      <c r="S47" s="20">
        <f t="shared" si="29"/>
        <v>0</v>
      </c>
      <c r="T47" s="27">
        <v>29233311.609999999</v>
      </c>
      <c r="U47" s="27">
        <v>0</v>
      </c>
      <c r="V47" s="20">
        <f t="shared" si="30"/>
        <v>0</v>
      </c>
      <c r="W47" s="1">
        <v>28663077.199999999</v>
      </c>
      <c r="X47" s="27">
        <v>0</v>
      </c>
      <c r="Y47" s="20">
        <f t="shared" si="31"/>
        <v>0</v>
      </c>
      <c r="Z47" s="13">
        <f t="shared" si="8"/>
        <v>-1.9506322704983461</v>
      </c>
      <c r="AA47" s="13" t="str">
        <f t="shared" si="8"/>
        <v>-</v>
      </c>
    </row>
    <row r="48" spans="1:27" x14ac:dyDescent="0.3">
      <c r="A48" s="5" t="s">
        <v>63</v>
      </c>
      <c r="B48" s="27">
        <f>SUM(B23:B30)</f>
        <v>555375612.17999995</v>
      </c>
      <c r="C48" s="27">
        <f>SUM(C23:C30)</f>
        <v>451974534.16000003</v>
      </c>
      <c r="D48" s="20">
        <f t="shared" si="24"/>
        <v>81.381775549321901</v>
      </c>
      <c r="E48" s="27">
        <f>SUM(E23:E30)</f>
        <v>560430600.10000002</v>
      </c>
      <c r="F48" s="27">
        <f>SUM(F23:F30)</f>
        <v>420920537.27999997</v>
      </c>
      <c r="G48" s="20">
        <f t="shared" si="25"/>
        <v>75.106630010012537</v>
      </c>
      <c r="H48" s="27">
        <f>SUM(H23:H30)</f>
        <v>575704264.00999999</v>
      </c>
      <c r="I48" s="27">
        <f>SUM(I23:I30)</f>
        <v>465645350.05000001</v>
      </c>
      <c r="J48" s="20">
        <f t="shared" si="26"/>
        <v>80.882734271690538</v>
      </c>
      <c r="K48" s="27">
        <f>SUM(K23:K30)</f>
        <v>578067407.89999998</v>
      </c>
      <c r="L48" s="27">
        <f>SUM(L23:L30)</f>
        <v>498601067.44000006</v>
      </c>
      <c r="M48" s="20">
        <f t="shared" si="27"/>
        <v>86.253101390253988</v>
      </c>
      <c r="N48" s="27">
        <f>SUM(N23:N30)</f>
        <v>553286961.15000021</v>
      </c>
      <c r="O48" s="27">
        <f>SUM(O23:O30)</f>
        <v>453521648.01000005</v>
      </c>
      <c r="P48" s="20">
        <f t="shared" si="28"/>
        <v>81.96861300822286</v>
      </c>
      <c r="Q48" s="27">
        <f>SUM(Q23:Q30)</f>
        <v>589928789.62</v>
      </c>
      <c r="R48" s="27">
        <f>SUM(R23:R30)</f>
        <v>501060861.82999998</v>
      </c>
      <c r="S48" s="20">
        <f t="shared" si="29"/>
        <v>84.935821178138482</v>
      </c>
      <c r="T48" s="27">
        <f t="shared" ref="T48:U48" si="32">SUM(T23:T30)</f>
        <v>684544020.88</v>
      </c>
      <c r="U48" s="27">
        <f t="shared" si="32"/>
        <v>555499616.51999998</v>
      </c>
      <c r="V48" s="20">
        <f t="shared" si="30"/>
        <v>81.148852312797956</v>
      </c>
      <c r="W48" s="27">
        <f t="shared" ref="W48:X48" si="33">SUM(W23:W30)</f>
        <v>671829292.50999999</v>
      </c>
      <c r="X48" s="27">
        <f t="shared" si="33"/>
        <v>573799413.86000001</v>
      </c>
      <c r="Y48" s="20">
        <f t="shared" si="31"/>
        <v>85.408513778291265</v>
      </c>
      <c r="Z48" s="13">
        <f t="shared" si="8"/>
        <v>-1.857401128660058</v>
      </c>
      <c r="AA48" s="13">
        <f t="shared" si="8"/>
        <v>3.294295224655869</v>
      </c>
    </row>
    <row r="49" spans="1:27" x14ac:dyDescent="0.3">
      <c r="A49" s="5" t="s">
        <v>64</v>
      </c>
      <c r="B49" s="27">
        <f>SUM(B31:B35)</f>
        <v>109349989.08</v>
      </c>
      <c r="C49" s="27">
        <f>SUM(C31:C35)</f>
        <v>84643905.059999987</v>
      </c>
      <c r="D49" s="20">
        <f t="shared" si="24"/>
        <v>77.406413820558186</v>
      </c>
      <c r="E49" s="27">
        <f>SUM(E31:E35)</f>
        <v>58707177.890000001</v>
      </c>
      <c r="F49" s="27">
        <f>SUM(F31:F35)</f>
        <v>44807347.240000002</v>
      </c>
      <c r="G49" s="20">
        <f t="shared" si="25"/>
        <v>76.323456262802821</v>
      </c>
      <c r="H49" s="27">
        <f>SUM(H31:H35)</f>
        <v>75935181.030000001</v>
      </c>
      <c r="I49" s="27">
        <f>SUM(I31:I35)</f>
        <v>41712764.800000004</v>
      </c>
      <c r="J49" s="20">
        <f t="shared" si="26"/>
        <v>54.932067368773886</v>
      </c>
      <c r="K49" s="27">
        <f>SUM(K31:K35)</f>
        <v>94553118.719999999</v>
      </c>
      <c r="L49" s="27">
        <f>SUM(L31:L35)</f>
        <v>54134147.50999999</v>
      </c>
      <c r="M49" s="20">
        <f t="shared" si="27"/>
        <v>57.252630312816386</v>
      </c>
      <c r="N49" s="27">
        <f>SUM(N31:N35)</f>
        <v>142245878.84999999</v>
      </c>
      <c r="O49" s="27">
        <f>SUM(O31:O35)</f>
        <v>113892489.84999999</v>
      </c>
      <c r="P49" s="20">
        <f t="shared" si="28"/>
        <v>80.067338871800288</v>
      </c>
      <c r="Q49" s="27">
        <f>SUM(Q31:Q35)</f>
        <v>134562175.29999998</v>
      </c>
      <c r="R49" s="27">
        <f>SUM(R31:R35)</f>
        <v>79153237.280000001</v>
      </c>
      <c r="S49" s="20">
        <f t="shared" si="29"/>
        <v>58.822798534232682</v>
      </c>
      <c r="T49" s="27">
        <f t="shared" ref="T49:U49" si="34">SUM(T31:T35)</f>
        <v>167169319</v>
      </c>
      <c r="U49" s="27">
        <f t="shared" si="34"/>
        <v>107989313.36999999</v>
      </c>
      <c r="V49" s="20">
        <f t="shared" si="30"/>
        <v>64.598763706155907</v>
      </c>
      <c r="W49" s="27">
        <f t="shared" ref="W49:X49" si="35">SUM(W31:W35)</f>
        <v>225616431.31</v>
      </c>
      <c r="X49" s="27">
        <f t="shared" si="35"/>
        <v>164243446.84</v>
      </c>
      <c r="Y49" s="20">
        <f t="shared" si="31"/>
        <v>72.797644163747677</v>
      </c>
      <c r="Z49" s="13">
        <f t="shared" si="8"/>
        <v>34.96282252008217</v>
      </c>
      <c r="AA49" s="13">
        <f t="shared" si="8"/>
        <v>52.092315169426485</v>
      </c>
    </row>
    <row r="50" spans="1:27" x14ac:dyDescent="0.3">
      <c r="A50" s="5" t="s">
        <v>65</v>
      </c>
      <c r="B50" s="27">
        <f>SUM(B36:B39)</f>
        <v>9902257.0700000003</v>
      </c>
      <c r="C50" s="27">
        <f>SUM(C36:C39)</f>
        <v>9773206.4699999988</v>
      </c>
      <c r="D50" s="20">
        <f t="shared" si="24"/>
        <v>98.696755708443746</v>
      </c>
      <c r="E50" s="27">
        <f>SUM(E36:E39)</f>
        <v>41951920.760000005</v>
      </c>
      <c r="F50" s="27">
        <f>SUM(F36:F39)</f>
        <v>36396220.759999998</v>
      </c>
      <c r="G50" s="20">
        <f t="shared" si="25"/>
        <v>86.756982995407412</v>
      </c>
      <c r="H50" s="27">
        <f>SUM(H36:H39)</f>
        <v>8270202.9299999997</v>
      </c>
      <c r="I50" s="27">
        <f>SUM(I36:I39)</f>
        <v>8052542.3099999996</v>
      </c>
      <c r="J50" s="20">
        <f t="shared" si="26"/>
        <v>97.368134472124737</v>
      </c>
      <c r="K50" s="27">
        <f>SUM(K36:K39)</f>
        <v>13621812.880000001</v>
      </c>
      <c r="L50" s="27">
        <f>SUM(L36:L39)</f>
        <v>13581700.550000001</v>
      </c>
      <c r="M50" s="20">
        <f t="shared" si="27"/>
        <v>99.705528696118748</v>
      </c>
      <c r="N50" s="27">
        <f>SUM(N36:N39)</f>
        <v>5796974.5099999998</v>
      </c>
      <c r="O50" s="27">
        <f>SUM(O36:O39)</f>
        <v>5796974.5099999998</v>
      </c>
      <c r="P50" s="20">
        <f t="shared" si="28"/>
        <v>100</v>
      </c>
      <c r="Q50" s="27">
        <f>SUM(Q36:Q39)</f>
        <v>36344327.230000004</v>
      </c>
      <c r="R50" s="27">
        <f>SUM(R36:R39)</f>
        <v>36294327.07</v>
      </c>
      <c r="S50" s="20">
        <f t="shared" si="29"/>
        <v>99.862426508314257</v>
      </c>
      <c r="T50" s="27">
        <f t="shared" ref="T50:U50" si="36">SUM(T36:T39)</f>
        <v>7459143.7300000004</v>
      </c>
      <c r="U50" s="27">
        <f t="shared" si="36"/>
        <v>7459143.7300000004</v>
      </c>
      <c r="V50" s="20">
        <f t="shared" si="30"/>
        <v>100</v>
      </c>
      <c r="W50" s="27">
        <f t="shared" ref="W50:X50" si="37">SUM(W36:W39)</f>
        <v>39999746.020000003</v>
      </c>
      <c r="X50" s="27">
        <f t="shared" si="37"/>
        <v>39999746</v>
      </c>
      <c r="Y50" s="20">
        <f t="shared" si="31"/>
        <v>99.999999949999676</v>
      </c>
      <c r="Z50" s="13">
        <f t="shared" si="8"/>
        <v>436.25117664812717</v>
      </c>
      <c r="AA50" s="13">
        <f t="shared" si="8"/>
        <v>436.25117637999983</v>
      </c>
    </row>
    <row r="51" spans="1:27" x14ac:dyDescent="0.3">
      <c r="A51" s="5" t="s">
        <v>66</v>
      </c>
      <c r="B51" s="27">
        <f>SUM(B40:B44)</f>
        <v>9916688.0599999987</v>
      </c>
      <c r="C51" s="29">
        <v>8840578.9000000004</v>
      </c>
      <c r="D51" s="20">
        <f t="shared" si="24"/>
        <v>89.148502468877709</v>
      </c>
      <c r="E51" s="27">
        <f>SUM(E40:E44)</f>
        <v>14005662.18</v>
      </c>
      <c r="F51" s="29">
        <v>13307714.710000001</v>
      </c>
      <c r="G51" s="20">
        <f t="shared" si="25"/>
        <v>95.016676391090854</v>
      </c>
      <c r="H51" s="27">
        <f>SUM(H40:H44)</f>
        <v>10501454.75</v>
      </c>
      <c r="I51" s="27">
        <f>SUM(I40:I44)</f>
        <v>10501454.75</v>
      </c>
      <c r="J51" s="20">
        <f t="shared" si="26"/>
        <v>100</v>
      </c>
      <c r="K51" s="27">
        <f>SUM(K40:K44)</f>
        <v>12210952.289999999</v>
      </c>
      <c r="L51" s="27">
        <f>SUM(L40:L44)</f>
        <v>12210952.289999999</v>
      </c>
      <c r="M51" s="20">
        <f t="shared" si="27"/>
        <v>100</v>
      </c>
      <c r="N51" s="27">
        <f>SUM(N40:N44)</f>
        <v>7539459.7999999998</v>
      </c>
      <c r="O51" s="27">
        <f>SUM(O40:O44)</f>
        <v>7539459.7999999998</v>
      </c>
      <c r="P51" s="20">
        <f t="shared" si="28"/>
        <v>100</v>
      </c>
      <c r="Q51" s="27">
        <f>SUM(Q40:Q44)</f>
        <v>10286587.59</v>
      </c>
      <c r="R51" s="27">
        <f>SUM(R40:R44)</f>
        <v>10286587.59</v>
      </c>
      <c r="S51" s="20">
        <f t="shared" si="29"/>
        <v>100</v>
      </c>
      <c r="T51" s="27">
        <f t="shared" ref="T51:U51" si="38">SUM(T40:T44)</f>
        <v>10878156.629999999</v>
      </c>
      <c r="U51" s="27">
        <f t="shared" si="38"/>
        <v>10878156.629999999</v>
      </c>
      <c r="V51" s="20">
        <f t="shared" si="30"/>
        <v>100</v>
      </c>
      <c r="W51" s="27">
        <f t="shared" ref="W51:X51" si="39">SUM(W40:W44)</f>
        <v>10998272.66</v>
      </c>
      <c r="X51" s="27">
        <f t="shared" si="39"/>
        <v>10998272.66</v>
      </c>
      <c r="Y51" s="20">
        <f t="shared" si="31"/>
        <v>100</v>
      </c>
      <c r="Z51" s="13">
        <f t="shared" si="8"/>
        <v>1.1041947095038438</v>
      </c>
      <c r="AA51" s="13">
        <f t="shared" si="8"/>
        <v>1.1041947095038438</v>
      </c>
    </row>
    <row r="52" spans="1:27" x14ac:dyDescent="0.3">
      <c r="A52" s="5" t="s">
        <v>67</v>
      </c>
      <c r="B52" s="27">
        <f>B45</f>
        <v>390319619.10000002</v>
      </c>
      <c r="C52" s="29">
        <v>381240179.56</v>
      </c>
      <c r="D52" s="20">
        <f t="shared" si="24"/>
        <v>97.673844947652029</v>
      </c>
      <c r="E52" s="27">
        <f>E45</f>
        <v>153428146.12</v>
      </c>
      <c r="F52" s="27">
        <f>F45</f>
        <v>153428146.12</v>
      </c>
      <c r="G52" s="20">
        <f t="shared" si="25"/>
        <v>100</v>
      </c>
      <c r="H52" s="27">
        <f>H45</f>
        <v>0</v>
      </c>
      <c r="I52" s="27">
        <f>I45</f>
        <v>0</v>
      </c>
      <c r="J52" s="20" t="str">
        <f t="shared" si="26"/>
        <v>-</v>
      </c>
      <c r="K52" s="27">
        <f>K45</f>
        <v>0</v>
      </c>
      <c r="L52" s="27">
        <f>L45</f>
        <v>0</v>
      </c>
      <c r="M52" s="20" t="str">
        <f t="shared" si="27"/>
        <v>-</v>
      </c>
      <c r="N52" s="27">
        <f>N45</f>
        <v>0</v>
      </c>
      <c r="O52" s="27">
        <f>O45</f>
        <v>0</v>
      </c>
      <c r="P52" s="20" t="str">
        <f t="shared" si="28"/>
        <v>-</v>
      </c>
      <c r="Q52" s="27">
        <f>Q45</f>
        <v>0</v>
      </c>
      <c r="R52" s="27">
        <f>R45</f>
        <v>0</v>
      </c>
      <c r="S52" s="20" t="str">
        <f t="shared" si="29"/>
        <v>-</v>
      </c>
      <c r="T52" s="27">
        <f t="shared" ref="T52:U52" si="40">T45</f>
        <v>0</v>
      </c>
      <c r="U52" s="27">
        <f t="shared" si="40"/>
        <v>0</v>
      </c>
      <c r="V52" s="20" t="str">
        <f t="shared" si="30"/>
        <v>-</v>
      </c>
      <c r="W52" s="27">
        <f t="shared" ref="W52:X52" si="41">W45</f>
        <v>0</v>
      </c>
      <c r="X52" s="27">
        <f t="shared" si="41"/>
        <v>0</v>
      </c>
      <c r="Y52" s="20" t="str">
        <f t="shared" si="31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f>SUM(B46:B47)</f>
        <v>160056195.28</v>
      </c>
      <c r="C53" s="29">
        <v>98556512.790000007</v>
      </c>
      <c r="D53" s="20">
        <f t="shared" si="24"/>
        <v>61.576193672220349</v>
      </c>
      <c r="E53" s="27">
        <f>SUM(E46:E47)</f>
        <v>352109567.52000004</v>
      </c>
      <c r="F53" s="29">
        <v>331207493.62</v>
      </c>
      <c r="G53" s="20">
        <f t="shared" si="25"/>
        <v>94.06375860581727</v>
      </c>
      <c r="H53" s="27">
        <f>SUM(H46:H47)</f>
        <v>527258900.12</v>
      </c>
      <c r="I53" s="29">
        <v>515580844.37</v>
      </c>
      <c r="J53" s="20">
        <f t="shared" si="26"/>
        <v>97.785138240939659</v>
      </c>
      <c r="K53" s="27">
        <f>SUM(K46:K47)</f>
        <v>111574181.81</v>
      </c>
      <c r="L53" s="29">
        <v>97222199.319999993</v>
      </c>
      <c r="M53" s="20">
        <f t="shared" si="27"/>
        <v>87.13682479478986</v>
      </c>
      <c r="N53" s="27">
        <f>SUM(N46:N47)</f>
        <v>165210472.11000001</v>
      </c>
      <c r="O53" s="29">
        <v>149511617.63999999</v>
      </c>
      <c r="P53" s="20">
        <f t="shared" si="28"/>
        <v>90.497663816645087</v>
      </c>
      <c r="Q53" s="27">
        <f>SUM(Q46:Q47)</f>
        <v>145084714.40000001</v>
      </c>
      <c r="R53" s="29">
        <v>128127457.38</v>
      </c>
      <c r="S53" s="20">
        <f t="shared" si="29"/>
        <v>88.312168452667805</v>
      </c>
      <c r="T53" s="27">
        <f>SUM(T46:T47)</f>
        <v>258316883.68000001</v>
      </c>
      <c r="U53" s="29">
        <v>244067446.05000001</v>
      </c>
      <c r="V53" s="20">
        <f t="shared" si="30"/>
        <v>94.483737405390798</v>
      </c>
      <c r="W53" s="27">
        <f>SUM(W46:W47)</f>
        <v>125742373.87</v>
      </c>
      <c r="X53" s="29">
        <v>116519201.8</v>
      </c>
      <c r="Y53" s="20">
        <f t="shared" si="31"/>
        <v>92.665024696022144</v>
      </c>
      <c r="Z53" s="13">
        <f t="shared" si="8"/>
        <v>-51.322433098965291</v>
      </c>
      <c r="AA53" s="13">
        <f t="shared" si="8"/>
        <v>-52.259425136062717</v>
      </c>
    </row>
    <row r="54" spans="1:27" x14ac:dyDescent="0.3">
      <c r="A54" s="5" t="s">
        <v>69</v>
      </c>
      <c r="B54" s="19">
        <f>SUM(B48:B53)</f>
        <v>1234920360.77</v>
      </c>
      <c r="C54" s="19">
        <f>SUM(C48:C53)</f>
        <v>1035028916.9400001</v>
      </c>
      <c r="D54" s="20">
        <f t="shared" si="24"/>
        <v>83.813414194145835</v>
      </c>
      <c r="E54" s="24">
        <f>SUM(E48:E53)</f>
        <v>1180633074.5699999</v>
      </c>
      <c r="F54" s="19">
        <f>SUM(F48:F53)</f>
        <v>1000067459.7299999</v>
      </c>
      <c r="G54" s="20">
        <f t="shared" si="25"/>
        <v>84.706034522557815</v>
      </c>
      <c r="H54" s="24">
        <f>SUM(H48:H53)</f>
        <v>1197670002.8399999</v>
      </c>
      <c r="I54" s="19">
        <f>SUM(I48:I53)</f>
        <v>1041492956.28</v>
      </c>
      <c r="J54" s="20">
        <f t="shared" si="26"/>
        <v>86.959926675155771</v>
      </c>
      <c r="K54" s="24">
        <f>SUM(K48:K53)</f>
        <v>810027473.5999999</v>
      </c>
      <c r="L54" s="19">
        <f>SUM(L48:L53)</f>
        <v>675750067.1099999</v>
      </c>
      <c r="M54" s="20">
        <f t="shared" si="27"/>
        <v>83.423104664187278</v>
      </c>
      <c r="N54" s="24">
        <f>SUM(N48:N53)</f>
        <v>874079746.4200002</v>
      </c>
      <c r="O54" s="19">
        <f>SUM(O48:O53)</f>
        <v>730262189.80999994</v>
      </c>
      <c r="P54" s="20">
        <f t="shared" si="28"/>
        <v>83.546403265944662</v>
      </c>
      <c r="Q54" s="24">
        <f>SUM(Q48:Q53)</f>
        <v>916206594.13999999</v>
      </c>
      <c r="R54" s="19">
        <f>SUM(R48:R53)</f>
        <v>754922471.1500001</v>
      </c>
      <c r="S54" s="20">
        <f t="shared" si="29"/>
        <v>82.396533268635807</v>
      </c>
      <c r="T54" s="24">
        <f>SUM(T48:T53)</f>
        <v>1128367523.9200001</v>
      </c>
      <c r="U54" s="19">
        <f>SUM(U48:U53)</f>
        <v>925893676.29999995</v>
      </c>
      <c r="V54" s="20">
        <f t="shared" si="30"/>
        <v>82.056037299212875</v>
      </c>
      <c r="W54" s="28">
        <f t="shared" ref="W54:X54" si="42">SUM(W48:W53)</f>
        <v>1074186116.3699999</v>
      </c>
      <c r="X54" s="28">
        <f t="shared" si="42"/>
        <v>905560081.15999997</v>
      </c>
      <c r="Y54" s="20">
        <f t="shared" si="31"/>
        <v>84.301972196416173</v>
      </c>
      <c r="Z54" s="13">
        <f t="shared" si="8"/>
        <v>-4.8017517698286412</v>
      </c>
      <c r="AA54" s="13">
        <f t="shared" si="8"/>
        <v>-2.1961047645617242</v>
      </c>
    </row>
    <row r="55" spans="1:27" x14ac:dyDescent="0.3">
      <c r="A55" s="14" t="s">
        <v>70</v>
      </c>
      <c r="B55" s="15">
        <f>B54-B53</f>
        <v>1074864165.49</v>
      </c>
      <c r="C55" s="15">
        <f>C54-C53</f>
        <v>936472404.1500001</v>
      </c>
      <c r="D55" s="21">
        <f t="shared" si="24"/>
        <v>87.12472089188023</v>
      </c>
      <c r="E55" s="25">
        <f>E54-E53</f>
        <v>828523507.04999995</v>
      </c>
      <c r="F55" s="15">
        <f>F54-F53</f>
        <v>668859966.1099999</v>
      </c>
      <c r="G55" s="21">
        <f t="shared" si="25"/>
        <v>80.729147745187063</v>
      </c>
      <c r="H55" s="25">
        <f>H54-H53</f>
        <v>670411102.71999991</v>
      </c>
      <c r="I55" s="15">
        <f>I54-I53</f>
        <v>525912111.90999997</v>
      </c>
      <c r="J55" s="21">
        <f t="shared" si="26"/>
        <v>78.446211552324101</v>
      </c>
      <c r="K55" s="25">
        <f>K54-K53</f>
        <v>698453291.78999996</v>
      </c>
      <c r="L55" s="15">
        <f>L54-L53</f>
        <v>578527867.78999996</v>
      </c>
      <c r="M55" s="21">
        <f t="shared" si="27"/>
        <v>82.829857714228183</v>
      </c>
      <c r="N55" s="25">
        <f>N54-N53</f>
        <v>708869274.31000018</v>
      </c>
      <c r="O55" s="15">
        <f>O54-O53</f>
        <v>580750572.16999996</v>
      </c>
      <c r="P55" s="21">
        <f t="shared" si="28"/>
        <v>81.926328762844392</v>
      </c>
      <c r="Q55" s="25">
        <f>Q54-Q53</f>
        <v>771121879.74000001</v>
      </c>
      <c r="R55" s="15">
        <f>R54-R53</f>
        <v>626795013.7700001</v>
      </c>
      <c r="S55" s="21">
        <f t="shared" si="29"/>
        <v>81.283520833481887</v>
      </c>
      <c r="T55" s="25">
        <f>T54-T53</f>
        <v>870050640.24000001</v>
      </c>
      <c r="U55" s="15">
        <f>U54-U53</f>
        <v>681826230.25</v>
      </c>
      <c r="V55" s="21">
        <f t="shared" si="30"/>
        <v>78.366269584253274</v>
      </c>
      <c r="W55" s="28">
        <f t="shared" ref="W55:X55" si="43">W54-W53</f>
        <v>948443742.49999988</v>
      </c>
      <c r="X55" s="28">
        <f t="shared" si="43"/>
        <v>789040879.36000001</v>
      </c>
      <c r="Y55" s="21">
        <f t="shared" si="31"/>
        <v>83.193218954681441</v>
      </c>
      <c r="Z55" s="16">
        <f t="shared" si="8"/>
        <v>9.0101769522720474</v>
      </c>
      <c r="AA55" s="16">
        <f t="shared" si="8"/>
        <v>15.724629583506712</v>
      </c>
    </row>
    <row r="56" spans="1:27" x14ac:dyDescent="0.3">
      <c r="A56" s="5" t="s">
        <v>71</v>
      </c>
      <c r="B56" s="28">
        <f>B14-B48</f>
        <v>62298376.870000005</v>
      </c>
      <c r="C56" s="28">
        <f>C14-C48</f>
        <v>-22214235.600000024</v>
      </c>
      <c r="D56" s="22"/>
      <c r="E56" s="28">
        <f>E14-E48</f>
        <v>85390682.849999905</v>
      </c>
      <c r="F56" s="28">
        <f>F14-F48</f>
        <v>18787223.910000026</v>
      </c>
      <c r="G56" s="22"/>
      <c r="H56" s="28">
        <f>H14-H48</f>
        <v>83870076.970000029</v>
      </c>
      <c r="I56" s="28">
        <f>I14-I48</f>
        <v>26751605.959999979</v>
      </c>
      <c r="J56" s="22"/>
      <c r="K56" s="28">
        <f>K14-K48</f>
        <v>156742141.22000003</v>
      </c>
      <c r="L56" s="28">
        <f>L14-L48</f>
        <v>57681814.679999948</v>
      </c>
      <c r="M56" s="22"/>
      <c r="N56" s="28">
        <f>N14-N48</f>
        <v>121653098.23999965</v>
      </c>
      <c r="O56" s="28">
        <f>O14-O48</f>
        <v>47972797.719999969</v>
      </c>
      <c r="P56" s="22"/>
      <c r="Q56" s="28">
        <f>Q14-Q48</f>
        <v>131198244.89999998</v>
      </c>
      <c r="R56" s="28">
        <f>R14-R48</f>
        <v>32071018.659999967</v>
      </c>
      <c r="S56" s="22"/>
      <c r="T56" s="28">
        <f>T14-T48</f>
        <v>85651026.049999952</v>
      </c>
      <c r="U56" s="28">
        <f>U14-U48</f>
        <v>-16260594.149999976</v>
      </c>
      <c r="V56" s="22"/>
      <c r="W56" s="28">
        <f>W14-W48</f>
        <v>147087463.48000002</v>
      </c>
      <c r="X56" s="28">
        <f>X14-X48</f>
        <v>-18425036.330000043</v>
      </c>
      <c r="Y56" s="22"/>
      <c r="Z56" s="13">
        <f t="shared" ref="Z56:AA59" si="44">IF(T56&gt;0,W56/T56*100-100,"-")</f>
        <v>71.728781619190073</v>
      </c>
      <c r="AA56" s="13" t="str">
        <f t="shared" si="44"/>
        <v>-</v>
      </c>
    </row>
    <row r="57" spans="1:27" x14ac:dyDescent="0.3">
      <c r="A57" s="5" t="s">
        <v>72</v>
      </c>
      <c r="B57" s="28">
        <f>B15-B49</f>
        <v>-27739244.640000001</v>
      </c>
      <c r="C57" s="28">
        <f>C15-C49</f>
        <v>-15458498.049999997</v>
      </c>
      <c r="D57" s="22"/>
      <c r="E57" s="28">
        <f>E15-E49</f>
        <v>20139912.600000009</v>
      </c>
      <c r="F57" s="28">
        <f>F15-F49</f>
        <v>22118624.890000001</v>
      </c>
      <c r="G57" s="22"/>
      <c r="H57" s="28">
        <f>H15-H49</f>
        <v>8863250.8799999952</v>
      </c>
      <c r="I57" s="28">
        <f>I15-I49</f>
        <v>13079245.82</v>
      </c>
      <c r="J57" s="22"/>
      <c r="K57" s="28">
        <f>K15-K49</f>
        <v>-29744547.189999998</v>
      </c>
      <c r="L57" s="28">
        <f>L15-L49</f>
        <v>-12759533.719999991</v>
      </c>
      <c r="M57" s="22"/>
      <c r="N57" s="28">
        <f>N15-N49</f>
        <v>-56701729.980000004</v>
      </c>
      <c r="O57" s="28">
        <f>O15-O49</f>
        <v>-85148962.949999988</v>
      </c>
      <c r="P57" s="22"/>
      <c r="Q57" s="28">
        <f>Q15-Q49</f>
        <v>-27102738.089999974</v>
      </c>
      <c r="R57" s="28">
        <f>R15-R49</f>
        <v>-53441364.5</v>
      </c>
      <c r="S57" s="22"/>
      <c r="T57" s="28">
        <f>T15-T49</f>
        <v>-23524196.789999992</v>
      </c>
      <c r="U57" s="28">
        <f>U15-U49</f>
        <v>-25795374.739999995</v>
      </c>
      <c r="V57" s="22"/>
      <c r="W57" s="28">
        <f>W15-W49</f>
        <v>-96886285.120000005</v>
      </c>
      <c r="X57" s="28">
        <f>X15-X49</f>
        <v>-127121153.73</v>
      </c>
      <c r="Y57" s="22"/>
      <c r="Z57" s="13" t="str">
        <f t="shared" si="44"/>
        <v>-</v>
      </c>
      <c r="AA57" s="13" t="str">
        <f t="shared" si="44"/>
        <v>-</v>
      </c>
    </row>
    <row r="58" spans="1:27" x14ac:dyDescent="0.3">
      <c r="A58" s="5" t="s">
        <v>358</v>
      </c>
      <c r="B58" s="28">
        <f>SUM(B14:B16)-SUM(B48:B50)</f>
        <v>29920422.629999995</v>
      </c>
      <c r="C58" s="28">
        <f>SUM(C14:C16)-SUM(C48:C50)</f>
        <v>-43680918.060000062</v>
      </c>
      <c r="D58" s="22"/>
      <c r="E58" s="28">
        <f>SUM(E14:E16)-SUM(E48:E50)</f>
        <v>65600350.709999919</v>
      </c>
      <c r="F58" s="28">
        <f>SUM(F14:F16)-SUM(F48:F50)</f>
        <v>4949706.0500000119</v>
      </c>
      <c r="G58" s="22"/>
      <c r="H58" s="28">
        <f>SUM(H14:H16)-SUM(H48:H50)</f>
        <v>88599397.530000091</v>
      </c>
      <c r="I58" s="28">
        <f>SUM(I14:I16)-SUM(I48:I50)</f>
        <v>33278666.639999926</v>
      </c>
      <c r="J58" s="22"/>
      <c r="K58" s="28">
        <f>SUM(K14:K16)-SUM(K48:K50)</f>
        <v>122310570.03999996</v>
      </c>
      <c r="L58" s="28">
        <f>SUM(L14:L16)-SUM(L48:L50)</f>
        <v>33359237.24000001</v>
      </c>
      <c r="M58" s="22"/>
      <c r="N58" s="28">
        <f>SUM(N14:N16)-SUM(N48:N50)</f>
        <v>59943492.359999657</v>
      </c>
      <c r="O58" s="28">
        <f>SUM(O14:O16)-SUM(O48:O50)</f>
        <v>-42201741.129999995</v>
      </c>
      <c r="P58" s="22"/>
      <c r="Q58" s="28">
        <f>SUM(Q14:Q16)-SUM(Q48:Q50)</f>
        <v>95711021.080000043</v>
      </c>
      <c r="R58" s="28">
        <f>SUM(R14:R16)-SUM(R48:R50)</f>
        <v>-57664672.750000119</v>
      </c>
      <c r="S58" s="22"/>
      <c r="T58" s="28">
        <f>SUM(T14:T16)-SUM(T48:T50)</f>
        <v>57993769.529999971</v>
      </c>
      <c r="U58" s="28">
        <f>SUM(U14:U16)-SUM(U48:U50)</f>
        <v>-46189028.620000005</v>
      </c>
      <c r="V58" s="22"/>
      <c r="W58" s="28">
        <f>SUM(W14:W16)-SUM(W48:W50)</f>
        <v>23107393.590000153</v>
      </c>
      <c r="X58" s="28">
        <f>SUM(X14:X16)-SUM(X48:X50)</f>
        <v>-175321464.81000006</v>
      </c>
      <c r="Y58" s="22"/>
      <c r="Z58" s="13">
        <f t="shared" si="44"/>
        <v>-60.155386040138708</v>
      </c>
      <c r="AA58" s="13" t="str">
        <f t="shared" si="44"/>
        <v>-</v>
      </c>
    </row>
    <row r="59" spans="1:27" x14ac:dyDescent="0.3">
      <c r="A59" s="5" t="s">
        <v>359</v>
      </c>
      <c r="B59" s="28">
        <f>B21-B55</f>
        <v>20003734.569999933</v>
      </c>
      <c r="C59" s="28">
        <f>C21-C55</f>
        <v>-43442057.420000076</v>
      </c>
      <c r="D59" s="104"/>
      <c r="E59" s="28">
        <f>E21-E55</f>
        <v>51594688.529999971</v>
      </c>
      <c r="F59" s="28">
        <f>F21-F55</f>
        <v>-8358008.6599998474</v>
      </c>
      <c r="G59" s="104"/>
      <c r="H59" s="28">
        <f>H21-H55</f>
        <v>78097942.779999971</v>
      </c>
      <c r="I59" s="28">
        <f>I21-I55</f>
        <v>22777211.889999986</v>
      </c>
      <c r="J59" s="104"/>
      <c r="K59" s="28">
        <f>K21-K55</f>
        <v>111126462.83000016</v>
      </c>
      <c r="L59" s="28">
        <f>L21-L55</f>
        <v>22175130.030000091</v>
      </c>
      <c r="M59" s="104"/>
      <c r="N59" s="28">
        <f>N21-N55</f>
        <v>68416581.959999681</v>
      </c>
      <c r="O59" s="28">
        <f>O21-O55</f>
        <v>-33783360.129999995</v>
      </c>
      <c r="P59" s="104"/>
      <c r="Q59" s="28">
        <f>Q21-Q55</f>
        <v>89026565.779999971</v>
      </c>
      <c r="R59" s="28">
        <f>R21-R55</f>
        <v>-64349128.050000191</v>
      </c>
      <c r="S59" s="104"/>
      <c r="T59" s="28">
        <f>T21-T55</f>
        <v>47557755.269999981</v>
      </c>
      <c r="U59" s="28">
        <f>U21-U55</f>
        <v>-56625042.879999995</v>
      </c>
      <c r="V59" s="104"/>
      <c r="W59" s="28">
        <f>W21-W55</f>
        <v>12641522.180000305</v>
      </c>
      <c r="X59" s="28">
        <f>X21-X55</f>
        <v>-185787336.22000003</v>
      </c>
      <c r="Y59" s="104"/>
      <c r="Z59" s="13">
        <f t="shared" si="44"/>
        <v>-73.418589443024587</v>
      </c>
      <c r="AA59" s="13" t="str">
        <f t="shared" si="44"/>
        <v>-</v>
      </c>
    </row>
    <row r="60" spans="1:27" x14ac:dyDescent="0.3">
      <c r="A60" s="5" t="s">
        <v>360</v>
      </c>
      <c r="C60" s="6">
        <f>SUM(C14:C16)/SUM(B14:B16)*100</f>
        <v>71.352204130711783</v>
      </c>
      <c r="D60" s="104"/>
      <c r="F60" s="6">
        <f>SUM(F14:F16)/SUM(E14:E16)*100</f>
        <v>69.778554379106225</v>
      </c>
      <c r="G60" s="104"/>
      <c r="I60" s="6">
        <f>SUM(I14:I16)/SUM(H14:H16)*100</f>
        <v>73.30430100994684</v>
      </c>
      <c r="J60" s="104"/>
      <c r="L60" s="6">
        <f>SUM(L14:L16)/SUM(K14:K16)*100</f>
        <v>74.166593882046186</v>
      </c>
      <c r="M60" s="104"/>
      <c r="O60" s="6">
        <f>SUM(O14:O16)/SUM(N14:N16)*100</f>
        <v>69.752790022713711</v>
      </c>
      <c r="P60" s="104"/>
      <c r="R60" s="6">
        <f>SUM(R14:R16)/SUM(Q14:Q16)*100</f>
        <v>65.243845522213945</v>
      </c>
      <c r="S60" s="104"/>
      <c r="U60" s="6">
        <f>SUM(U14:U16)/SUM(T14:T16)*100</f>
        <v>68.118407416439723</v>
      </c>
      <c r="V60" s="104"/>
      <c r="X60" s="6">
        <f>SUM(X14:X16)/SUM(W14:W16)*100</f>
        <v>62.747316138100615</v>
      </c>
      <c r="Y60" s="104"/>
    </row>
    <row r="61" spans="1:27" x14ac:dyDescent="0.3">
      <c r="A61" s="5" t="s">
        <v>361</v>
      </c>
      <c r="C61" s="6">
        <f>SUM(C48:C50)/SUM(B48:B50)*100</f>
        <v>80.991562821398915</v>
      </c>
      <c r="D61" s="104"/>
      <c r="F61" s="6">
        <f>SUM(F48:F50)/SUM(E48:E50)*100</f>
        <v>75.954005368624721</v>
      </c>
      <c r="G61" s="104"/>
      <c r="I61" s="6">
        <f>SUM(I48:I50)/SUM(H48:H50)*100</f>
        <v>78.103215909252938</v>
      </c>
      <c r="J61" s="104"/>
      <c r="L61" s="6">
        <f>SUM(L48:L50)/SUM(K48:K50)*100</f>
        <v>82.524333300772682</v>
      </c>
      <c r="M61" s="104"/>
      <c r="O61" s="6">
        <f>SUM(O48:O50)/SUM(N48:N50)*100</f>
        <v>81.732032563093981</v>
      </c>
      <c r="P61" s="104"/>
      <c r="R61" s="6">
        <f>SUM(R48:R50)/SUM(Q48:Q50)*100</f>
        <v>81.030471711931881</v>
      </c>
      <c r="S61" s="104"/>
      <c r="U61" s="6">
        <f>SUM(U48:U50)/SUM(T48:T50)*100</f>
        <v>78.092360546844546</v>
      </c>
      <c r="V61" s="104"/>
      <c r="X61" s="6">
        <f>SUM(X48:X50)/SUM(W48:W50)*100</f>
        <v>82.996038887765252</v>
      </c>
      <c r="Y61" s="104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pane xSplit="1" topLeftCell="D1" activePane="topRight" state="frozen"/>
      <selection pane="topRight" activeCell="K2" sqref="K2:K28"/>
    </sheetView>
  </sheetViews>
  <sheetFormatPr defaultRowHeight="14.4" x14ac:dyDescent="0.3"/>
  <cols>
    <col min="1" max="1" width="51.6640625" style="32" bestFit="1" customWidth="1"/>
    <col min="2" max="13" width="12.6640625" bestFit="1" customWidth="1"/>
  </cols>
  <sheetData>
    <row r="1" spans="1:11" x14ac:dyDescent="0.3">
      <c r="A1" s="73"/>
      <c r="B1" s="99">
        <v>2014</v>
      </c>
      <c r="C1" s="99">
        <v>2015</v>
      </c>
      <c r="D1" s="99">
        <v>2016</v>
      </c>
      <c r="E1" s="99">
        <v>2017</v>
      </c>
      <c r="F1" s="99">
        <v>2018</v>
      </c>
      <c r="G1" s="99">
        <v>2019</v>
      </c>
      <c r="H1" s="99">
        <v>2020</v>
      </c>
      <c r="I1" s="99">
        <v>2021</v>
      </c>
      <c r="J1" s="99">
        <v>2022</v>
      </c>
      <c r="K1" s="99">
        <v>2023</v>
      </c>
    </row>
    <row r="2" spans="1:11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</row>
    <row r="3" spans="1:11" x14ac:dyDescent="0.3">
      <c r="A3" s="32" t="s">
        <v>213</v>
      </c>
      <c r="B3" s="1">
        <v>5076681.34</v>
      </c>
      <c r="C3" s="1">
        <v>4988623.95</v>
      </c>
      <c r="D3" s="1">
        <v>6884396.8700000001</v>
      </c>
      <c r="E3" s="1">
        <v>6779579</v>
      </c>
      <c r="F3" s="1">
        <v>10643901</v>
      </c>
      <c r="G3" s="1">
        <v>19357466</v>
      </c>
      <c r="H3" s="1">
        <v>24222181</v>
      </c>
      <c r="I3" s="1">
        <v>7219332.4400000004</v>
      </c>
      <c r="J3" s="1">
        <v>8960534.9499999993</v>
      </c>
      <c r="K3" s="1">
        <v>50879267.170000002</v>
      </c>
    </row>
    <row r="4" spans="1:11" x14ac:dyDescent="0.3">
      <c r="A4" s="32" t="s">
        <v>214</v>
      </c>
      <c r="B4" s="1">
        <v>3013235821.4299998</v>
      </c>
      <c r="C4" s="1">
        <v>3043890671.1999998</v>
      </c>
      <c r="D4" s="1">
        <v>3109056757.54</v>
      </c>
      <c r="E4" s="1">
        <v>1332048692</v>
      </c>
      <c r="F4" s="1">
        <v>1363382062</v>
      </c>
      <c r="G4" s="1">
        <v>1407289433</v>
      </c>
      <c r="H4" s="1">
        <v>1474178425</v>
      </c>
      <c r="I4" s="1">
        <v>2216828461.4099998</v>
      </c>
      <c r="J4" s="1">
        <v>2284437667.1599998</v>
      </c>
      <c r="K4" s="1">
        <v>2382842837.8400002</v>
      </c>
    </row>
    <row r="5" spans="1:11" x14ac:dyDescent="0.3">
      <c r="A5" s="32" t="s">
        <v>228</v>
      </c>
      <c r="B5" s="1">
        <f>142126763.93+3033845.95+7885364.6</f>
        <v>153045974.47999999</v>
      </c>
      <c r="C5" s="1">
        <f>143800512.93+284246.05+16341821.45</f>
        <v>160426580.43000001</v>
      </c>
      <c r="D5" s="1">
        <f>187752494.56+13359.43+16024213.19</f>
        <v>203790067.18000001</v>
      </c>
      <c r="E5" s="1">
        <v>231981159</v>
      </c>
      <c r="F5" s="1">
        <v>247436622</v>
      </c>
      <c r="G5" s="1">
        <v>263862803</v>
      </c>
      <c r="H5" s="1">
        <v>268689526</v>
      </c>
      <c r="I5" s="1">
        <v>275539777.60000002</v>
      </c>
      <c r="J5" s="1">
        <v>279701328.48000002</v>
      </c>
      <c r="K5" s="1">
        <v>296309667.81999999</v>
      </c>
    </row>
    <row r="6" spans="1:11" x14ac:dyDescent="0.3">
      <c r="A6" s="32" t="s">
        <v>229</v>
      </c>
      <c r="B6" s="1">
        <f>576648.64+24064004.7</f>
        <v>24640653.34</v>
      </c>
      <c r="C6" s="1">
        <f>399171.4+27894031.26</f>
        <v>28293202.66</v>
      </c>
      <c r="D6" s="1">
        <f>319336.91+33311100.34</f>
        <v>33630437.25</v>
      </c>
      <c r="E6" s="1">
        <v>38352877</v>
      </c>
      <c r="F6" s="1">
        <v>43973417</v>
      </c>
      <c r="G6" s="1">
        <v>53919867</v>
      </c>
      <c r="H6" s="1">
        <v>50839111</v>
      </c>
      <c r="I6" s="1">
        <v>84133550.670000002</v>
      </c>
      <c r="J6" s="1">
        <v>72368834.739999995</v>
      </c>
      <c r="K6" s="1">
        <v>89023009.829999998</v>
      </c>
    </row>
    <row r="7" spans="1:11" x14ac:dyDescent="0.3">
      <c r="A7" s="32" t="s">
        <v>230</v>
      </c>
      <c r="B7" s="1">
        <v>5474766</v>
      </c>
      <c r="C7" s="1">
        <v>3060000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3236268.05</v>
      </c>
      <c r="K7" s="1">
        <v>0</v>
      </c>
    </row>
    <row r="8" spans="1:11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3">
      <c r="A9" s="32" t="s">
        <v>215</v>
      </c>
      <c r="B9" s="1">
        <v>337445523.47000003</v>
      </c>
      <c r="C9" s="1">
        <v>337734442.06</v>
      </c>
      <c r="D9" s="1">
        <v>328261672.72000003</v>
      </c>
      <c r="E9" s="1">
        <v>324019902</v>
      </c>
      <c r="F9" s="1">
        <v>291138775</v>
      </c>
      <c r="G9" s="1">
        <v>309413791</v>
      </c>
      <c r="H9" s="1">
        <v>324877848</v>
      </c>
      <c r="I9" s="1">
        <v>363575213.42000002</v>
      </c>
      <c r="J9" s="1">
        <v>384459636.54000002</v>
      </c>
      <c r="K9" s="1">
        <v>429213142.36000001</v>
      </c>
    </row>
    <row r="10" spans="1:11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32" t="s">
        <v>216</v>
      </c>
      <c r="B11" s="1">
        <v>50690525.049999997</v>
      </c>
      <c r="C11" s="1">
        <v>26834095.640000001</v>
      </c>
      <c r="D11" s="1">
        <v>1633228.67</v>
      </c>
      <c r="E11" s="1">
        <v>46708600</v>
      </c>
      <c r="F11" s="1">
        <v>126919892</v>
      </c>
      <c r="G11" s="1">
        <v>195286249</v>
      </c>
      <c r="H11" s="1">
        <v>245421940</v>
      </c>
      <c r="I11" s="1">
        <v>281071903.77999997</v>
      </c>
      <c r="J11" s="1">
        <v>370653855.57999998</v>
      </c>
      <c r="K11" s="1">
        <v>317129441.31</v>
      </c>
    </row>
    <row r="12" spans="1:11" x14ac:dyDescent="0.3">
      <c r="A12" s="32" t="s">
        <v>217</v>
      </c>
      <c r="B12" s="1">
        <v>585472.5</v>
      </c>
      <c r="C12" s="1">
        <v>637805.55000000005</v>
      </c>
      <c r="D12" s="1">
        <v>704105.26</v>
      </c>
      <c r="E12" s="1">
        <v>214101</v>
      </c>
      <c r="F12" s="1">
        <v>276992</v>
      </c>
      <c r="G12" s="1">
        <v>344728</v>
      </c>
      <c r="H12" s="1">
        <v>411684</v>
      </c>
      <c r="I12" s="1">
        <v>493150.73</v>
      </c>
      <c r="J12" s="1">
        <v>571521.06000000006</v>
      </c>
      <c r="K12" s="1">
        <v>656507.98</v>
      </c>
    </row>
    <row r="13" spans="1:11" x14ac:dyDescent="0.3">
      <c r="A13" s="10" t="s">
        <v>218</v>
      </c>
      <c r="B13" s="11">
        <f>SUM(B2:B12)</f>
        <v>3590195417.6100006</v>
      </c>
      <c r="C13" s="11">
        <f>SUM(C2:C12)</f>
        <v>3605865421.4899993</v>
      </c>
      <c r="D13" s="11">
        <f>SUM(D2:D12)</f>
        <v>3683960665.4899998</v>
      </c>
      <c r="E13" s="11">
        <f>SUM(E2:E12)</f>
        <v>1980104910</v>
      </c>
      <c r="F13" s="11">
        <f>SUM(F2:F12)</f>
        <v>2083771661</v>
      </c>
      <c r="G13" s="11">
        <f t="shared" ref="G13" si="0">SUM(G2:G12)</f>
        <v>2249474337</v>
      </c>
      <c r="H13" s="11">
        <f>SUM(H2:H12)</f>
        <v>2388640715</v>
      </c>
      <c r="I13" s="11">
        <f>SUM(I2:I12)</f>
        <v>3228861390.0499997</v>
      </c>
      <c r="J13" s="11">
        <f>SUM(J2:J12)</f>
        <v>3404389646.5599995</v>
      </c>
      <c r="K13" s="11">
        <f>SUM(K2:K12)</f>
        <v>3566053874.3100004</v>
      </c>
    </row>
    <row r="14" spans="1:11" x14ac:dyDescent="0.3">
      <c r="A14" s="32" t="s">
        <v>219</v>
      </c>
      <c r="B14" s="1">
        <v>752848064.78999996</v>
      </c>
      <c r="C14" s="1">
        <v>752848064.78999996</v>
      </c>
      <c r="D14" s="1">
        <v>752848064.78999996</v>
      </c>
      <c r="E14" s="1">
        <v>-3913262</v>
      </c>
      <c r="F14" s="1">
        <v>2000000</v>
      </c>
      <c r="G14" s="1">
        <v>2000000</v>
      </c>
      <c r="H14" s="1">
        <v>2000000</v>
      </c>
      <c r="I14" s="1">
        <v>2000000</v>
      </c>
      <c r="J14" s="1">
        <v>2000000</v>
      </c>
      <c r="K14" s="1">
        <v>2000000</v>
      </c>
    </row>
    <row r="15" spans="1:11" x14ac:dyDescent="0.3">
      <c r="A15" s="32" t="s">
        <v>220</v>
      </c>
      <c r="B15" s="1">
        <f>6092380.01+85230018.95</f>
        <v>91322398.960000008</v>
      </c>
      <c r="C15" s="1">
        <f>-21985128.49+2591386.4</f>
        <v>-19393742.09</v>
      </c>
      <c r="D15" s="1">
        <f>-44813805.59+43951981.63+16527948.78</f>
        <v>15666124.819999998</v>
      </c>
      <c r="E15" s="1">
        <v>767112849</v>
      </c>
      <c r="F15" s="1">
        <v>833190379</v>
      </c>
      <c r="G15" s="1">
        <v>922171994</v>
      </c>
      <c r="H15" s="1">
        <v>1064209085</v>
      </c>
      <c r="I15" s="1">
        <v>1459453107.8099999</v>
      </c>
      <c r="J15" s="1">
        <v>1486074821.0599999</v>
      </c>
      <c r="K15" s="1">
        <v>1534930287.24</v>
      </c>
    </row>
    <row r="16" spans="1:11" x14ac:dyDescent="0.3">
      <c r="A16" s="32" t="s">
        <v>235</v>
      </c>
      <c r="B16" s="1">
        <v>85230018.950000003</v>
      </c>
      <c r="C16" s="1">
        <v>2591386.4</v>
      </c>
      <c r="D16" s="1">
        <v>16527948.779999999</v>
      </c>
      <c r="E16" s="1">
        <v>28415369</v>
      </c>
      <c r="F16" s="1">
        <v>38507679</v>
      </c>
      <c r="G16" s="1">
        <v>57446920</v>
      </c>
      <c r="H16" s="1">
        <v>61097599</v>
      </c>
      <c r="I16" s="1">
        <v>5592685.4699999997</v>
      </c>
      <c r="J16" s="1">
        <v>12090388.27</v>
      </c>
      <c r="K16" s="1">
        <v>14923280.949999999</v>
      </c>
    </row>
    <row r="17" spans="1:13" x14ac:dyDescent="0.3">
      <c r="A17" s="32" t="s">
        <v>221</v>
      </c>
      <c r="B17" s="1">
        <v>-113307527.45</v>
      </c>
      <c r="C17" s="1">
        <v>-22828677.100000001</v>
      </c>
      <c r="D17" s="1">
        <v>9946965.8499999996</v>
      </c>
      <c r="E17" s="1">
        <v>50647303</v>
      </c>
      <c r="F17" s="1">
        <v>65195730</v>
      </c>
      <c r="G17" s="1">
        <v>140144828</v>
      </c>
      <c r="H17" s="1">
        <v>75063591</v>
      </c>
      <c r="I17" s="1">
        <v>92503274.159999996</v>
      </c>
      <c r="J17" s="1">
        <v>43600471.369999997</v>
      </c>
      <c r="K17" s="1">
        <v>82792066.530000001</v>
      </c>
    </row>
    <row r="18" spans="1:13" x14ac:dyDescent="0.3">
      <c r="A18" s="32" t="s">
        <v>362</v>
      </c>
      <c r="B18" s="1"/>
      <c r="C18" s="1"/>
      <c r="D18" s="1"/>
      <c r="E18" s="1"/>
      <c r="F18" s="1"/>
      <c r="G18" s="1"/>
      <c r="H18" s="1">
        <v>0</v>
      </c>
      <c r="I18" s="1">
        <v>63927051.530000001</v>
      </c>
      <c r="J18" s="1">
        <v>184554519.19</v>
      </c>
      <c r="K18" s="1">
        <v>195852984.16999999</v>
      </c>
    </row>
    <row r="19" spans="1:13" x14ac:dyDescent="0.3">
      <c r="A19" s="32" t="s">
        <v>363</v>
      </c>
      <c r="B19" s="1"/>
      <c r="C19" s="1"/>
      <c r="D19" s="1"/>
      <c r="E19" s="1"/>
      <c r="F19" s="1"/>
      <c r="G19" s="1"/>
      <c r="H19" s="1">
        <v>0</v>
      </c>
      <c r="I19" s="1">
        <v>0</v>
      </c>
      <c r="J19" s="1">
        <v>0</v>
      </c>
      <c r="K19" s="1">
        <v>0</v>
      </c>
    </row>
    <row r="20" spans="1:13" x14ac:dyDescent="0.3">
      <c r="A20" s="32" t="s">
        <v>222</v>
      </c>
      <c r="B20" s="1">
        <v>35080372.439999998</v>
      </c>
      <c r="C20" s="1">
        <v>38231828.340000004</v>
      </c>
      <c r="D20" s="1">
        <v>37020272.310000002</v>
      </c>
      <c r="E20" s="1">
        <v>96388971</v>
      </c>
      <c r="F20" s="1">
        <v>96788392</v>
      </c>
      <c r="G20" s="1">
        <v>80026798</v>
      </c>
      <c r="H20" s="1">
        <v>91144767</v>
      </c>
      <c r="I20" s="1">
        <v>109464956.5</v>
      </c>
      <c r="J20" s="1">
        <v>84996279.420000002</v>
      </c>
      <c r="K20" s="1">
        <v>91485119</v>
      </c>
    </row>
    <row r="21" spans="1:13" x14ac:dyDescent="0.3">
      <c r="A21" s="32" t="s">
        <v>209</v>
      </c>
      <c r="B21" s="1">
        <f>246797017.92+14553670.75+69889046.09</f>
        <v>331239734.75999999</v>
      </c>
      <c r="C21" s="1">
        <f>238955252.74+13550292+226824.35+66987895.87</f>
        <v>319720264.95999998</v>
      </c>
      <c r="D21" s="1">
        <f>233560972.7+12546953+9409460.34+64598674.4</f>
        <v>320116060.44</v>
      </c>
      <c r="E21" s="1">
        <v>296173344</v>
      </c>
      <c r="F21" s="1">
        <v>282991122</v>
      </c>
      <c r="G21" s="1">
        <v>271876148</v>
      </c>
      <c r="H21" s="1">
        <v>280286255</v>
      </c>
      <c r="I21" s="1">
        <v>273579645.56</v>
      </c>
      <c r="J21" s="1">
        <v>263143631.30000001</v>
      </c>
      <c r="K21" s="1">
        <v>252677759.88999999</v>
      </c>
    </row>
    <row r="22" spans="1:13" x14ac:dyDescent="0.3">
      <c r="A22" s="32" t="s">
        <v>223</v>
      </c>
      <c r="B22" s="1">
        <v>114060991.94</v>
      </c>
      <c r="C22" s="1">
        <v>155386715.13</v>
      </c>
      <c r="D22" s="1">
        <v>133993845.77</v>
      </c>
      <c r="E22" s="1">
        <v>135391966</v>
      </c>
      <c r="F22" s="1">
        <v>135492068</v>
      </c>
      <c r="G22" s="1">
        <v>116220449</v>
      </c>
      <c r="H22" s="1">
        <v>121590499</v>
      </c>
      <c r="I22" s="1">
        <v>110194821.87</v>
      </c>
      <c r="J22" s="1">
        <v>118269121.59</v>
      </c>
      <c r="K22" s="1">
        <v>132788866.79000001</v>
      </c>
    </row>
    <row r="23" spans="1:13" x14ac:dyDescent="0.3">
      <c r="A23" s="32" t="s">
        <v>224</v>
      </c>
      <c r="B23" s="1">
        <f>7843446.85+5205814.27+10341088.49</f>
        <v>23390349.609999999</v>
      </c>
      <c r="C23" s="1">
        <f>5001351.94+3263484.72+11216482.05</f>
        <v>19481318.710000001</v>
      </c>
      <c r="D23" s="1">
        <f>5353742.44+3820996.77+10640031.6</f>
        <v>19814770.810000002</v>
      </c>
      <c r="E23" s="1">
        <v>20407609</v>
      </c>
      <c r="F23" s="1">
        <v>19106551</v>
      </c>
      <c r="G23" s="1">
        <v>23506459</v>
      </c>
      <c r="H23" s="1">
        <v>32754661</v>
      </c>
      <c r="I23" s="1">
        <v>54944466.5</v>
      </c>
      <c r="J23" s="1">
        <v>80135944.879999995</v>
      </c>
      <c r="K23" s="1">
        <v>36684738.380000003</v>
      </c>
    </row>
    <row r="24" spans="1:13" x14ac:dyDescent="0.3">
      <c r="A24" s="32" t="s">
        <v>225</v>
      </c>
      <c r="B24" s="1">
        <f>8531402.9+5492299.45+29356437.48+11234781.42</f>
        <v>54614921.25</v>
      </c>
      <c r="C24" s="1">
        <f>8503647.91+4788847.4+29346273.15+12184436.95</f>
        <v>54823205.409999996</v>
      </c>
      <c r="D24" s="1">
        <f>7997079.76+4674599.83+28595485.98+12312684.25</f>
        <v>53579849.82</v>
      </c>
      <c r="E24" s="1">
        <f>63663041+12314518</f>
        <v>75977559</v>
      </c>
      <c r="F24" s="1">
        <f>57840232+14985059-1</f>
        <v>72825290</v>
      </c>
      <c r="G24" s="1">
        <f>54121884+9231565+1</f>
        <v>63353450</v>
      </c>
      <c r="H24" s="1">
        <f>39403029+9614895</f>
        <v>49017924</v>
      </c>
      <c r="I24" s="1">
        <f>9554688.96+45296682.59</f>
        <v>54851371.550000004</v>
      </c>
      <c r="J24" s="1">
        <f>9626015.88+49230164.93</f>
        <v>58856180.810000002</v>
      </c>
      <c r="K24" s="1">
        <f>39466590.32+9614572.07</f>
        <v>49081162.390000001</v>
      </c>
      <c r="L24" s="1"/>
      <c r="M24" s="1"/>
    </row>
    <row r="25" spans="1:13" x14ac:dyDescent="0.3">
      <c r="A25" s="32" t="s">
        <v>226</v>
      </c>
      <c r="B25" s="1">
        <v>2300946111.3099999</v>
      </c>
      <c r="C25" s="1">
        <v>2307596443.3400002</v>
      </c>
      <c r="D25" s="1">
        <v>2340974710.8800001</v>
      </c>
      <c r="E25" s="1">
        <v>541918571</v>
      </c>
      <c r="F25" s="1">
        <v>576182129</v>
      </c>
      <c r="G25" s="1">
        <v>630174211</v>
      </c>
      <c r="H25" s="1">
        <v>672573933</v>
      </c>
      <c r="I25" s="1">
        <v>1007942694.5700001</v>
      </c>
      <c r="J25" s="1">
        <v>1082758676.9400001</v>
      </c>
      <c r="K25" s="1">
        <v>1187760889.99</v>
      </c>
    </row>
    <row r="26" spans="1:13" x14ac:dyDescent="0.3">
      <c r="A26" s="72" t="s">
        <v>227</v>
      </c>
      <c r="B26" s="3">
        <f>SUM(B14:B25)-B16</f>
        <v>3590195417.6100001</v>
      </c>
      <c r="C26" s="3">
        <f>SUM(C14:C25)-C16</f>
        <v>3605865421.4900002</v>
      </c>
      <c r="D26" s="3">
        <f>SUM(D14:D25)-D16</f>
        <v>3683960665.4899998</v>
      </c>
      <c r="E26" s="3">
        <f>SUM(E14:E25)-E16</f>
        <v>1980104910</v>
      </c>
      <c r="F26" s="3">
        <f>SUM(F14:F25)-F16</f>
        <v>2083771661</v>
      </c>
      <c r="G26" s="3">
        <f t="shared" ref="G26" si="1">SUM(G14:G25)-G16</f>
        <v>2249474337</v>
      </c>
      <c r="H26" s="3">
        <f>SUM(H14:H25)-H16</f>
        <v>2388640715</v>
      </c>
      <c r="I26" s="3">
        <f>SUM(I14:I25)-I16</f>
        <v>3228861390.0500007</v>
      </c>
      <c r="J26" s="3">
        <f>SUM(J14:J25)-J16</f>
        <v>3404389646.5599999</v>
      </c>
      <c r="K26" s="3">
        <f>SUM(K14:K25)-K16</f>
        <v>3566053874.3800001</v>
      </c>
    </row>
    <row r="27" spans="1:13" x14ac:dyDescent="0.3">
      <c r="A27" s="10" t="s">
        <v>267</v>
      </c>
      <c r="B27" s="11">
        <f>B14+B15+B17+B18+B19</f>
        <v>730862936.29999995</v>
      </c>
      <c r="C27" s="11">
        <f>C14+C15+C17+C18+C19</f>
        <v>710625645.5999999</v>
      </c>
      <c r="D27" s="11">
        <f>D14+D15+D17+D18+D19</f>
        <v>778461155.46000004</v>
      </c>
      <c r="E27" s="11">
        <f>E14+E15+E17+E18+E19</f>
        <v>813846890</v>
      </c>
      <c r="F27" s="11">
        <f>F14+F15+F17+F18+F19</f>
        <v>900386109</v>
      </c>
      <c r="G27" s="11">
        <f t="shared" ref="G27:H27" si="2">G14+G15+G17+G18+G19</f>
        <v>1064316822</v>
      </c>
      <c r="H27" s="11">
        <f t="shared" si="2"/>
        <v>1141272676</v>
      </c>
      <c r="I27" s="11">
        <f>I14+I15+I17+I18+I19</f>
        <v>1617883433.5</v>
      </c>
      <c r="J27" s="11">
        <f>J14+J15+J17+J18+J19</f>
        <v>1716229811.6199999</v>
      </c>
      <c r="K27" s="11">
        <f>K14+K15+K17+K18+K19</f>
        <v>1815575337.9400001</v>
      </c>
    </row>
    <row r="28" spans="1:13" x14ac:dyDescent="0.3">
      <c r="B28" s="6">
        <f>B27/B26*100</f>
        <v>20.357190940501415</v>
      </c>
      <c r="C28" s="6">
        <f>C27/C26*100</f>
        <v>19.707492169975612</v>
      </c>
      <c r="D28" s="6">
        <f>D27/D26*100</f>
        <v>21.131093031267685</v>
      </c>
      <c r="E28" s="6">
        <f>E27/E26*100</f>
        <v>41.101200541945019</v>
      </c>
      <c r="F28" s="6">
        <f>F27/F26*100</f>
        <v>43.209442082915437</v>
      </c>
      <c r="G28" s="6">
        <f t="shared" ref="G28:K28" si="3">G27/G26*100</f>
        <v>47.314023747406722</v>
      </c>
      <c r="H28" s="6">
        <f t="shared" si="3"/>
        <v>47.779168664132897</v>
      </c>
      <c r="I28" s="6">
        <f>I27/I26*100</f>
        <v>50.10693362327784</v>
      </c>
      <c r="J28" s="6">
        <f t="shared" ref="J28" si="4">J27/J26*100</f>
        <v>50.412261515193535</v>
      </c>
      <c r="K28" s="6">
        <f t="shared" si="3"/>
        <v>50.912728800421135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A73" zoomScale="98" zoomScaleNormal="98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45" t="s">
        <v>210</v>
      </c>
      <c r="B1" s="145"/>
      <c r="C1" s="2" t="s">
        <v>211</v>
      </c>
      <c r="D1" s="2">
        <v>2016</v>
      </c>
      <c r="E1" s="2">
        <v>2017</v>
      </c>
      <c r="F1" s="2">
        <v>2018</v>
      </c>
      <c r="G1" s="107">
        <v>2019</v>
      </c>
      <c r="H1" s="114">
        <v>2020</v>
      </c>
      <c r="I1" s="132">
        <v>2021</v>
      </c>
      <c r="J1" s="138">
        <v>2022</v>
      </c>
      <c r="K1" s="103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39</v>
      </c>
      <c r="E3" s="7">
        <v>22.550151690085091</v>
      </c>
      <c r="F3" s="7">
        <v>22.47</v>
      </c>
      <c r="G3" s="7">
        <v>20.05</v>
      </c>
      <c r="H3" s="7">
        <v>20.04</v>
      </c>
      <c r="I3" s="7">
        <v>18.82</v>
      </c>
      <c r="J3" s="7">
        <v>17.978999999999999</v>
      </c>
      <c r="K3" s="7">
        <v>16.75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103.88</v>
      </c>
      <c r="E5" s="7">
        <v>104.62</v>
      </c>
      <c r="F5" s="7">
        <v>102.93</v>
      </c>
      <c r="G5" s="7">
        <v>114.83</v>
      </c>
      <c r="H5" s="7">
        <v>99.63</v>
      </c>
      <c r="I5" s="7">
        <v>116.37</v>
      </c>
      <c r="J5" s="7">
        <v>107.273</v>
      </c>
      <c r="K5" s="7">
        <v>102.67</v>
      </c>
    </row>
    <row r="6" spans="1:11" x14ac:dyDescent="0.3">
      <c r="A6" t="s">
        <v>83</v>
      </c>
      <c r="B6" t="s">
        <v>84</v>
      </c>
      <c r="D6" s="7">
        <v>100.09</v>
      </c>
      <c r="E6" s="7">
        <v>101.45</v>
      </c>
      <c r="F6" s="7">
        <v>101.32</v>
      </c>
      <c r="G6" s="7">
        <v>112.72</v>
      </c>
      <c r="H6" s="7">
        <v>110.6</v>
      </c>
      <c r="I6" s="7">
        <v>110.26</v>
      </c>
      <c r="J6" s="7">
        <v>99.236999999999995</v>
      </c>
      <c r="K6" s="7">
        <v>95.57</v>
      </c>
    </row>
    <row r="7" spans="1:11" x14ac:dyDescent="0.3">
      <c r="A7" t="s">
        <v>85</v>
      </c>
      <c r="B7" t="s">
        <v>86</v>
      </c>
      <c r="D7" s="7">
        <v>84.39</v>
      </c>
      <c r="E7" s="7">
        <v>85.12</v>
      </c>
      <c r="F7" s="7">
        <v>83.07</v>
      </c>
      <c r="G7" s="7">
        <v>89.8</v>
      </c>
      <c r="H7" s="7">
        <v>54.2</v>
      </c>
      <c r="I7" s="7">
        <v>65.540000000000006</v>
      </c>
      <c r="J7" s="7">
        <v>71.489000000000004</v>
      </c>
      <c r="K7" s="7">
        <v>72.17</v>
      </c>
    </row>
    <row r="8" spans="1:11" x14ac:dyDescent="0.3">
      <c r="A8" t="s">
        <v>87</v>
      </c>
      <c r="B8" t="s">
        <v>88</v>
      </c>
      <c r="D8" s="7">
        <v>81.31</v>
      </c>
      <c r="E8" s="7">
        <v>82.54</v>
      </c>
      <c r="F8" s="7">
        <v>81.78</v>
      </c>
      <c r="G8" s="7">
        <v>88.15</v>
      </c>
      <c r="H8" s="7">
        <v>60.17</v>
      </c>
      <c r="I8" s="7">
        <v>62.1</v>
      </c>
      <c r="J8" s="7">
        <v>66.132999999999996</v>
      </c>
      <c r="K8" s="7">
        <v>67.180000000000007</v>
      </c>
    </row>
    <row r="9" spans="1:11" x14ac:dyDescent="0.3">
      <c r="A9" t="s">
        <v>89</v>
      </c>
      <c r="B9" t="s">
        <v>90</v>
      </c>
      <c r="D9" s="7">
        <v>91.82</v>
      </c>
      <c r="E9" s="7">
        <v>96.28</v>
      </c>
      <c r="F9" s="7">
        <v>106.51</v>
      </c>
      <c r="G9" s="7">
        <v>104.83</v>
      </c>
      <c r="H9" s="7">
        <v>96.63</v>
      </c>
      <c r="I9" s="7">
        <v>100.89</v>
      </c>
      <c r="J9" s="7">
        <v>99.42</v>
      </c>
      <c r="K9" s="7">
        <v>97.12</v>
      </c>
    </row>
    <row r="10" spans="1:11" x14ac:dyDescent="0.3">
      <c r="A10" t="s">
        <v>91</v>
      </c>
      <c r="B10" t="s">
        <v>92</v>
      </c>
      <c r="D10" s="7">
        <v>85.21</v>
      </c>
      <c r="E10" s="7">
        <v>89.73</v>
      </c>
      <c r="F10" s="7">
        <v>97.85</v>
      </c>
      <c r="G10" s="7">
        <v>96.87</v>
      </c>
      <c r="H10" s="7">
        <v>101.39</v>
      </c>
      <c r="I10" s="7">
        <v>97.04</v>
      </c>
      <c r="J10" s="7">
        <v>91.748999999999995</v>
      </c>
      <c r="K10" s="7">
        <v>88.96</v>
      </c>
    </row>
    <row r="11" spans="1:11" x14ac:dyDescent="0.3">
      <c r="A11" t="s">
        <v>93</v>
      </c>
      <c r="B11" t="s">
        <v>94</v>
      </c>
      <c r="D11" s="7">
        <v>71.97</v>
      </c>
      <c r="E11" s="7">
        <v>77.540000000000006</v>
      </c>
      <c r="F11" s="7">
        <v>84.79</v>
      </c>
      <c r="G11" s="7">
        <v>81.45</v>
      </c>
      <c r="H11" s="7">
        <v>54.38</v>
      </c>
      <c r="I11" s="7">
        <v>51.39</v>
      </c>
      <c r="J11" s="7">
        <v>69.566999999999993</v>
      </c>
      <c r="K11" s="7">
        <v>70.03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66.790000000000006</v>
      </c>
      <c r="E12" s="7">
        <v>72.260000000000005</v>
      </c>
      <c r="F12" s="7">
        <v>77.900000000000006</v>
      </c>
      <c r="G12" s="7">
        <v>75.260000000000005</v>
      </c>
      <c r="H12" s="7">
        <v>57.06</v>
      </c>
      <c r="I12" s="7">
        <v>49.43</v>
      </c>
      <c r="J12" s="7">
        <v>64.2</v>
      </c>
      <c r="K12" s="7">
        <v>64.14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0.73</v>
      </c>
      <c r="E14" s="7">
        <v>0.27</v>
      </c>
      <c r="F14" s="7">
        <v>0.27</v>
      </c>
      <c r="G14" s="7">
        <v>0.27</v>
      </c>
      <c r="H14" s="7">
        <v>0.27</v>
      </c>
      <c r="I14" s="7">
        <v>0.27</v>
      </c>
      <c r="J14" s="7">
        <v>0.27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6.22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22.86</v>
      </c>
      <c r="E17" s="7">
        <v>21.4</v>
      </c>
      <c r="F17" s="7">
        <v>21.59</v>
      </c>
      <c r="G17" s="7">
        <v>21.65</v>
      </c>
      <c r="H17" s="7">
        <v>21.37</v>
      </c>
      <c r="I17" s="7">
        <v>19.850000000000001</v>
      </c>
      <c r="J17" s="7">
        <v>17.744</v>
      </c>
      <c r="K17" s="7">
        <v>17.38</v>
      </c>
    </row>
    <row r="18" spans="1:11" x14ac:dyDescent="0.3">
      <c r="A18" t="s">
        <v>105</v>
      </c>
      <c r="B18" t="s">
        <v>106</v>
      </c>
      <c r="D18" s="7">
        <v>7.81</v>
      </c>
      <c r="E18" s="7">
        <v>12.73</v>
      </c>
      <c r="F18" s="7">
        <v>10.32</v>
      </c>
      <c r="G18" s="7">
        <v>11.07</v>
      </c>
      <c r="H18" s="7">
        <v>11.92</v>
      </c>
      <c r="I18" s="7">
        <v>13.76</v>
      </c>
      <c r="J18" s="7">
        <v>17.969000000000001</v>
      </c>
      <c r="K18" s="7">
        <v>12.24</v>
      </c>
    </row>
    <row r="19" spans="1:11" x14ac:dyDescent="0.3">
      <c r="A19" t="s">
        <v>107</v>
      </c>
      <c r="B19" t="s">
        <v>108</v>
      </c>
      <c r="D19" s="7">
        <v>0.81</v>
      </c>
      <c r="E19" s="7">
        <v>0.1</v>
      </c>
      <c r="F19" s="7">
        <v>1.08</v>
      </c>
      <c r="G19" s="7">
        <v>1.35</v>
      </c>
      <c r="H19" s="7">
        <v>1.7</v>
      </c>
      <c r="I19" s="7">
        <v>3.16</v>
      </c>
      <c r="J19" s="7">
        <v>6.8</v>
      </c>
      <c r="K19" s="7">
        <v>5.66</v>
      </c>
    </row>
    <row r="20" spans="1:11" x14ac:dyDescent="0.3">
      <c r="A20" t="s">
        <v>109</v>
      </c>
      <c r="B20" t="s">
        <v>110</v>
      </c>
      <c r="D20" s="7">
        <v>462.76</v>
      </c>
      <c r="E20" s="7">
        <v>443.95</v>
      </c>
      <c r="F20" s="7">
        <v>461.27</v>
      </c>
      <c r="G20" s="7">
        <v>464.44</v>
      </c>
      <c r="H20" s="7">
        <v>447.91</v>
      </c>
      <c r="I20" s="7">
        <v>442.04700000000003</v>
      </c>
      <c r="J20" s="7">
        <v>465.2</v>
      </c>
      <c r="K20" s="7">
        <v>444.8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37.76</v>
      </c>
      <c r="E22" s="7">
        <v>39.1</v>
      </c>
      <c r="F22" s="7">
        <v>38.82</v>
      </c>
      <c r="G22" s="7">
        <v>38.49</v>
      </c>
      <c r="H22" s="7">
        <v>43.67</v>
      </c>
      <c r="I22" s="7">
        <v>43.73</v>
      </c>
      <c r="J22" s="7">
        <v>40.64</v>
      </c>
      <c r="K22" s="7">
        <v>37.22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2.85</v>
      </c>
      <c r="E24" s="7">
        <v>2.4700000000000002</v>
      </c>
      <c r="F24" s="7">
        <v>2.3199999999999998</v>
      </c>
      <c r="G24" s="7">
        <v>1.83</v>
      </c>
      <c r="H24" s="7">
        <v>1.93</v>
      </c>
      <c r="I24" s="7">
        <v>1.77</v>
      </c>
      <c r="J24" s="7">
        <v>1.2749999999999999</v>
      </c>
      <c r="K24" s="7">
        <v>1.7</v>
      </c>
    </row>
    <row r="25" spans="1:11" x14ac:dyDescent="0.3">
      <c r="A25" t="s">
        <v>117</v>
      </c>
      <c r="B25" t="s">
        <v>118</v>
      </c>
      <c r="D25" s="7">
        <v>8.25</v>
      </c>
      <c r="E25" s="7">
        <v>2.87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0.23</v>
      </c>
      <c r="F26" s="7">
        <v>0.04</v>
      </c>
      <c r="G26" s="7">
        <v>0.01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16.34</v>
      </c>
      <c r="E28" s="7">
        <v>9.3699999999999992</v>
      </c>
      <c r="F28" s="7">
        <v>11.52</v>
      </c>
      <c r="G28" s="7">
        <v>13.99</v>
      </c>
      <c r="H28" s="7">
        <v>20.41</v>
      </c>
      <c r="I28" s="7">
        <v>18.309999999999999</v>
      </c>
      <c r="J28" s="7">
        <v>19.591999999999999</v>
      </c>
      <c r="K28" s="7">
        <v>25.04</v>
      </c>
    </row>
    <row r="29" spans="1:11" x14ac:dyDescent="0.3">
      <c r="A29" t="s">
        <v>124</v>
      </c>
      <c r="B29" t="s">
        <v>125</v>
      </c>
      <c r="D29" s="7">
        <v>382.67</v>
      </c>
      <c r="E29" s="7">
        <v>207.34</v>
      </c>
      <c r="F29" s="7">
        <v>269.7</v>
      </c>
      <c r="G29" s="7">
        <v>339.58</v>
      </c>
      <c r="H29" s="7">
        <v>494.67</v>
      </c>
      <c r="I29" s="7">
        <v>454.10399999999998</v>
      </c>
      <c r="J29" s="7">
        <v>441.08199999999999</v>
      </c>
      <c r="K29" s="7">
        <v>786.08</v>
      </c>
    </row>
    <row r="30" spans="1:11" x14ac:dyDescent="0.3">
      <c r="A30" t="s">
        <v>126</v>
      </c>
      <c r="B30" t="s">
        <v>127</v>
      </c>
      <c r="D30" s="7">
        <v>29.72</v>
      </c>
      <c r="E30" s="7">
        <v>14.1</v>
      </c>
      <c r="F30" s="7">
        <v>18.41</v>
      </c>
      <c r="G30" s="7">
        <v>23.36</v>
      </c>
      <c r="H30" s="7">
        <v>59.63</v>
      </c>
      <c r="I30" s="7">
        <v>66.403000000000006</v>
      </c>
      <c r="J30" s="7">
        <v>218.01599999999999</v>
      </c>
      <c r="K30" s="7">
        <v>104.5</v>
      </c>
    </row>
    <row r="31" spans="1:11" x14ac:dyDescent="0.3">
      <c r="A31" t="s">
        <v>128</v>
      </c>
      <c r="B31" t="s">
        <v>129</v>
      </c>
      <c r="D31" s="7">
        <v>412.39</v>
      </c>
      <c r="E31" s="7">
        <v>221.44</v>
      </c>
      <c r="F31" s="7">
        <v>288.11</v>
      </c>
      <c r="G31" s="7">
        <v>362.94</v>
      </c>
      <c r="H31" s="7">
        <v>554.29999999999995</v>
      </c>
      <c r="I31" s="7">
        <v>520.50699999999995</v>
      </c>
      <c r="J31" s="7">
        <v>659.09799999999996</v>
      </c>
      <c r="K31" s="7">
        <v>890.58</v>
      </c>
    </row>
    <row r="32" spans="1:11" x14ac:dyDescent="0.3">
      <c r="A32" t="s">
        <v>130</v>
      </c>
      <c r="B32" t="s">
        <v>131</v>
      </c>
      <c r="D32" s="7">
        <v>0</v>
      </c>
      <c r="E32" s="7">
        <v>0</v>
      </c>
      <c r="F32" s="7">
        <v>0</v>
      </c>
      <c r="G32" s="7">
        <v>49.69</v>
      </c>
      <c r="H32" s="7">
        <v>0</v>
      </c>
      <c r="I32" s="7">
        <v>98.9</v>
      </c>
      <c r="J32" s="7">
        <v>51.329000000000001</v>
      </c>
      <c r="K32" s="7">
        <v>65.45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-6.32</v>
      </c>
      <c r="J33" s="7">
        <v>-2.4769999999999999</v>
      </c>
      <c r="K33" s="7">
        <v>-12.06</v>
      </c>
    </row>
    <row r="34" spans="1:11" x14ac:dyDescent="0.3">
      <c r="A34" t="s">
        <v>134</v>
      </c>
      <c r="B34" t="s">
        <v>135</v>
      </c>
      <c r="D34" s="7">
        <v>0</v>
      </c>
      <c r="E34" s="7">
        <v>0</v>
      </c>
      <c r="F34" s="7">
        <v>0</v>
      </c>
      <c r="G34" s="7">
        <v>0</v>
      </c>
      <c r="H34" s="7">
        <v>2.59</v>
      </c>
      <c r="I34" s="7">
        <v>0.15</v>
      </c>
      <c r="J34" s="7">
        <v>0.15</v>
      </c>
      <c r="K34" s="7">
        <v>0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87.28</v>
      </c>
      <c r="E36" s="7">
        <v>88.67</v>
      </c>
      <c r="F36" s="7">
        <v>84.09</v>
      </c>
      <c r="G36" s="7">
        <v>81.73</v>
      </c>
      <c r="H36" s="7">
        <v>84.6</v>
      </c>
      <c r="I36" s="7">
        <v>82.47</v>
      </c>
      <c r="J36" s="7">
        <v>88.2</v>
      </c>
      <c r="K36" s="7">
        <v>89.04</v>
      </c>
    </row>
    <row r="37" spans="1:11" x14ac:dyDescent="0.3">
      <c r="A37" t="s">
        <v>139</v>
      </c>
      <c r="B37" t="s">
        <v>140</v>
      </c>
      <c r="D37" s="7">
        <v>78.36</v>
      </c>
      <c r="E37" s="7">
        <v>74.75</v>
      </c>
      <c r="F37" s="7">
        <v>92.72</v>
      </c>
      <c r="G37" s="7">
        <v>89.84</v>
      </c>
      <c r="H37" s="7">
        <v>83</v>
      </c>
      <c r="I37" s="7">
        <v>81.05</v>
      </c>
      <c r="J37" s="7">
        <v>76.162000000000006</v>
      </c>
      <c r="K37" s="7">
        <v>73.489999999999995</v>
      </c>
    </row>
    <row r="38" spans="1:11" x14ac:dyDescent="0.3">
      <c r="A38" t="s">
        <v>141</v>
      </c>
      <c r="B38" t="s">
        <v>142</v>
      </c>
      <c r="D38" s="7">
        <v>100</v>
      </c>
      <c r="E38" s="7">
        <v>100</v>
      </c>
      <c r="F38" s="7">
        <v>100</v>
      </c>
      <c r="G38" s="7">
        <v>100</v>
      </c>
      <c r="H38" s="7">
        <v>0</v>
      </c>
      <c r="I38" s="7">
        <v>100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44.13</v>
      </c>
      <c r="E39" s="7">
        <v>48.31</v>
      </c>
      <c r="F39" s="7">
        <v>41.73</v>
      </c>
      <c r="G39" s="7">
        <v>44.01</v>
      </c>
      <c r="H39" s="7">
        <v>46.21</v>
      </c>
      <c r="I39" s="7">
        <v>45.05</v>
      </c>
      <c r="J39" s="7">
        <v>51.481000000000002</v>
      </c>
      <c r="K39" s="7">
        <v>61.63</v>
      </c>
    </row>
    <row r="40" spans="1:11" x14ac:dyDescent="0.3">
      <c r="A40" t="s">
        <v>145</v>
      </c>
      <c r="B40" t="s">
        <v>146</v>
      </c>
      <c r="D40" s="7">
        <v>28.64</v>
      </c>
      <c r="E40" s="7">
        <v>38.68</v>
      </c>
      <c r="F40" s="7">
        <v>72.680000000000007</v>
      </c>
      <c r="G40" s="7">
        <v>61.59</v>
      </c>
      <c r="H40" s="7">
        <v>76.37</v>
      </c>
      <c r="I40" s="7">
        <v>75.56</v>
      </c>
      <c r="J40" s="7">
        <v>63.24</v>
      </c>
      <c r="K40" s="7">
        <v>70.650000000000006</v>
      </c>
    </row>
    <row r="41" spans="1:11" x14ac:dyDescent="0.3">
      <c r="A41" t="s">
        <v>147</v>
      </c>
      <c r="B41" t="s">
        <v>148</v>
      </c>
      <c r="D41" s="7">
        <v>46.71</v>
      </c>
      <c r="E41" s="7">
        <v>0</v>
      </c>
      <c r="F41" s="7">
        <v>56.84</v>
      </c>
      <c r="G41" s="7">
        <v>71.180000000000007</v>
      </c>
      <c r="H41" s="7">
        <v>1.0900000000000001</v>
      </c>
      <c r="I41" s="7">
        <v>96.69</v>
      </c>
      <c r="J41" s="7">
        <v>0</v>
      </c>
      <c r="K41" s="7">
        <v>96.13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0</v>
      </c>
      <c r="E43" s="7">
        <v>68.8</v>
      </c>
      <c r="F43" s="7">
        <v>71.989999999999995</v>
      </c>
      <c r="G43" s="7">
        <v>78.38</v>
      </c>
      <c r="H43" s="7">
        <v>78.34</v>
      </c>
      <c r="I43" s="7">
        <v>79.08</v>
      </c>
      <c r="J43" s="7">
        <v>80.912999999999997</v>
      </c>
      <c r="K43" s="7">
        <v>80.209999999999994</v>
      </c>
    </row>
    <row r="44" spans="1:11" x14ac:dyDescent="0.3">
      <c r="A44" t="s">
        <v>152</v>
      </c>
      <c r="B44" t="s">
        <v>153</v>
      </c>
      <c r="D44" s="7">
        <v>0</v>
      </c>
      <c r="E44" s="7">
        <v>51.31</v>
      </c>
      <c r="F44" s="7">
        <v>87.48</v>
      </c>
      <c r="G44" s="7">
        <v>87.44</v>
      </c>
      <c r="H44" s="7">
        <v>85</v>
      </c>
      <c r="I44" s="7">
        <v>83.7</v>
      </c>
      <c r="J44" s="7">
        <v>71.08</v>
      </c>
      <c r="K44" s="7">
        <v>78.959999999999994</v>
      </c>
    </row>
    <row r="45" spans="1:11" x14ac:dyDescent="0.3">
      <c r="A45" t="s">
        <v>154</v>
      </c>
      <c r="B45" t="s">
        <v>155</v>
      </c>
      <c r="D45" s="7">
        <v>0</v>
      </c>
      <c r="E45" s="7">
        <v>57.38</v>
      </c>
      <c r="F45" s="7">
        <v>84.7</v>
      </c>
      <c r="G45" s="7">
        <v>80.180000000000007</v>
      </c>
      <c r="H45" s="7">
        <v>93.91</v>
      </c>
      <c r="I45" s="7">
        <v>86.35</v>
      </c>
      <c r="J45" s="7">
        <v>65.917000000000002</v>
      </c>
      <c r="K45" s="7">
        <v>92.62</v>
      </c>
    </row>
    <row r="46" spans="1:11" x14ac:dyDescent="0.3">
      <c r="A46" t="s">
        <v>156</v>
      </c>
      <c r="B46" t="s">
        <v>157</v>
      </c>
      <c r="D46" s="7">
        <v>0</v>
      </c>
      <c r="E46" s="7">
        <v>15.03</v>
      </c>
      <c r="F46" s="7">
        <v>22.9</v>
      </c>
      <c r="G46" s="7">
        <v>3.48</v>
      </c>
      <c r="H46" s="7">
        <v>21.47</v>
      </c>
      <c r="I46" s="7">
        <v>6.62</v>
      </c>
      <c r="J46" s="7">
        <v>10.874000000000001</v>
      </c>
      <c r="K46" s="7">
        <v>70.19</v>
      </c>
    </row>
    <row r="47" spans="1:11" x14ac:dyDescent="0.3">
      <c r="A47" t="s">
        <v>158</v>
      </c>
      <c r="B47" t="s">
        <v>159</v>
      </c>
      <c r="D47" s="7">
        <v>35.04</v>
      </c>
      <c r="E47" s="7">
        <v>46.59</v>
      </c>
      <c r="F47" s="7">
        <v>-2.19</v>
      </c>
      <c r="G47" s="7">
        <v>-8.57</v>
      </c>
      <c r="H47" s="7">
        <v>-13.94</v>
      </c>
      <c r="I47" s="7">
        <v>-14.92</v>
      </c>
      <c r="J47" s="7">
        <v>-17.79</v>
      </c>
      <c r="K47" s="7">
        <v>-18.420000000000002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1</v>
      </c>
      <c r="F49" s="7">
        <v>0.23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3.1</v>
      </c>
      <c r="E50" s="7">
        <v>3.08</v>
      </c>
      <c r="F50" s="7">
        <v>3.31</v>
      </c>
      <c r="G50" s="7">
        <v>4.3099999999999996</v>
      </c>
      <c r="H50" s="7">
        <v>2.77</v>
      </c>
      <c r="I50" s="7">
        <v>3.67</v>
      </c>
      <c r="J50" s="7">
        <v>3.976</v>
      </c>
      <c r="K50" s="7">
        <v>4.18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4.22</v>
      </c>
      <c r="E51" s="7">
        <v>4.5599999999999996</v>
      </c>
      <c r="F51" s="7">
        <v>3.81</v>
      </c>
      <c r="G51" s="7">
        <v>3.49</v>
      </c>
      <c r="H51" s="7">
        <v>3.04</v>
      </c>
      <c r="I51" s="7">
        <v>3.2</v>
      </c>
      <c r="J51" s="7">
        <v>2.6869999999999998</v>
      </c>
      <c r="K51" s="7">
        <v>3.04</v>
      </c>
    </row>
    <row r="52" spans="1:11" x14ac:dyDescent="0.3">
      <c r="A52" t="s">
        <v>167</v>
      </c>
      <c r="B52" t="s">
        <v>168</v>
      </c>
      <c r="D52" s="7">
        <v>1213.18</v>
      </c>
      <c r="E52" s="7">
        <v>1130.8426490139555</v>
      </c>
      <c r="F52" s="7">
        <v>1136.8499999999999</v>
      </c>
      <c r="G52" s="7">
        <v>1048.51</v>
      </c>
      <c r="H52" s="7">
        <v>1094.24</v>
      </c>
      <c r="I52" s="7">
        <v>1073.4929999999999</v>
      </c>
      <c r="J52" s="7">
        <v>1039.3789999999999</v>
      </c>
      <c r="K52" s="7">
        <v>1001.34</v>
      </c>
    </row>
    <row r="53" spans="1:11" x14ac:dyDescent="0.3">
      <c r="A53" t="s">
        <v>169</v>
      </c>
      <c r="D53" s="7">
        <v>0</v>
      </c>
      <c r="E53" s="7">
        <v>0</v>
      </c>
      <c r="F53" s="7">
        <v>0</v>
      </c>
      <c r="G53" s="7">
        <v>17.555789240949892</v>
      </c>
      <c r="H53" s="7">
        <v>7.9502164682153289</v>
      </c>
      <c r="I53" s="7">
        <v>18.627382520238179</v>
      </c>
      <c r="J53" s="7">
        <v>12.538678926747849</v>
      </c>
      <c r="K53" s="7">
        <v>12.71471459863178</v>
      </c>
    </row>
    <row r="54" spans="1:11" x14ac:dyDescent="0.3">
      <c r="A54" t="s">
        <v>170</v>
      </c>
      <c r="B54" t="s">
        <v>171</v>
      </c>
      <c r="D54" s="7">
        <v>-26.703152419252252</v>
      </c>
      <c r="E54" s="7">
        <v>-21.212565178552577</v>
      </c>
      <c r="F54" s="7">
        <v>-8.6898525352834852</v>
      </c>
      <c r="G54" s="7">
        <v>16.542561422781795</v>
      </c>
      <c r="H54" s="7">
        <v>7.407584712240431</v>
      </c>
      <c r="I54" s="7">
        <v>17.360917707673671</v>
      </c>
      <c r="J54" s="7">
        <v>11.66749948576607</v>
      </c>
      <c r="K54" s="7">
        <v>12.072437995674436</v>
      </c>
    </row>
    <row r="55" spans="1:11" x14ac:dyDescent="0.3">
      <c r="A55" t="s">
        <v>172</v>
      </c>
      <c r="B55" t="s">
        <v>173</v>
      </c>
      <c r="D55" s="7">
        <v>3.542867166921619</v>
      </c>
      <c r="E55" s="7">
        <v>0.82948496984821962</v>
      </c>
      <c r="F55" s="7">
        <v>1.5161738772703512</v>
      </c>
      <c r="G55" s="7">
        <v>1.0132278181680963</v>
      </c>
      <c r="H55" s="7">
        <v>0.54263175597489777</v>
      </c>
      <c r="I55" s="7">
        <v>1.2664648125645075</v>
      </c>
      <c r="J55" s="7">
        <v>0.87117944098177791</v>
      </c>
      <c r="K55" s="7">
        <v>0.64227660295734346</v>
      </c>
    </row>
    <row r="56" spans="1:11" x14ac:dyDescent="0.3">
      <c r="A56" t="s">
        <v>174</v>
      </c>
      <c r="B56" t="s">
        <v>175</v>
      </c>
      <c r="D56" s="7">
        <v>79.585436316903795</v>
      </c>
      <c r="E56" s="7">
        <v>74.453385882742879</v>
      </c>
      <c r="F56" s="7">
        <v>67.386641252733554</v>
      </c>
      <c r="G56" s="7">
        <v>50.901188428465673</v>
      </c>
      <c r="H56" s="7">
        <v>46.195561225716816</v>
      </c>
      <c r="I56" s="7">
        <v>47.002069680356371</v>
      </c>
      <c r="J56" s="7">
        <v>56.542510482109954</v>
      </c>
      <c r="K56" s="7">
        <v>52.484771872326576</v>
      </c>
    </row>
    <row r="57" spans="1:11" x14ac:dyDescent="0.3">
      <c r="A57" t="s">
        <v>176</v>
      </c>
      <c r="B57" t="s">
        <v>177</v>
      </c>
      <c r="D57" s="7">
        <v>43.574848935426843</v>
      </c>
      <c r="E57" s="7">
        <v>45.929694325961485</v>
      </c>
      <c r="F57" s="7">
        <v>39.787037405279591</v>
      </c>
      <c r="G57" s="7">
        <v>31.543022330584442</v>
      </c>
      <c r="H57" s="7">
        <v>45.854222306067854</v>
      </c>
      <c r="I57" s="7">
        <v>34.37054779940545</v>
      </c>
      <c r="J57" s="7">
        <v>30.918810591142194</v>
      </c>
      <c r="K57" s="7">
        <v>34.800513529041652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>
        <v>3.8049737939002002</v>
      </c>
      <c r="E59" s="7">
        <v>11</v>
      </c>
      <c r="F59" s="7">
        <v>48.59</v>
      </c>
      <c r="G59" s="7" t="s">
        <v>355</v>
      </c>
      <c r="H59" s="7" t="s">
        <v>355</v>
      </c>
      <c r="I59" s="7" t="s">
        <v>355</v>
      </c>
      <c r="J59" s="7" t="s">
        <v>355</v>
      </c>
      <c r="K59" s="7" t="s">
        <v>355</v>
      </c>
    </row>
    <row r="60" spans="1:11" x14ac:dyDescent="0.3">
      <c r="A60" t="s">
        <v>181</v>
      </c>
      <c r="B60" t="s">
        <v>182</v>
      </c>
      <c r="D60" s="7">
        <v>-3.8049737939002002</v>
      </c>
      <c r="E60" s="7">
        <v>-11</v>
      </c>
      <c r="F60" s="7" t="s">
        <v>355</v>
      </c>
      <c r="G60" s="7">
        <v>-315.28107236811894</v>
      </c>
      <c r="H60" s="7">
        <v>0</v>
      </c>
      <c r="I60" s="7" t="s">
        <v>355</v>
      </c>
      <c r="J60" s="7" t="s">
        <v>355</v>
      </c>
      <c r="K60" s="7" t="s">
        <v>355</v>
      </c>
    </row>
    <row r="61" spans="1:11" x14ac:dyDescent="0.3">
      <c r="A61" t="s">
        <v>183</v>
      </c>
      <c r="B61" t="s">
        <v>184</v>
      </c>
      <c r="D61" s="7">
        <v>8.0836722627239208</v>
      </c>
      <c r="E61" s="7">
        <v>6.9490979069785883</v>
      </c>
      <c r="F61" s="7">
        <v>3.2290351682891316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0.39</v>
      </c>
      <c r="E62" s="7">
        <v>0.39</v>
      </c>
      <c r="F62" s="7">
        <v>0.39</v>
      </c>
      <c r="G62" s="7">
        <v>0.39</v>
      </c>
      <c r="H62" s="7">
        <v>0.16</v>
      </c>
      <c r="I62" s="7">
        <v>0.16</v>
      </c>
      <c r="J62" s="7">
        <v>0.16</v>
      </c>
      <c r="K62" s="7">
        <v>0.16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0.09</v>
      </c>
      <c r="E64" s="7">
        <v>0.04</v>
      </c>
      <c r="F64" s="7">
        <v>0.16</v>
      </c>
      <c r="G64" s="7">
        <v>0.06</v>
      </c>
      <c r="H64" s="7">
        <v>0.35</v>
      </c>
      <c r="I64" s="7">
        <v>0.13</v>
      </c>
      <c r="J64" s="7">
        <v>0.04</v>
      </c>
      <c r="K64" s="7">
        <v>0.15</v>
      </c>
    </row>
    <row r="65" spans="1:11" x14ac:dyDescent="0.3">
      <c r="A65" s="8" t="s">
        <v>190</v>
      </c>
      <c r="B65" s="8" t="s">
        <v>191</v>
      </c>
      <c r="C65" s="9"/>
      <c r="D65" s="7">
        <v>0.03</v>
      </c>
      <c r="E65" s="7">
        <v>0</v>
      </c>
      <c r="F65" s="7">
        <v>0</v>
      </c>
      <c r="G65" s="7">
        <v>0</v>
      </c>
      <c r="H65" s="7">
        <v>0.05</v>
      </c>
      <c r="I65" s="7">
        <v>0.08</v>
      </c>
      <c r="J65" s="7">
        <v>0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0.13</v>
      </c>
      <c r="E66" s="7">
        <v>0</v>
      </c>
      <c r="F66" s="7">
        <v>0.16</v>
      </c>
      <c r="G66" s="7">
        <v>0.06</v>
      </c>
      <c r="H66" s="7">
        <v>0.41</v>
      </c>
      <c r="I66" s="7">
        <v>0.21</v>
      </c>
      <c r="J66" s="7">
        <v>0.04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65.069999999999993</v>
      </c>
      <c r="E68" s="7">
        <v>69.739999999999995</v>
      </c>
      <c r="F68" s="30">
        <v>38.409999999999997</v>
      </c>
      <c r="G68" s="30">
        <v>49.67951895235457</v>
      </c>
      <c r="H68" s="30">
        <v>52.166294938289468</v>
      </c>
      <c r="I68" s="30">
        <v>45.15</v>
      </c>
      <c r="J68" s="30">
        <v>46.805</v>
      </c>
      <c r="K68" s="30">
        <v>50.71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25.91</v>
      </c>
      <c r="E70" s="30">
        <v>12.064382197442441</v>
      </c>
      <c r="F70" s="7">
        <v>13.007635391413983</v>
      </c>
      <c r="G70" s="7">
        <v>12.794226247139711</v>
      </c>
      <c r="H70" s="7">
        <v>21.875940603294946</v>
      </c>
      <c r="I70" s="7">
        <v>14.63</v>
      </c>
      <c r="J70" s="7">
        <v>12.441000000000001</v>
      </c>
      <c r="K70" s="7">
        <v>15.35</v>
      </c>
    </row>
    <row r="71" spans="1:11" x14ac:dyDescent="0.3">
      <c r="A71" t="s">
        <v>200</v>
      </c>
      <c r="B71" t="s">
        <v>201</v>
      </c>
      <c r="D71" s="7">
        <v>28.76</v>
      </c>
      <c r="E71" s="30">
        <v>13.672442617574344</v>
      </c>
      <c r="F71" s="7">
        <v>14.902621150033685</v>
      </c>
      <c r="G71" s="7">
        <v>16.263362181502433</v>
      </c>
      <c r="H71" s="7">
        <v>26.685878552625269</v>
      </c>
      <c r="I71" s="7">
        <v>17.88</v>
      </c>
      <c r="J71" s="7">
        <v>13.997999999999999</v>
      </c>
      <c r="K71" s="7">
        <v>18.72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68.2</v>
      </c>
      <c r="E73" s="7">
        <v>64.744671650669176</v>
      </c>
      <c r="F73" s="7">
        <v>66.701454001673795</v>
      </c>
      <c r="G73" s="7">
        <v>65.510000000000005</v>
      </c>
      <c r="H73" s="7">
        <v>59.729464937511331</v>
      </c>
      <c r="I73" s="7">
        <v>52.529000000000003</v>
      </c>
      <c r="J73" s="7">
        <v>58.704999999999998</v>
      </c>
      <c r="K73" s="7">
        <v>62.093624447849983</v>
      </c>
    </row>
    <row r="74" spans="1:11" x14ac:dyDescent="0.3">
      <c r="B74" t="s">
        <v>203</v>
      </c>
      <c r="D74" s="7">
        <v>74.989999999999995</v>
      </c>
      <c r="E74" s="7">
        <v>69.250645986060107</v>
      </c>
      <c r="F74" s="7">
        <v>72.406000354378008</v>
      </c>
      <c r="G74" s="7">
        <v>71.97</v>
      </c>
      <c r="H74" s="7">
        <v>64.18505248432966</v>
      </c>
      <c r="I74" s="7">
        <v>57.963000000000001</v>
      </c>
      <c r="J74" s="7">
        <v>64.7</v>
      </c>
      <c r="K74" s="7">
        <v>63.051926692157302</v>
      </c>
    </row>
    <row r="75" spans="1:11" x14ac:dyDescent="0.3">
      <c r="B75" t="s">
        <v>204</v>
      </c>
      <c r="D75" s="7">
        <v>49.19</v>
      </c>
      <c r="E75" s="7">
        <v>53.810953734978163</v>
      </c>
      <c r="F75" s="7">
        <v>55.097413608975842</v>
      </c>
      <c r="G75" s="7">
        <v>52.16</v>
      </c>
      <c r="H75" s="7">
        <v>53.11463434553314</v>
      </c>
      <c r="I75" s="7">
        <v>43.707999999999998</v>
      </c>
      <c r="J75" s="7">
        <v>49.295999999999999</v>
      </c>
      <c r="K75" s="7">
        <v>60.470977107765655</v>
      </c>
    </row>
    <row r="76" spans="1:11" x14ac:dyDescent="0.3">
      <c r="A76" s="8" t="s">
        <v>37</v>
      </c>
      <c r="B76" s="8"/>
      <c r="C76" s="9">
        <v>47</v>
      </c>
      <c r="D76" s="7">
        <v>69.593991962662599</v>
      </c>
      <c r="E76" s="7">
        <v>71.892064615504296</v>
      </c>
      <c r="F76" s="30">
        <v>73.641275324318173</v>
      </c>
      <c r="G76" s="30">
        <v>65.504815324056835</v>
      </c>
      <c r="H76" s="30">
        <v>65.868133080935536</v>
      </c>
      <c r="I76" s="30">
        <v>61.815382454161359</v>
      </c>
      <c r="J76" s="30">
        <v>66.729400748654172</v>
      </c>
      <c r="K76" s="30">
        <v>64.364306651860943</v>
      </c>
    </row>
    <row r="77" spans="1:11" x14ac:dyDescent="0.3">
      <c r="A77" s="31" t="s">
        <v>338</v>
      </c>
      <c r="B77" s="31"/>
      <c r="C77" s="63"/>
      <c r="D77" s="30">
        <v>69.192872844784802</v>
      </c>
      <c r="E77" s="30">
        <v>64.546702698297679</v>
      </c>
      <c r="F77" s="30">
        <v>62.960246154519062</v>
      </c>
      <c r="G77" s="30">
        <v>63.243201609358579</v>
      </c>
      <c r="H77" s="30">
        <v>62.075298309520974</v>
      </c>
      <c r="I77" s="30">
        <v>58.157238187839141</v>
      </c>
      <c r="J77" s="30">
        <v>61.363858882783816</v>
      </c>
      <c r="K77" s="30">
        <v>61.736138138219218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2.437635265975624</v>
      </c>
      <c r="E79" s="7">
        <v>3.330534564791491</v>
      </c>
      <c r="F79" s="30">
        <v>4.1502315211798999</v>
      </c>
      <c r="G79" s="30">
        <v>4.148198658938516</v>
      </c>
      <c r="H79" s="30">
        <v>4.2167227294569916</v>
      </c>
      <c r="I79" s="30">
        <v>3.7852686469876149</v>
      </c>
      <c r="J79" s="30">
        <v>3.9643982940849245</v>
      </c>
      <c r="K79" s="30">
        <v>3.4444567504707058</v>
      </c>
    </row>
    <row r="80" spans="1:11" x14ac:dyDescent="0.3">
      <c r="A80">
        <v>9</v>
      </c>
      <c r="B80" t="s">
        <v>350</v>
      </c>
      <c r="D80" s="7">
        <v>13.953753274860464</v>
      </c>
      <c r="E80" s="7">
        <v>15.771060733277356</v>
      </c>
      <c r="F80" s="30">
        <v>20.631109586691817</v>
      </c>
      <c r="G80" s="30">
        <v>25.025571087623593</v>
      </c>
      <c r="H80" s="30">
        <v>25.372417107160022</v>
      </c>
      <c r="I80" s="30">
        <v>22.341465685818044</v>
      </c>
      <c r="J80" s="30">
        <v>21.107608628469006</v>
      </c>
      <c r="K80" s="30">
        <v>21.652453206335146</v>
      </c>
    </row>
    <row r="81" spans="1:11" x14ac:dyDescent="0.3">
      <c r="A81">
        <v>10</v>
      </c>
      <c r="B81" t="s">
        <v>206</v>
      </c>
      <c r="D81" s="7">
        <v>11.709761931882904</v>
      </c>
      <c r="E81" s="7">
        <v>14.245731877973689</v>
      </c>
      <c r="F81" s="30">
        <v>18.658892128279884</v>
      </c>
      <c r="G81" s="30">
        <v>18.95669962495738</v>
      </c>
      <c r="H81" s="30">
        <v>24.303219605958677</v>
      </c>
      <c r="I81" s="30">
        <v>22.37638513828103</v>
      </c>
      <c r="J81" s="30">
        <v>30.64837134557142</v>
      </c>
      <c r="K81" s="30">
        <v>23.258389633403478</v>
      </c>
    </row>
    <row r="82" spans="1:11" x14ac:dyDescent="0.3">
      <c r="A82">
        <v>12</v>
      </c>
      <c r="B82" t="s">
        <v>207</v>
      </c>
      <c r="D82" s="7">
        <v>6.9370087709306301</v>
      </c>
      <c r="E82" s="7">
        <v>8.5782255807444709</v>
      </c>
      <c r="F82" s="30">
        <v>10.804321728691475</v>
      </c>
      <c r="G82" s="30">
        <v>10.683032162745768</v>
      </c>
      <c r="H82" s="30">
        <v>10.78808265257088</v>
      </c>
      <c r="I82" s="30">
        <v>10.430440450693732</v>
      </c>
      <c r="J82" s="30">
        <v>8.99932010631065</v>
      </c>
      <c r="K82" s="30">
        <v>8.993243991582677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87.82</v>
      </c>
      <c r="E84" s="7">
        <v>79.53</v>
      </c>
      <c r="F84" s="7">
        <v>86.21</v>
      </c>
      <c r="G84" s="7">
        <v>88.39</v>
      </c>
      <c r="H84" s="7">
        <v>85.31</v>
      </c>
      <c r="I84" s="7">
        <v>80.230999999999995</v>
      </c>
      <c r="J84" s="7">
        <v>73.656657702614709</v>
      </c>
      <c r="K84" s="7">
        <v>74.719185095382642</v>
      </c>
    </row>
    <row r="85" spans="1:11" x14ac:dyDescent="0.3">
      <c r="A85">
        <v>9</v>
      </c>
      <c r="B85" t="s">
        <v>350</v>
      </c>
      <c r="D85" s="7">
        <v>75.430000000000007</v>
      </c>
      <c r="E85" s="7">
        <v>76.650000000000006</v>
      </c>
      <c r="F85" s="7">
        <v>77.27</v>
      </c>
      <c r="G85" s="7">
        <v>80.52</v>
      </c>
      <c r="H85" s="7">
        <v>74.97</v>
      </c>
      <c r="I85" s="7">
        <v>91.825000000000003</v>
      </c>
      <c r="J85" s="7">
        <v>89.625051911296964</v>
      </c>
      <c r="K85" s="7">
        <v>85.032213168608166</v>
      </c>
    </row>
    <row r="86" spans="1:11" x14ac:dyDescent="0.3">
      <c r="A86">
        <v>10</v>
      </c>
      <c r="B86" t="s">
        <v>206</v>
      </c>
      <c r="D86" s="7">
        <v>77.94</v>
      </c>
      <c r="E86" s="7">
        <v>65.150000000000006</v>
      </c>
      <c r="F86" s="7">
        <v>75.180000000000007</v>
      </c>
      <c r="G86" s="7">
        <v>80.290000000000006</v>
      </c>
      <c r="H86" s="7">
        <v>81.400000000000006</v>
      </c>
      <c r="I86" s="7">
        <v>77.486000000000004</v>
      </c>
      <c r="J86" s="7">
        <v>59.949937341928518</v>
      </c>
      <c r="K86" s="7">
        <v>83.004692107642995</v>
      </c>
    </row>
    <row r="87" spans="1:11" x14ac:dyDescent="0.3">
      <c r="A87">
        <v>12</v>
      </c>
      <c r="B87" t="s">
        <v>207</v>
      </c>
      <c r="D87" s="7">
        <v>77.59</v>
      </c>
      <c r="E87" s="7">
        <v>75.24091591191636</v>
      </c>
      <c r="F87" s="7">
        <v>77.061368498054932</v>
      </c>
      <c r="G87" s="7">
        <v>73.880501196603419</v>
      </c>
      <c r="H87" s="7">
        <v>75.435897176982252</v>
      </c>
      <c r="I87" s="7">
        <v>75.599999999999994</v>
      </c>
      <c r="J87" s="7">
        <v>78.587874122791177</v>
      </c>
      <c r="K87" s="7">
        <v>83.24093643219274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sqref="A1:L9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7" t="s">
        <v>328</v>
      </c>
      <c r="E2" s="82">
        <f>Piano_indicatori!D3</f>
        <v>39</v>
      </c>
      <c r="F2" s="82">
        <f>Piano_indicatori!E3</f>
        <v>22.550151690085091</v>
      </c>
      <c r="G2" s="82">
        <f>Piano_indicatori!F3</f>
        <v>22.47</v>
      </c>
      <c r="H2" s="82">
        <f>Piano_indicatori!G3</f>
        <v>20.05</v>
      </c>
      <c r="I2" s="82">
        <f>Piano_indicatori!H3</f>
        <v>20.04</v>
      </c>
      <c r="J2" s="82">
        <f>Piano_indicatori!I3</f>
        <v>18.82</v>
      </c>
      <c r="K2" s="82">
        <f>Piano_indicatori!J3</f>
        <v>17.978999999999999</v>
      </c>
      <c r="L2" s="82">
        <f>Piano_indicatori!K3</f>
        <v>16.75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88" t="s">
        <v>329</v>
      </c>
      <c r="E3" s="83">
        <f>Piano_indicatori!D12</f>
        <v>66.790000000000006</v>
      </c>
      <c r="F3" s="83">
        <f>Piano_indicatori!E12</f>
        <v>72.260000000000005</v>
      </c>
      <c r="G3" s="83">
        <f>Piano_indicatori!F12</f>
        <v>77.900000000000006</v>
      </c>
      <c r="H3" s="83">
        <f>Piano_indicatori!G12</f>
        <v>75.260000000000005</v>
      </c>
      <c r="I3" s="83">
        <f>Piano_indicatori!H12</f>
        <v>57.06</v>
      </c>
      <c r="J3" s="83">
        <f>Piano_indicatori!I12</f>
        <v>49.43</v>
      </c>
      <c r="K3" s="83">
        <f>Piano_indicatori!J12</f>
        <v>64.2</v>
      </c>
      <c r="L3" s="83">
        <f>Piano_indicatori!K12</f>
        <v>64.14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7" t="s">
        <v>330</v>
      </c>
      <c r="E4" s="84">
        <f>Piano_indicatori!D15</f>
        <v>6.22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89" t="s">
        <v>331</v>
      </c>
      <c r="E5" s="85">
        <f>Piano_indicatori!D51</f>
        <v>4.22</v>
      </c>
      <c r="F5" s="85">
        <f>Piano_indicatori!E51</f>
        <v>4.5599999999999996</v>
      </c>
      <c r="G5" s="85">
        <f>Piano_indicatori!F51</f>
        <v>3.81</v>
      </c>
      <c r="H5" s="85">
        <f>Piano_indicatori!G51</f>
        <v>3.49</v>
      </c>
      <c r="I5" s="85">
        <f>Piano_indicatori!H51</f>
        <v>3.04</v>
      </c>
      <c r="J5" s="85">
        <f>Piano_indicatori!I51</f>
        <v>3.2</v>
      </c>
      <c r="K5" s="85">
        <f>Piano_indicatori!J51</f>
        <v>2.6869999999999998</v>
      </c>
      <c r="L5" s="85">
        <f>Piano_indicatori!K51</f>
        <v>3.04</v>
      </c>
    </row>
    <row r="6" spans="1:12" ht="29.25" customHeight="1" x14ac:dyDescent="0.3">
      <c r="A6" s="75" t="s">
        <v>317</v>
      </c>
      <c r="B6" s="75" t="s">
        <v>185</v>
      </c>
      <c r="C6" s="91" t="s">
        <v>186</v>
      </c>
      <c r="D6" s="90" t="s">
        <v>332</v>
      </c>
      <c r="E6" s="115">
        <f>Piano_indicatori!D62</f>
        <v>0.39</v>
      </c>
      <c r="F6" s="115">
        <f>Piano_indicatori!E62</f>
        <v>0.39</v>
      </c>
      <c r="G6" s="115">
        <f>Piano_indicatori!F62</f>
        <v>0.39</v>
      </c>
      <c r="H6" s="115">
        <f>Piano_indicatori!G62</f>
        <v>0.39</v>
      </c>
      <c r="I6" s="115">
        <f>Piano_indicatori!H62</f>
        <v>0.16</v>
      </c>
      <c r="J6" s="115">
        <f>Piano_indicatori!I62</f>
        <v>0.16</v>
      </c>
      <c r="K6" s="115">
        <f>Piano_indicatori!J62</f>
        <v>0.16</v>
      </c>
      <c r="L6" s="115">
        <f>Piano_indicatori!K62</f>
        <v>0.16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88" t="s">
        <v>333</v>
      </c>
      <c r="E7" s="116">
        <f>Piano_indicatori!D64</f>
        <v>0.09</v>
      </c>
      <c r="F7" s="116">
        <f>Piano_indicatori!E64</f>
        <v>0.04</v>
      </c>
      <c r="G7" s="116">
        <f>Piano_indicatori!F64</f>
        <v>0.16</v>
      </c>
      <c r="H7" s="116">
        <f>Piano_indicatori!G64</f>
        <v>0.06</v>
      </c>
      <c r="I7" s="116">
        <f>Piano_indicatori!H64</f>
        <v>0.35</v>
      </c>
      <c r="J7" s="116">
        <f>Piano_indicatori!I64</f>
        <v>0.13</v>
      </c>
      <c r="K7" s="116">
        <f>Piano_indicatori!J64</f>
        <v>0.04</v>
      </c>
      <c r="L7" s="116">
        <f>Piano_indicatori!K64</f>
        <v>0.15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7" t="s">
        <v>334</v>
      </c>
      <c r="E8" s="117">
        <f>Piano_indicatori!D65+Piano_indicatori!D66</f>
        <v>0.16</v>
      </c>
      <c r="F8" s="117">
        <f>Piano_indicatori!E65+Piano_indicatori!E66</f>
        <v>0</v>
      </c>
      <c r="G8" s="117">
        <f>Piano_indicatori!F65+Piano_indicatori!F66</f>
        <v>0.16</v>
      </c>
      <c r="H8" s="117">
        <f>Piano_indicatori!G65+Piano_indicatori!G66</f>
        <v>0.06</v>
      </c>
      <c r="I8" s="117">
        <f>Piano_indicatori!H65+Piano_indicatori!H66</f>
        <v>0.45999999999999996</v>
      </c>
      <c r="J8" s="117">
        <f>Piano_indicatori!I65+Piano_indicatori!I66</f>
        <v>0.28999999999999998</v>
      </c>
      <c r="K8" s="117">
        <f>Piano_indicatori!J65+Piano_indicatori!J66</f>
        <v>0.04</v>
      </c>
      <c r="L8" s="117">
        <f>Piano_indicatori!K65+Piano_indicatori!K66</f>
        <v>0</v>
      </c>
    </row>
    <row r="9" spans="1:12" ht="29.25" customHeight="1" x14ac:dyDescent="0.3">
      <c r="A9" s="76" t="s">
        <v>320</v>
      </c>
      <c r="B9" s="76"/>
      <c r="C9" s="81" t="s">
        <v>327</v>
      </c>
      <c r="D9" s="89" t="s">
        <v>335</v>
      </c>
      <c r="E9" s="86">
        <f>Piano_indicatori!D76</f>
        <v>69.593991962662599</v>
      </c>
      <c r="F9" s="86">
        <f>Piano_indicatori!E76</f>
        <v>71.892064615504296</v>
      </c>
      <c r="G9" s="86">
        <f>Piano_indicatori!F76</f>
        <v>73.641275324318173</v>
      </c>
      <c r="H9" s="86">
        <f>Piano_indicatori!G76</f>
        <v>65.504815324056835</v>
      </c>
      <c r="I9" s="86">
        <f>Piano_indicatori!H76</f>
        <v>65.868133080935536</v>
      </c>
      <c r="J9" s="86">
        <f>Piano_indicatori!I76</f>
        <v>61.815382454161359</v>
      </c>
      <c r="K9" s="86">
        <f>Piano_indicatori!J76</f>
        <v>66.729400748654172</v>
      </c>
      <c r="L9" s="86">
        <f>Piano_indicatori!K76</f>
        <v>64.364306651860943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customWidth="1"/>
  </cols>
  <sheetData>
    <row r="1" spans="1:20" ht="43.2" x14ac:dyDescent="0.3">
      <c r="A1" s="97" t="s">
        <v>336</v>
      </c>
      <c r="B1" s="97" t="s">
        <v>337</v>
      </c>
      <c r="C1" s="97" t="s">
        <v>351</v>
      </c>
      <c r="D1" s="97" t="s">
        <v>352</v>
      </c>
      <c r="E1" s="97" t="s">
        <v>353</v>
      </c>
      <c r="F1" s="97" t="s">
        <v>364</v>
      </c>
      <c r="G1" s="97" t="s">
        <v>354</v>
      </c>
    </row>
    <row r="2" spans="1:20" x14ac:dyDescent="0.3">
      <c r="A2">
        <v>2024</v>
      </c>
      <c r="B2" s="1">
        <v>250369</v>
      </c>
      <c r="C2" s="1">
        <v>834940</v>
      </c>
    </row>
    <row r="3" spans="1:20" x14ac:dyDescent="0.3">
      <c r="A3">
        <v>2023</v>
      </c>
      <c r="B3" s="1">
        <v>250913</v>
      </c>
      <c r="C3" s="1">
        <v>835895</v>
      </c>
      <c r="D3" s="1">
        <v>-1731</v>
      </c>
      <c r="E3" s="1">
        <f>-446+1633</f>
        <v>1187</v>
      </c>
      <c r="G3" s="1">
        <f t="shared" ref="G3:G4" si="0">B2-B3-D3-E3-F3</f>
        <v>0</v>
      </c>
    </row>
    <row r="4" spans="1:20" x14ac:dyDescent="0.3">
      <c r="A4">
        <v>2022</v>
      </c>
      <c r="B4" s="1">
        <v>251944</v>
      </c>
      <c r="C4" s="1">
        <v>836916</v>
      </c>
      <c r="D4" s="1">
        <v>-2189</v>
      </c>
      <c r="E4">
        <v>1156</v>
      </c>
      <c r="F4" s="1">
        <v>2</v>
      </c>
      <c r="G4" s="1">
        <f t="shared" si="0"/>
        <v>0</v>
      </c>
    </row>
    <row r="5" spans="1:20" x14ac:dyDescent="0.3">
      <c r="A5">
        <v>2021</v>
      </c>
      <c r="B5" s="1">
        <v>256083</v>
      </c>
      <c r="C5" s="1">
        <v>843545</v>
      </c>
      <c r="D5" s="1">
        <v>-2083</v>
      </c>
      <c r="E5">
        <v>569</v>
      </c>
      <c r="F5" s="1">
        <v>-2625</v>
      </c>
      <c r="G5" s="1">
        <f>B4-B5-D5-E5-F5</f>
        <v>0</v>
      </c>
    </row>
    <row r="6" spans="1:20" x14ac:dyDescent="0.3">
      <c r="A6">
        <v>2020</v>
      </c>
      <c r="B6" s="1">
        <v>258685</v>
      </c>
      <c r="C6" s="1">
        <v>848829</v>
      </c>
      <c r="D6" s="1">
        <v>-2394</v>
      </c>
      <c r="E6" s="1">
        <v>-656</v>
      </c>
      <c r="F6" s="1">
        <v>448</v>
      </c>
      <c r="G6" s="1">
        <f t="shared" ref="G6:G11" si="1">B5-B6-D6-E6-F6</f>
        <v>0</v>
      </c>
    </row>
    <row r="7" spans="1:20" x14ac:dyDescent="0.3">
      <c r="A7">
        <v>2019</v>
      </c>
      <c r="B7" s="1">
        <v>259961</v>
      </c>
      <c r="C7" s="1">
        <v>851057</v>
      </c>
      <c r="D7" s="1">
        <v>-1808</v>
      </c>
      <c r="E7" s="1">
        <v>544</v>
      </c>
      <c r="F7" s="1">
        <v>-12</v>
      </c>
      <c r="G7" s="1">
        <f t="shared" si="1"/>
        <v>0</v>
      </c>
      <c r="K7" s="108"/>
      <c r="L7" s="109"/>
      <c r="M7" s="109"/>
      <c r="N7" s="109"/>
      <c r="O7" s="109"/>
      <c r="P7" s="109"/>
      <c r="Q7" s="109"/>
      <c r="R7" s="109"/>
      <c r="S7" s="109"/>
      <c r="T7" s="109"/>
    </row>
    <row r="8" spans="1:20" x14ac:dyDescent="0.3">
      <c r="A8">
        <v>2018</v>
      </c>
      <c r="B8" s="1">
        <v>260585</v>
      </c>
      <c r="C8" s="1">
        <v>850607</v>
      </c>
      <c r="D8" s="1">
        <v>-1708</v>
      </c>
      <c r="E8">
        <v>1084</v>
      </c>
      <c r="F8" s="1"/>
      <c r="G8" s="1">
        <f t="shared" si="1"/>
        <v>0</v>
      </c>
      <c r="K8" s="108"/>
      <c r="L8" s="109"/>
      <c r="M8" s="109"/>
      <c r="N8" s="109"/>
      <c r="O8" s="109"/>
      <c r="P8" s="109"/>
      <c r="Q8" s="109"/>
      <c r="R8" s="109"/>
      <c r="S8" s="109"/>
      <c r="T8" s="109"/>
    </row>
    <row r="9" spans="1:20" x14ac:dyDescent="0.3">
      <c r="A9">
        <v>2017</v>
      </c>
      <c r="B9" s="1">
        <v>261138</v>
      </c>
      <c r="C9" s="1">
        <v>851353</v>
      </c>
      <c r="D9" s="1">
        <v>-1830</v>
      </c>
      <c r="E9">
        <v>1277</v>
      </c>
      <c r="F9" s="1"/>
      <c r="G9" s="1">
        <f t="shared" si="1"/>
        <v>0</v>
      </c>
      <c r="K9" s="108"/>
      <c r="L9" s="109"/>
      <c r="M9" s="109"/>
      <c r="N9" s="109"/>
      <c r="O9" s="109"/>
      <c r="P9" s="109"/>
      <c r="Q9" s="109"/>
      <c r="R9" s="109"/>
      <c r="S9" s="109"/>
      <c r="T9" s="109"/>
    </row>
    <row r="10" spans="1:20" x14ac:dyDescent="0.3">
      <c r="A10">
        <v>2016</v>
      </c>
      <c r="B10" s="1">
        <v>262102</v>
      </c>
      <c r="C10" s="1">
        <v>852177</v>
      </c>
      <c r="D10" s="1">
        <v>-1779</v>
      </c>
      <c r="E10">
        <v>815</v>
      </c>
      <c r="F10" s="1"/>
      <c r="G10" s="1">
        <f t="shared" si="1"/>
        <v>0</v>
      </c>
      <c r="K10" s="108"/>
      <c r="L10" s="109"/>
      <c r="M10" s="109"/>
      <c r="N10" s="109"/>
      <c r="O10" s="109"/>
      <c r="P10" s="109"/>
      <c r="Q10" s="109"/>
      <c r="R10" s="109"/>
      <c r="S10" s="109"/>
      <c r="T10" s="109"/>
    </row>
    <row r="11" spans="1:20" x14ac:dyDescent="0.3">
      <c r="A11">
        <v>2015</v>
      </c>
      <c r="B11" s="1">
        <v>262970</v>
      </c>
      <c r="C11" s="1">
        <v>854245</v>
      </c>
      <c r="D11" s="1">
        <v>-1804</v>
      </c>
      <c r="E11">
        <v>936</v>
      </c>
      <c r="F11" s="1"/>
      <c r="G11" s="1">
        <f t="shared" si="1"/>
        <v>0</v>
      </c>
    </row>
    <row r="30" spans="1:6" x14ac:dyDescent="0.3">
      <c r="A30" s="110"/>
      <c r="B30" s="108"/>
      <c r="C30" s="108"/>
      <c r="D30" s="108"/>
    </row>
    <row r="31" spans="1:6" x14ac:dyDescent="0.3">
      <c r="A31" s="110"/>
      <c r="B31" s="108"/>
      <c r="C31" s="108"/>
      <c r="D31" s="108"/>
    </row>
    <row r="32" spans="1:6" x14ac:dyDescent="0.3">
      <c r="A32" s="110"/>
      <c r="B32" s="108"/>
      <c r="C32" s="108"/>
      <c r="D32" s="108"/>
      <c r="F32" s="108"/>
    </row>
    <row r="33" spans="1:6" x14ac:dyDescent="0.3">
      <c r="A33" s="110"/>
      <c r="B33" s="108"/>
      <c r="C33" s="108"/>
      <c r="D33" s="108"/>
      <c r="F33" s="108"/>
    </row>
    <row r="34" spans="1:6" x14ac:dyDescent="0.3">
      <c r="A34" s="110"/>
      <c r="B34" s="108"/>
      <c r="C34" s="108"/>
      <c r="D34" s="108"/>
      <c r="F34" s="108"/>
    </row>
    <row r="35" spans="1:6" x14ac:dyDescent="0.3">
      <c r="A35" s="110"/>
      <c r="B35" s="108"/>
      <c r="C35" s="108"/>
      <c r="D35" s="108"/>
      <c r="F35" s="108"/>
    </row>
    <row r="36" spans="1:6" x14ac:dyDescent="0.3">
      <c r="A36" s="110"/>
      <c r="B36" s="108"/>
      <c r="C36" s="108"/>
      <c r="D36" s="108"/>
      <c r="F36" s="108"/>
    </row>
    <row r="37" spans="1:6" x14ac:dyDescent="0.3">
      <c r="A37" s="110"/>
      <c r="B37" s="108"/>
      <c r="C37" s="108"/>
      <c r="D37" s="108"/>
      <c r="F37" s="108"/>
    </row>
    <row r="38" spans="1:6" x14ac:dyDescent="0.3">
      <c r="A38" s="110"/>
      <c r="B38" s="108"/>
      <c r="C38" s="108"/>
      <c r="D38" s="108"/>
      <c r="F38" s="108"/>
    </row>
    <row r="39" spans="1:6" x14ac:dyDescent="0.3">
      <c r="F39" s="108"/>
    </row>
    <row r="40" spans="1:6" x14ac:dyDescent="0.3">
      <c r="F40" s="108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pane xSplit="1" topLeftCell="E1" activePane="topRight" state="frozen"/>
      <selection pane="topRight" activeCell="N1" sqref="N1:P1048576"/>
    </sheetView>
  </sheetViews>
  <sheetFormatPr defaultRowHeight="14.4" x14ac:dyDescent="0.3"/>
  <cols>
    <col min="1" max="1" width="55.6640625" bestFit="1" customWidth="1"/>
    <col min="2" max="4" width="14.109375" bestFit="1" customWidth="1"/>
    <col min="5" max="6" width="12.44140625" bestFit="1" customWidth="1"/>
    <col min="7" max="9" width="14.109375" bestFit="1" customWidth="1"/>
    <col min="10" max="10" width="8.44140625" customWidth="1"/>
    <col min="11" max="11" width="6.5546875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385</v>
      </c>
      <c r="M1" s="42" t="s">
        <v>269</v>
      </c>
    </row>
    <row r="2" spans="1:13" x14ac:dyDescent="0.3">
      <c r="A2" s="55" t="s">
        <v>20</v>
      </c>
      <c r="B2" s="56">
        <f>Entrate_Uscite!B3</f>
        <v>377027357.00999999</v>
      </c>
      <c r="C2" s="56">
        <f>Entrate_Uscite!E3</f>
        <v>392076986.08999997</v>
      </c>
      <c r="D2" s="56">
        <f>Entrate_Uscite!H3</f>
        <v>394882863.69999999</v>
      </c>
      <c r="E2" s="56">
        <f>Entrate_Uscite!K3</f>
        <v>405304002.49000001</v>
      </c>
      <c r="F2" s="56">
        <f>Entrate_Uscite!N3</f>
        <v>306933894.38</v>
      </c>
      <c r="G2" s="56">
        <f>Entrate_Uscite!Q3</f>
        <v>335834830.19</v>
      </c>
      <c r="H2" s="56">
        <f>Entrate_Uscite!T3</f>
        <v>407438821.19</v>
      </c>
      <c r="I2" s="56">
        <f>Entrate_Uscite!W3</f>
        <v>435523716.81</v>
      </c>
      <c r="J2" s="56">
        <f>I2/I$21*100</f>
        <v>45.315825017357909</v>
      </c>
      <c r="K2" s="57">
        <f>IF(H2&gt;0,I2/H2*100-100,"-")</f>
        <v>6.8930337904407111</v>
      </c>
      <c r="L2" s="56">
        <f>Entrate_Uscite!X3</f>
        <v>274606094.64999998</v>
      </c>
      <c r="M2" s="58">
        <f>IF(I2&gt;0,L2/I2*100,"-")</f>
        <v>63.051926692157302</v>
      </c>
    </row>
    <row r="3" spans="1:13" x14ac:dyDescent="0.3">
      <c r="A3" s="55" t="s">
        <v>21</v>
      </c>
      <c r="B3" s="56">
        <f>Entrate_Uscite!B4</f>
        <v>88387504.790000007</v>
      </c>
      <c r="C3" s="56">
        <f>Entrate_Uscite!E4</f>
        <v>90794231.140000001</v>
      </c>
      <c r="D3" s="56">
        <f>Entrate_Uscite!H4</f>
        <v>97637017</v>
      </c>
      <c r="E3" s="56">
        <f>Entrate_Uscite!K4</f>
        <v>160159773.88</v>
      </c>
      <c r="F3" s="56">
        <f>Entrate_Uscite!N4</f>
        <v>276186543.19</v>
      </c>
      <c r="G3" s="56">
        <f>Entrate_Uscite!Q4</f>
        <v>280550225.54000002</v>
      </c>
      <c r="H3" s="56">
        <f>Entrate_Uscite!T4</f>
        <v>222908005.12</v>
      </c>
      <c r="I3" s="56">
        <f>Entrate_Uscite!W4</f>
        <v>208654766.49000001</v>
      </c>
      <c r="J3" s="56">
        <f t="shared" ref="J3:J21" si="0">I3/I$21*100</f>
        <v>21.710328329658974</v>
      </c>
      <c r="K3" s="57">
        <f t="shared" ref="K3:K21" si="1">IF(H3&gt;0,I3/H3*100-100,"-")</f>
        <v>-6.3942246588797502</v>
      </c>
      <c r="L3" s="56">
        <f>Entrate_Uscite!X4</f>
        <v>140250675.94999999</v>
      </c>
      <c r="M3" s="58">
        <f t="shared" ref="M3:M21" si="2">IF(I3&gt;0,L3/I3*100,"-")</f>
        <v>67.216617338440557</v>
      </c>
    </row>
    <row r="4" spans="1:13" x14ac:dyDescent="0.3">
      <c r="A4" s="55" t="s">
        <v>22</v>
      </c>
      <c r="B4" s="56">
        <f>Entrate_Uscite!B5</f>
        <v>152259127.25</v>
      </c>
      <c r="C4" s="56">
        <f>Entrate_Uscite!E5</f>
        <v>162950065.72</v>
      </c>
      <c r="D4" s="56">
        <f>Entrate_Uscite!H5</f>
        <v>167054460.28</v>
      </c>
      <c r="E4" s="56">
        <f>Entrate_Uscite!K5</f>
        <v>169345772.75</v>
      </c>
      <c r="F4" s="56">
        <f>Entrate_Uscite!N5</f>
        <v>91819621.819999993</v>
      </c>
      <c r="G4" s="56">
        <f>Entrate_Uscite!Q5</f>
        <v>104741978.79000001</v>
      </c>
      <c r="H4" s="56">
        <f>Entrate_Uscite!T5</f>
        <v>139848220.62</v>
      </c>
      <c r="I4" s="56">
        <f>Entrate_Uscite!W5</f>
        <v>174738272.69</v>
      </c>
      <c r="J4" s="56">
        <f t="shared" si="0"/>
        <v>18.18134967953965</v>
      </c>
      <c r="K4" s="57">
        <f t="shared" si="1"/>
        <v>24.948513406405311</v>
      </c>
      <c r="L4" s="56">
        <f>Entrate_Uscite!X5</f>
        <v>140517606.93000001</v>
      </c>
      <c r="M4" s="58">
        <f t="shared" si="2"/>
        <v>80.416044388449308</v>
      </c>
    </row>
    <row r="5" spans="1:13" x14ac:dyDescent="0.3">
      <c r="A5" s="4" t="s">
        <v>31</v>
      </c>
      <c r="B5" s="43">
        <f>SUM(B2:B4)</f>
        <v>617673989.04999995</v>
      </c>
      <c r="C5" s="43">
        <f>SUM(C2:C4)</f>
        <v>645821282.94999993</v>
      </c>
      <c r="D5" s="43">
        <f>SUM(D2:D4)</f>
        <v>659574340.98000002</v>
      </c>
      <c r="E5" s="43">
        <f t="shared" ref="E5:I5" si="3">SUM(E2:E4)</f>
        <v>734809549.12</v>
      </c>
      <c r="F5" s="43">
        <f t="shared" si="3"/>
        <v>674940059.38999987</v>
      </c>
      <c r="G5" s="43">
        <f t="shared" ref="G5:H5" si="4">SUM(G2:G4)</f>
        <v>721127034.51999998</v>
      </c>
      <c r="H5" s="43">
        <f t="shared" si="4"/>
        <v>770195046.92999995</v>
      </c>
      <c r="I5" s="43">
        <f t="shared" si="3"/>
        <v>818916755.99000001</v>
      </c>
      <c r="J5" s="43">
        <f t="shared" si="0"/>
        <v>85.207503026556537</v>
      </c>
      <c r="K5" s="44">
        <f t="shared" si="1"/>
        <v>6.3258922858832989</v>
      </c>
      <c r="L5" s="43">
        <f>SUM(L2:L4)</f>
        <v>555374377.52999997</v>
      </c>
      <c r="M5" s="45">
        <f>IF(I5&gt;0,L5/I5*100,"-")</f>
        <v>67.818172417121929</v>
      </c>
    </row>
    <row r="6" spans="1:13" x14ac:dyDescent="0.3">
      <c r="A6" s="55" t="s">
        <v>23</v>
      </c>
      <c r="B6" s="56">
        <f>Entrate_Uscite!B6</f>
        <v>183867.43</v>
      </c>
      <c r="C6" s="56">
        <f>Entrate_Uscite!E6</f>
        <v>337155.44</v>
      </c>
      <c r="D6" s="56">
        <f>Entrate_Uscite!H6</f>
        <v>435075.14</v>
      </c>
      <c r="E6" s="56">
        <f>Entrate_Uscite!K6</f>
        <v>385587.68</v>
      </c>
      <c r="F6" s="56">
        <f>Entrate_Uscite!N6</f>
        <v>271925.14</v>
      </c>
      <c r="G6" s="56">
        <f>Entrate_Uscite!Q6</f>
        <v>360879.68</v>
      </c>
      <c r="H6" s="56">
        <f>Entrate_Uscite!T6</f>
        <v>201786.89</v>
      </c>
      <c r="I6" s="56">
        <f>Entrate_Uscite!W6</f>
        <v>135365.78</v>
      </c>
      <c r="J6" s="56">
        <f t="shared" si="0"/>
        <v>1.4084679577838596E-2</v>
      </c>
      <c r="K6" s="57">
        <f t="shared" si="1"/>
        <v>-32.916464493803346</v>
      </c>
      <c r="L6" s="56">
        <f>Entrate_Uscite!X6</f>
        <v>135365.78</v>
      </c>
      <c r="M6" s="58">
        <f t="shared" si="2"/>
        <v>100</v>
      </c>
    </row>
    <row r="7" spans="1:13" x14ac:dyDescent="0.3">
      <c r="A7" s="55" t="s">
        <v>24</v>
      </c>
      <c r="B7" s="56">
        <f>Entrate_Uscite!B7</f>
        <v>54665052.899999999</v>
      </c>
      <c r="C7" s="56">
        <f>Entrate_Uscite!E7</f>
        <v>28524380.609999999</v>
      </c>
      <c r="D7" s="56">
        <f>Entrate_Uscite!H7</f>
        <v>58239562.520000003</v>
      </c>
      <c r="E7" s="56">
        <f>Entrate_Uscite!K7</f>
        <v>37040008.539999999</v>
      </c>
      <c r="F7" s="56">
        <f>Entrate_Uscite!N7</f>
        <v>76654284.829999998</v>
      </c>
      <c r="G7" s="56">
        <f>Entrate_Uscite!Q7</f>
        <v>89151514.900000006</v>
      </c>
      <c r="H7" s="56">
        <f>Entrate_Uscite!T7</f>
        <v>119157572.19</v>
      </c>
      <c r="I7" s="56">
        <f>Entrate_Uscite!W7</f>
        <v>118722316.81</v>
      </c>
      <c r="J7" s="56">
        <f t="shared" si="0"/>
        <v>12.352943195891095</v>
      </c>
      <c r="K7" s="57">
        <f t="shared" si="1"/>
        <v>-0.36527714689081847</v>
      </c>
      <c r="L7" s="56">
        <f>Entrate_Uscite!X7</f>
        <v>28508229.25</v>
      </c>
      <c r="M7" s="58">
        <f t="shared" si="2"/>
        <v>24.01252773362215</v>
      </c>
    </row>
    <row r="8" spans="1:13" x14ac:dyDescent="0.3">
      <c r="A8" s="55" t="s">
        <v>25</v>
      </c>
      <c r="B8" s="56">
        <f>Entrate_Uscite!B8</f>
        <v>3209.01</v>
      </c>
      <c r="C8" s="56">
        <f>Entrate_Uscite!E8</f>
        <v>0</v>
      </c>
      <c r="D8" s="56">
        <f>Entrate_Uscite!H8</f>
        <v>446500</v>
      </c>
      <c r="E8" s="56">
        <f>Entrate_Uscite!K8</f>
        <v>0</v>
      </c>
      <c r="F8" s="56">
        <f>Entrate_Uscite!N8</f>
        <v>0</v>
      </c>
      <c r="G8" s="56">
        <f>Entrate_Uscite!Q8</f>
        <v>0</v>
      </c>
      <c r="H8" s="56">
        <f>Entrate_Uscite!T8</f>
        <v>0</v>
      </c>
      <c r="I8" s="56">
        <f>Entrate_Uscite!W8</f>
        <v>0</v>
      </c>
      <c r="J8" s="56">
        <f t="shared" si="0"/>
        <v>0</v>
      </c>
      <c r="K8" s="57" t="str">
        <f t="shared" si="1"/>
        <v>-</v>
      </c>
      <c r="L8" s="56">
        <f>Entrate_Uscite!X8</f>
        <v>0</v>
      </c>
      <c r="M8" s="58" t="str">
        <f t="shared" si="2"/>
        <v>-</v>
      </c>
    </row>
    <row r="9" spans="1:13" x14ac:dyDescent="0.3">
      <c r="A9" s="55" t="s">
        <v>26</v>
      </c>
      <c r="B9" s="56">
        <f>Entrate_Uscite!B9</f>
        <v>11758846.35</v>
      </c>
      <c r="C9" s="56">
        <f>Entrate_Uscite!E9</f>
        <v>37654508.880000003</v>
      </c>
      <c r="D9" s="56">
        <f>Entrate_Uscite!H9</f>
        <v>14326081.15</v>
      </c>
      <c r="E9" s="56">
        <f>Entrate_Uscite!K9</f>
        <v>7540377.6399999997</v>
      </c>
      <c r="F9" s="56">
        <f>Entrate_Uscite!N9</f>
        <v>467979.3</v>
      </c>
      <c r="G9" s="56">
        <f>Entrate_Uscite!Q9</f>
        <v>5021263.34</v>
      </c>
      <c r="H9" s="56">
        <f>Entrate_Uscite!T9</f>
        <v>13362083.01</v>
      </c>
      <c r="I9" s="56">
        <f>Entrate_Uscite!W9</f>
        <v>1489570.92</v>
      </c>
      <c r="J9" s="56">
        <f t="shared" si="0"/>
        <v>0.15498842555826331</v>
      </c>
      <c r="K9" s="57">
        <f t="shared" si="1"/>
        <v>-88.852255154490322</v>
      </c>
      <c r="L9" s="56">
        <f>Entrate_Uscite!X9</f>
        <v>1483430.92</v>
      </c>
      <c r="M9" s="58">
        <f t="shared" si="2"/>
        <v>99.587800760772112</v>
      </c>
    </row>
    <row r="10" spans="1:13" x14ac:dyDescent="0.3">
      <c r="A10" s="55" t="s">
        <v>27</v>
      </c>
      <c r="B10" s="56">
        <f>Entrate_Uscite!B10</f>
        <v>14999768.75</v>
      </c>
      <c r="C10" s="56">
        <f>Entrate_Uscite!E10</f>
        <v>12331045.560000001</v>
      </c>
      <c r="D10" s="56">
        <f>Entrate_Uscite!H10</f>
        <v>11351213.1</v>
      </c>
      <c r="E10" s="56">
        <f>Entrate_Uscite!K10</f>
        <v>19842597.670000002</v>
      </c>
      <c r="F10" s="56">
        <f>Entrate_Uscite!N10</f>
        <v>8149959.5999999996</v>
      </c>
      <c r="G10" s="56">
        <f>Entrate_Uscite!Q10</f>
        <v>12925779.289999999</v>
      </c>
      <c r="H10" s="56">
        <f>Entrate_Uscite!T10</f>
        <v>10923680.119999999</v>
      </c>
      <c r="I10" s="56">
        <f>Entrate_Uscite!W10</f>
        <v>8382892.6799999997</v>
      </c>
      <c r="J10" s="56">
        <f t="shared" si="0"/>
        <v>0.8722319432075718</v>
      </c>
      <c r="K10" s="57">
        <f t="shared" si="1"/>
        <v>-23.259445645502836</v>
      </c>
      <c r="L10" s="56">
        <f>Entrate_Uscite!X10</f>
        <v>6995267.1600000001</v>
      </c>
      <c r="M10" s="58">
        <f t="shared" si="2"/>
        <v>83.446936839468165</v>
      </c>
    </row>
    <row r="11" spans="1:13" x14ac:dyDescent="0.3">
      <c r="A11" s="4" t="s">
        <v>32</v>
      </c>
      <c r="B11" s="46">
        <f>SUM(B6:B10)</f>
        <v>81610744.439999998</v>
      </c>
      <c r="C11" s="46">
        <f>SUM(C6:C10)</f>
        <v>78847090.49000001</v>
      </c>
      <c r="D11" s="46">
        <f>SUM(D6:D10)</f>
        <v>84798431.909999996</v>
      </c>
      <c r="E11" s="46">
        <f t="shared" ref="E11:I11" si="5">SUM(E6:E10)</f>
        <v>64808571.530000001</v>
      </c>
      <c r="F11" s="46">
        <f t="shared" si="5"/>
        <v>85544148.86999999</v>
      </c>
      <c r="G11" s="46">
        <f t="shared" ref="G11" si="6">SUM(G6:G10)</f>
        <v>107459437.21000001</v>
      </c>
      <c r="H11" s="46">
        <f t="shared" ref="H11" si="7">SUM(H6:H10)</f>
        <v>143645122.21000001</v>
      </c>
      <c r="I11" s="46">
        <f t="shared" si="5"/>
        <v>128730146.19</v>
      </c>
      <c r="J11" s="46">
        <f t="shared" si="0"/>
        <v>13.394248244234769</v>
      </c>
      <c r="K11" s="44">
        <f t="shared" si="1"/>
        <v>-10.383210923232937</v>
      </c>
      <c r="L11" s="46">
        <f>SUM(L6:L10)</f>
        <v>37122293.109999999</v>
      </c>
      <c r="M11" s="45">
        <f>IF(I11&gt;0,L11/I11*100,"-")</f>
        <v>28.837295853924644</v>
      </c>
    </row>
    <row r="12" spans="1:13" x14ac:dyDescent="0.3">
      <c r="A12" s="55" t="s">
        <v>28</v>
      </c>
      <c r="B12" s="56">
        <f>Entrate_Uscite!B11</f>
        <v>3380499.95</v>
      </c>
      <c r="C12" s="56">
        <f>Entrate_Uscite!E11</f>
        <v>48122.68</v>
      </c>
      <c r="D12" s="56">
        <f>Entrate_Uscite!H11</f>
        <v>333450</v>
      </c>
      <c r="E12" s="56">
        <f>Entrate_Uscite!K11</f>
        <v>0</v>
      </c>
      <c r="F12" s="56">
        <f>Entrate_Uscite!N11</f>
        <v>20200</v>
      </c>
      <c r="G12" s="56">
        <f>Entrate_Uscite!Q11</f>
        <v>0</v>
      </c>
      <c r="H12" s="56">
        <f>Entrate_Uscite!T11</f>
        <v>1526084</v>
      </c>
      <c r="I12" s="56">
        <f>Entrate_Uscite!W11</f>
        <v>0</v>
      </c>
      <c r="J12" s="56">
        <f t="shared" si="0"/>
        <v>0</v>
      </c>
      <c r="K12" s="57">
        <f t="shared" si="1"/>
        <v>-100</v>
      </c>
      <c r="L12" s="56">
        <f>Entrate_Uscite!X11</f>
        <v>0</v>
      </c>
      <c r="M12" s="58" t="str">
        <f t="shared" si="2"/>
        <v>-</v>
      </c>
    </row>
    <row r="13" spans="1:13" x14ac:dyDescent="0.3">
      <c r="A13" s="55" t="s">
        <v>29</v>
      </c>
      <c r="B13" s="56">
        <f>Entrate_Uscite!B12</f>
        <v>0</v>
      </c>
      <c r="C13" s="56">
        <f>Entrate_Uscite!E12</f>
        <v>8614.09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>Entrate_Uscite!Q12</f>
        <v>0.16</v>
      </c>
      <c r="H13" s="56">
        <f>Entrate_Uscite!T12</f>
        <v>0</v>
      </c>
      <c r="I13" s="56">
        <f>Entrate_Uscite!W12</f>
        <v>0</v>
      </c>
      <c r="J13" s="56">
        <f t="shared" si="0"/>
        <v>0</v>
      </c>
      <c r="K13" s="57" t="str">
        <f t="shared" si="1"/>
        <v>-</v>
      </c>
      <c r="L13" s="56">
        <f>Entrate_Uscite!X12</f>
        <v>0</v>
      </c>
      <c r="M13" s="58" t="str">
        <f t="shared" si="2"/>
        <v>-</v>
      </c>
    </row>
    <row r="14" spans="1:13" x14ac:dyDescent="0.3">
      <c r="A14" s="55" t="s">
        <v>30</v>
      </c>
      <c r="B14" s="56">
        <f>Entrate_Uscite!B13</f>
        <v>1883047.52</v>
      </c>
      <c r="C14" s="56">
        <f>Entrate_Uscite!E13</f>
        <v>1964939.25</v>
      </c>
      <c r="D14" s="56">
        <f>Entrate_Uscite!H13</f>
        <v>3802822.61</v>
      </c>
      <c r="E14" s="56">
        <f>Entrate_Uscite!K13</f>
        <v>8934788.8900000006</v>
      </c>
      <c r="F14" s="56">
        <f>Entrate_Uscite!N13</f>
        <v>768898.61</v>
      </c>
      <c r="G14" s="56">
        <f>Entrate_Uscite!Q13</f>
        <v>27959841.34</v>
      </c>
      <c r="H14" s="56">
        <f>Entrate_Uscite!T13</f>
        <v>1800000</v>
      </c>
      <c r="I14" s="56">
        <f>Entrate_Uscite!W13</f>
        <v>12905961.25</v>
      </c>
      <c r="J14" s="56">
        <f t="shared" si="0"/>
        <v>1.3428528897794647</v>
      </c>
      <c r="K14" s="57">
        <f t="shared" si="1"/>
        <v>616.99784722222228</v>
      </c>
      <c r="L14" s="56">
        <f>Entrate_Uscite!X13</f>
        <v>10224471.25</v>
      </c>
      <c r="M14" s="58">
        <f t="shared" si="2"/>
        <v>79.22285718934728</v>
      </c>
    </row>
    <row r="15" spans="1:13" x14ac:dyDescent="0.3">
      <c r="A15" s="4" t="s">
        <v>33</v>
      </c>
      <c r="B15" s="43">
        <f>SUM(B12:B14)</f>
        <v>5263547.4700000007</v>
      </c>
      <c r="C15" s="43">
        <f>SUM(C12:C14)</f>
        <v>2021676.02</v>
      </c>
      <c r="D15" s="43">
        <f>SUM(D12:D14)</f>
        <v>4136272.61</v>
      </c>
      <c r="E15" s="43">
        <f t="shared" ref="E15:I15" si="8">SUM(E12:E14)</f>
        <v>8934788.8900000006</v>
      </c>
      <c r="F15" s="43">
        <f t="shared" si="8"/>
        <v>789098.61</v>
      </c>
      <c r="G15" s="43">
        <f t="shared" ref="G15" si="9">SUM(G12:G14)</f>
        <v>27959841.5</v>
      </c>
      <c r="H15" s="43">
        <f t="shared" ref="H15" si="10">SUM(H12:H14)</f>
        <v>3326084</v>
      </c>
      <c r="I15" s="43">
        <f t="shared" si="8"/>
        <v>12905961.25</v>
      </c>
      <c r="J15" s="43">
        <f t="shared" si="0"/>
        <v>1.3428528897794647</v>
      </c>
      <c r="K15" s="44">
        <f t="shared" si="1"/>
        <v>288.02270928815989</v>
      </c>
      <c r="L15" s="43">
        <f>SUM(L12:L14)</f>
        <v>10224471.25</v>
      </c>
      <c r="M15" s="45">
        <f t="shared" si="2"/>
        <v>79.22285718934728</v>
      </c>
    </row>
    <row r="16" spans="1:13" x14ac:dyDescent="0.3">
      <c r="A16" s="47" t="s">
        <v>348</v>
      </c>
      <c r="B16" s="48">
        <f>B5+B11+B15</f>
        <v>704548280.96000004</v>
      </c>
      <c r="C16" s="48">
        <f>C5+C11+C15</f>
        <v>726690049.45999992</v>
      </c>
      <c r="D16" s="48">
        <f>D5+D11+D15</f>
        <v>748509045.5</v>
      </c>
      <c r="E16" s="48">
        <f t="shared" ref="E16:I16" si="11">E5+E11+E15</f>
        <v>808552909.53999996</v>
      </c>
      <c r="F16" s="48">
        <f t="shared" si="11"/>
        <v>761273306.86999989</v>
      </c>
      <c r="G16" s="48">
        <f t="shared" ref="G16:H16" si="12">G5+G11+G15</f>
        <v>856546313.23000002</v>
      </c>
      <c r="H16" s="48">
        <f t="shared" si="12"/>
        <v>917166253.13999999</v>
      </c>
      <c r="I16" s="48">
        <f t="shared" si="11"/>
        <v>960552863.43000007</v>
      </c>
      <c r="J16" s="48">
        <f t="shared" si="0"/>
        <v>99.944604160570776</v>
      </c>
      <c r="K16" s="49">
        <f t="shared" si="1"/>
        <v>4.7305066165989302</v>
      </c>
      <c r="L16" s="48">
        <f>L5+L11+L15</f>
        <v>602721141.88999999</v>
      </c>
      <c r="M16" s="50">
        <f t="shared" si="2"/>
        <v>62.747316138100615</v>
      </c>
    </row>
    <row r="17" spans="1:13" x14ac:dyDescent="0.3">
      <c r="A17" s="4" t="s">
        <v>34</v>
      </c>
      <c r="B17" s="43">
        <f>Entrate_Uscite!B17</f>
        <v>0</v>
      </c>
      <c r="C17" s="43">
        <f>Entrate_Uscite!E17</f>
        <v>0</v>
      </c>
      <c r="D17" s="43">
        <f>Entrate_Uscite!H17</f>
        <v>0</v>
      </c>
      <c r="E17" s="43">
        <f>Entrate_Uscite!K17</f>
        <v>1026845.08</v>
      </c>
      <c r="F17" s="43">
        <f>Entrate_Uscite!N17</f>
        <v>16012549.4</v>
      </c>
      <c r="G17" s="43">
        <f>Entrate_Uscite!Q17</f>
        <v>3602132.29</v>
      </c>
      <c r="H17" s="43">
        <f>Entrate_Uscite!T17</f>
        <v>442142.37</v>
      </c>
      <c r="I17" s="43">
        <f>Entrate_Uscite!W17</f>
        <v>532401.25</v>
      </c>
      <c r="J17" s="43">
        <f t="shared" si="0"/>
        <v>5.5395839429217192E-2</v>
      </c>
      <c r="K17" s="44">
        <f t="shared" si="1"/>
        <v>20.413985658058522</v>
      </c>
      <c r="L17" s="43">
        <f>Entrate_Uscite!X17</f>
        <v>532401.25</v>
      </c>
      <c r="M17" s="45">
        <f t="shared" si="2"/>
        <v>100</v>
      </c>
    </row>
    <row r="18" spans="1:13" x14ac:dyDescent="0.3">
      <c r="A18" s="4" t="s">
        <v>35</v>
      </c>
      <c r="B18" s="43">
        <f>Entrate_Uscite!B18</f>
        <v>390319619.10000002</v>
      </c>
      <c r="C18" s="43">
        <f>Entrate_Uscite!E18</f>
        <v>153428146.12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>Entrate_Uscite!Q18</f>
        <v>0</v>
      </c>
      <c r="H18" s="43">
        <f>Entrate_Uscite!T18</f>
        <v>0</v>
      </c>
      <c r="I18" s="43">
        <f>Entrate_Uscite!W18</f>
        <v>0</v>
      </c>
      <c r="J18" s="43">
        <f t="shared" si="0"/>
        <v>0</v>
      </c>
      <c r="K18" s="44" t="str">
        <f t="shared" si="1"/>
        <v>-</v>
      </c>
      <c r="L18" s="43">
        <f>Entrate_Uscite!X18</f>
        <v>0</v>
      </c>
      <c r="M18" s="45" t="str">
        <f t="shared" si="2"/>
        <v>-</v>
      </c>
    </row>
    <row r="19" spans="1:13" x14ac:dyDescent="0.3">
      <c r="A19" s="4" t="s">
        <v>36</v>
      </c>
      <c r="B19" s="43">
        <f>Entrate_Uscite!B19</f>
        <v>160056195.28</v>
      </c>
      <c r="C19" s="43">
        <f>Entrate_Uscite!E19</f>
        <v>352109567.51999998</v>
      </c>
      <c r="D19" s="43">
        <f>Entrate_Uscite!H19</f>
        <v>527258900.12</v>
      </c>
      <c r="E19" s="43">
        <f>Entrate_Uscite!K19</f>
        <v>111574181.81</v>
      </c>
      <c r="F19" s="43">
        <f>Entrate_Uscite!N19</f>
        <v>165210472.11000001</v>
      </c>
      <c r="G19" s="43">
        <f>Entrate_Uscite!Q19</f>
        <v>145084714.40000001</v>
      </c>
      <c r="H19" s="43">
        <f>Entrate_Uscite!T19</f>
        <v>258316883.68000001</v>
      </c>
      <c r="I19" s="43">
        <f>Entrate_Uscite!W19</f>
        <v>125742373.87</v>
      </c>
      <c r="J19" s="43"/>
      <c r="K19" s="44">
        <f t="shared" si="1"/>
        <v>-51.322433098965291</v>
      </c>
      <c r="L19" s="43">
        <f>Entrate_Uscite!X19</f>
        <v>123034022.3</v>
      </c>
      <c r="M19" s="45">
        <f t="shared" si="2"/>
        <v>97.84611067324046</v>
      </c>
    </row>
    <row r="20" spans="1:13" x14ac:dyDescent="0.3">
      <c r="A20" s="47" t="s">
        <v>37</v>
      </c>
      <c r="B20" s="48">
        <f>B5+B11+B15+B17+B18+B19</f>
        <v>1254924095.3399999</v>
      </c>
      <c r="C20" s="48">
        <f>C5+C11+C15+C17+C18+C19</f>
        <v>1232227763.0999999</v>
      </c>
      <c r="D20" s="48">
        <f>D5+D11+D15+D17+D18+D19</f>
        <v>1275767945.6199999</v>
      </c>
      <c r="E20" s="48">
        <f t="shared" ref="E20:I20" si="13">E5+E11+E15+E17+E18+E19</f>
        <v>921153936.43000007</v>
      </c>
      <c r="F20" s="48">
        <f t="shared" si="13"/>
        <v>942496328.37999988</v>
      </c>
      <c r="G20" s="48">
        <f t="shared" ref="G20:H20" si="14">G5+G11+G15+G17+G18+G19</f>
        <v>1005233159.92</v>
      </c>
      <c r="H20" s="48">
        <f t="shared" si="14"/>
        <v>1175925279.1900001</v>
      </c>
      <c r="I20" s="48">
        <f t="shared" si="13"/>
        <v>1086827638.5500002</v>
      </c>
      <c r="J20" s="48"/>
      <c r="K20" s="49">
        <f t="shared" si="1"/>
        <v>-7.576811402623477</v>
      </c>
      <c r="L20" s="48">
        <f>L5+L11+L15+L17+L18+L19</f>
        <v>726287565.43999994</v>
      </c>
      <c r="M20" s="50">
        <f t="shared" si="2"/>
        <v>66.826379793670171</v>
      </c>
    </row>
    <row r="21" spans="1:13" x14ac:dyDescent="0.3">
      <c r="A21" s="38" t="s">
        <v>38</v>
      </c>
      <c r="B21" s="51">
        <f>B20-B19</f>
        <v>1094867900.0599999</v>
      </c>
      <c r="C21" s="51">
        <f>C20-C19</f>
        <v>880118195.57999992</v>
      </c>
      <c r="D21" s="51">
        <f>D20-D19</f>
        <v>748509045.49999988</v>
      </c>
      <c r="E21" s="51">
        <f t="shared" ref="E21:I21" si="15">E20-E19</f>
        <v>809579754.62000012</v>
      </c>
      <c r="F21" s="51">
        <f t="shared" si="15"/>
        <v>777285856.26999986</v>
      </c>
      <c r="G21" s="51">
        <f t="shared" ref="G21:H21" si="16">G20-G19</f>
        <v>860148445.51999998</v>
      </c>
      <c r="H21" s="51">
        <f t="shared" si="16"/>
        <v>917608395.50999999</v>
      </c>
      <c r="I21" s="51">
        <f t="shared" si="15"/>
        <v>961085264.68000019</v>
      </c>
      <c r="J21" s="51">
        <f t="shared" si="0"/>
        <v>100</v>
      </c>
      <c r="K21" s="52">
        <f t="shared" si="1"/>
        <v>4.7380635773102426</v>
      </c>
      <c r="L21" s="51">
        <f>L20-L19</f>
        <v>603253543.13999999</v>
      </c>
      <c r="M21" s="53">
        <f t="shared" si="2"/>
        <v>62.767952575035821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pane xSplit="1" topLeftCell="B1" activePane="topRight" state="frozen"/>
      <selection pane="topRight" activeCell="F10" sqref="F10"/>
    </sheetView>
  </sheetViews>
  <sheetFormatPr defaultRowHeight="14.4" x14ac:dyDescent="0.3"/>
  <cols>
    <col min="1" max="1" width="50.6640625" bestFit="1" customWidth="1"/>
    <col min="2" max="4" width="12.44140625" bestFit="1" customWidth="1"/>
    <col min="5" max="6" width="14.33203125" bestFit="1" customWidth="1"/>
    <col min="7" max="7" width="8.5546875" customWidth="1"/>
    <col min="8" max="8" width="6.5546875" bestFit="1" customWidth="1"/>
    <col min="9" max="9" width="12.44140625" bestFit="1" customWidth="1"/>
    <col min="10" max="10" width="7" bestFit="1" customWidth="1"/>
    <col min="11" max="13" width="14.109375" bestFit="1" customWidth="1"/>
  </cols>
  <sheetData>
    <row r="1" spans="1:13" ht="28.8" x14ac:dyDescent="0.3">
      <c r="A1" s="41"/>
      <c r="B1" s="42">
        <v>2019</v>
      </c>
      <c r="C1" s="42">
        <v>2020</v>
      </c>
      <c r="D1" s="42">
        <v>2021</v>
      </c>
      <c r="E1" s="42">
        <v>2022</v>
      </c>
      <c r="F1" s="42">
        <v>2023</v>
      </c>
      <c r="G1" s="54" t="s">
        <v>297</v>
      </c>
      <c r="H1" s="42" t="s">
        <v>233</v>
      </c>
      <c r="I1" s="54" t="s">
        <v>386</v>
      </c>
      <c r="J1" s="42" t="s">
        <v>339</v>
      </c>
      <c r="K1" s="42">
        <v>2016</v>
      </c>
      <c r="L1" s="42">
        <v>2017</v>
      </c>
      <c r="M1" s="42">
        <v>2018</v>
      </c>
    </row>
    <row r="2" spans="1:13" x14ac:dyDescent="0.3">
      <c r="A2" s="59" t="s">
        <v>270</v>
      </c>
      <c r="B2" s="56">
        <f>Entrate_Uscite!K23</f>
        <v>112905297.67</v>
      </c>
      <c r="C2" s="56">
        <f>Entrate_Uscite!N23</f>
        <v>106972606.58</v>
      </c>
      <c r="D2" s="56">
        <f>Entrate_Uscite!Q23</f>
        <v>105593828.55</v>
      </c>
      <c r="E2" s="56">
        <f>Entrate_Uscite!T23</f>
        <v>109895852</v>
      </c>
      <c r="F2" s="56">
        <f>Entrate_Uscite!W23</f>
        <v>107250434</v>
      </c>
      <c r="G2" s="56">
        <f>F2/F$31*100</f>
        <v>11.308043818951129</v>
      </c>
      <c r="H2" s="57">
        <f>IF(E2&gt;0,F2/E2*100-100,"-")</f>
        <v>-2.4072045958568111</v>
      </c>
      <c r="I2" s="56">
        <f>Entrate_Uscite!X23</f>
        <v>103823032.06999999</v>
      </c>
      <c r="J2" s="58">
        <f>IF(F2&gt;0,I2/F2*100,"-")</f>
        <v>96.804300176538206</v>
      </c>
      <c r="K2" s="56">
        <f>Entrate_Uscite!B23</f>
        <v>113273899.25</v>
      </c>
      <c r="L2" s="56">
        <f>Entrate_Uscite!E23</f>
        <v>106921638.08</v>
      </c>
      <c r="M2" s="56">
        <f>Entrate_Uscite!H23</f>
        <v>113307930.02</v>
      </c>
    </row>
    <row r="3" spans="1:13" x14ac:dyDescent="0.3">
      <c r="A3" s="59" t="s">
        <v>271</v>
      </c>
      <c r="B3" s="56">
        <f>Entrate_Uscite!K24</f>
        <v>17322696.050000001</v>
      </c>
      <c r="C3" s="56">
        <f>Entrate_Uscite!N24</f>
        <v>13753355.949999999</v>
      </c>
      <c r="D3" s="56">
        <f>Entrate_Uscite!Q24</f>
        <v>14033675.93</v>
      </c>
      <c r="E3" s="56">
        <f>Entrate_Uscite!T24</f>
        <v>18191188.199999999</v>
      </c>
      <c r="F3" s="56">
        <f>Entrate_Uscite!W24</f>
        <v>19828389.91</v>
      </c>
      <c r="G3" s="56">
        <f t="shared" ref="G3:G31" si="0">F3/F$31*100</f>
        <v>2.090623726161597</v>
      </c>
      <c r="H3" s="57">
        <f t="shared" ref="H3:H31" si="1">IF(E3&gt;0,F3/E3*100-100,"-")</f>
        <v>8.9999712608107814</v>
      </c>
      <c r="I3" s="56">
        <f>Entrate_Uscite!X24</f>
        <v>18954058.43</v>
      </c>
      <c r="J3" s="58">
        <f>IF(F3&gt;0,I3/F3*100,"-")</f>
        <v>95.590506924825746</v>
      </c>
      <c r="K3" s="56">
        <f>Entrate_Uscite!B24</f>
        <v>16394594.470000001</v>
      </c>
      <c r="L3" s="56">
        <f>Entrate_Uscite!E24</f>
        <v>18188506.920000002</v>
      </c>
      <c r="M3" s="56">
        <f>Entrate_Uscite!H24</f>
        <v>18256340.359999999</v>
      </c>
    </row>
    <row r="4" spans="1:13" x14ac:dyDescent="0.3">
      <c r="A4" s="59" t="s">
        <v>272</v>
      </c>
      <c r="B4" s="56">
        <f>Entrate_Uscite!K25</f>
        <v>379780055.81999999</v>
      </c>
      <c r="C4" s="56">
        <f>Entrate_Uscite!N25</f>
        <v>346528291.79000002</v>
      </c>
      <c r="D4" s="56">
        <f>Entrate_Uscite!Q25</f>
        <v>370263448.93000001</v>
      </c>
      <c r="E4" s="56">
        <f>Entrate_Uscite!T25</f>
        <v>451533457.38</v>
      </c>
      <c r="F4" s="56">
        <f>Entrate_Uscite!W25</f>
        <v>463998248.11000001</v>
      </c>
      <c r="G4" s="56">
        <f t="shared" si="0"/>
        <v>48.92206330413952</v>
      </c>
      <c r="H4" s="57">
        <f t="shared" si="1"/>
        <v>2.7605464282373049</v>
      </c>
      <c r="I4" s="56">
        <f>Entrate_Uscite!X25</f>
        <v>381807447.36000001</v>
      </c>
      <c r="J4" s="58">
        <f t="shared" ref="J4:J9" si="2">IF(F4&gt;0,I4/F4*100,"-")</f>
        <v>82.286398475686696</v>
      </c>
      <c r="K4" s="56">
        <f>Entrate_Uscite!B25</f>
        <v>371807499.82999998</v>
      </c>
      <c r="L4" s="56">
        <f>Entrate_Uscite!E25</f>
        <v>372002298.94999999</v>
      </c>
      <c r="M4" s="56">
        <f>Entrate_Uscite!H25</f>
        <v>380542581.82999998</v>
      </c>
    </row>
    <row r="5" spans="1:13" x14ac:dyDescent="0.3">
      <c r="A5" s="59" t="s">
        <v>273</v>
      </c>
      <c r="B5" s="56">
        <f>Entrate_Uscite!K26</f>
        <v>39107907.049999997</v>
      </c>
      <c r="C5" s="56">
        <f>Entrate_Uscite!N26</f>
        <v>57412121.810000002</v>
      </c>
      <c r="D5" s="56">
        <f>Entrate_Uscite!Q26</f>
        <v>74845052.730000004</v>
      </c>
      <c r="E5" s="56">
        <f>Entrate_Uscite!T26</f>
        <v>79293614.140000001</v>
      </c>
      <c r="F5" s="56">
        <f>Entrate_Uscite!W26</f>
        <v>53512764.350000001</v>
      </c>
      <c r="G5" s="56">
        <f t="shared" si="0"/>
        <v>5.6421653654381094</v>
      </c>
      <c r="H5" s="57">
        <f t="shared" si="1"/>
        <v>-32.513147583967594</v>
      </c>
      <c r="I5" s="56">
        <f>Entrate_Uscite!X26</f>
        <v>44129679.079999998</v>
      </c>
      <c r="J5" s="58">
        <f t="shared" si="2"/>
        <v>82.465706296482878</v>
      </c>
      <c r="K5" s="56">
        <f>Entrate_Uscite!B26</f>
        <v>27397327.460000001</v>
      </c>
      <c r="L5" s="56">
        <f>Entrate_Uscite!E26</f>
        <v>26964033.390000001</v>
      </c>
      <c r="M5" s="56">
        <f>Entrate_Uscite!H26</f>
        <v>31069693.239999998</v>
      </c>
    </row>
    <row r="6" spans="1:13" x14ac:dyDescent="0.3">
      <c r="A6" s="59" t="s">
        <v>274</v>
      </c>
      <c r="B6" s="56">
        <f>Entrate_Uscite!K27</f>
        <v>13461448.99</v>
      </c>
      <c r="C6" s="56">
        <f>Entrate_Uscite!N27</f>
        <v>13009417.51</v>
      </c>
      <c r="D6" s="56">
        <f>Entrate_Uscite!Q27</f>
        <v>12784388.779999999</v>
      </c>
      <c r="E6" s="56">
        <f>Entrate_Uscite!T27</f>
        <v>9818335.8900000006</v>
      </c>
      <c r="F6" s="56">
        <f>Entrate_Uscite!W27</f>
        <v>13928460.310000001</v>
      </c>
      <c r="G6" s="56">
        <f t="shared" si="0"/>
        <v>1.4685594607104493</v>
      </c>
      <c r="H6" s="57">
        <f t="shared" si="1"/>
        <v>41.861721436788201</v>
      </c>
      <c r="I6" s="56">
        <f>Entrate_Uscite!X27</f>
        <v>13928460.310000001</v>
      </c>
      <c r="J6" s="58">
        <f t="shared" si="2"/>
        <v>100</v>
      </c>
      <c r="K6" s="56">
        <f>Entrate_Uscite!B27</f>
        <v>17622345.18</v>
      </c>
      <c r="L6" s="56">
        <f>Entrate_Uscite!E27</f>
        <v>15922241.939999999</v>
      </c>
      <c r="M6" s="56">
        <f>Entrate_Uscite!H27</f>
        <v>15291210.23</v>
      </c>
    </row>
    <row r="7" spans="1:13" x14ac:dyDescent="0.3">
      <c r="A7" s="59" t="s">
        <v>275</v>
      </c>
      <c r="B7" s="56">
        <f>Entrate_Uscite!K28</f>
        <v>467321.83</v>
      </c>
      <c r="C7" s="56">
        <f>Entrate_Uscite!N28</f>
        <v>470756.94</v>
      </c>
      <c r="D7" s="56">
        <f>Entrate_Uscite!Q28</f>
        <v>471698.45</v>
      </c>
      <c r="E7" s="56">
        <f>Entrate_Uscite!T28</f>
        <v>493868.28</v>
      </c>
      <c r="F7" s="56">
        <f>Entrate_Uscite!W28</f>
        <v>542267.37</v>
      </c>
      <c r="G7" s="56">
        <f t="shared" si="0"/>
        <v>5.7174436996193276E-2</v>
      </c>
      <c r="H7" s="57">
        <f t="shared" si="1"/>
        <v>9.7999997084242665</v>
      </c>
      <c r="I7" s="56">
        <f>Entrate_Uscite!X28</f>
        <v>542267.37</v>
      </c>
      <c r="J7" s="58">
        <f t="shared" si="2"/>
        <v>100</v>
      </c>
      <c r="K7" s="56">
        <f>Entrate_Uscite!B28</f>
        <v>0</v>
      </c>
      <c r="L7" s="56">
        <f>Entrate_Uscite!E28</f>
        <v>462092.96</v>
      </c>
      <c r="M7" s="56">
        <f>Entrate_Uscite!H28</f>
        <v>466251.8</v>
      </c>
    </row>
    <row r="8" spans="1:13" x14ac:dyDescent="0.3">
      <c r="A8" s="59" t="s">
        <v>276</v>
      </c>
      <c r="B8" s="56">
        <f>Entrate_Uscite!K29</f>
        <v>838077.32</v>
      </c>
      <c r="C8" s="56">
        <f>Entrate_Uscite!N29</f>
        <v>1666000.98</v>
      </c>
      <c r="D8" s="56">
        <f>Entrate_Uscite!Q29</f>
        <v>899168.98</v>
      </c>
      <c r="E8" s="56">
        <f>Entrate_Uscite!T29</f>
        <v>1851654.55</v>
      </c>
      <c r="F8" s="56">
        <f>Entrate_Uscite!W29</f>
        <v>2006766.08</v>
      </c>
      <c r="G8" s="56">
        <f t="shared" si="0"/>
        <v>0.21158514628504707</v>
      </c>
      <c r="H8" s="57">
        <f t="shared" si="1"/>
        <v>8.3769151216678068</v>
      </c>
      <c r="I8" s="56">
        <f>Entrate_Uscite!X29</f>
        <v>1104629.5</v>
      </c>
      <c r="J8" s="58">
        <f t="shared" si="2"/>
        <v>55.045254701534517</v>
      </c>
      <c r="K8" s="56">
        <f>Entrate_Uscite!B29</f>
        <v>1162126.8899999999</v>
      </c>
      <c r="L8" s="56">
        <f>Entrate_Uscite!E29</f>
        <v>2600005.2799999998</v>
      </c>
      <c r="M8" s="56">
        <f>Entrate_Uscite!H29</f>
        <v>816241.58</v>
      </c>
    </row>
    <row r="9" spans="1:13" x14ac:dyDescent="0.3">
      <c r="A9" s="59" t="s">
        <v>277</v>
      </c>
      <c r="B9" s="56">
        <f>Entrate_Uscite!K30</f>
        <v>14184603.17</v>
      </c>
      <c r="C9" s="56">
        <f>Entrate_Uscite!N30</f>
        <v>13474409.59</v>
      </c>
      <c r="D9" s="56">
        <f>Entrate_Uscite!Q30</f>
        <v>11037527.27</v>
      </c>
      <c r="E9" s="56">
        <f>Entrate_Uscite!T30</f>
        <v>13466050.439999999</v>
      </c>
      <c r="F9" s="56">
        <f>Entrate_Uscite!W30</f>
        <v>10761962.380000001</v>
      </c>
      <c r="G9" s="56">
        <f t="shared" si="0"/>
        <v>1.1346969670159432</v>
      </c>
      <c r="H9" s="57">
        <f t="shared" si="1"/>
        <v>-20.080780716279563</v>
      </c>
      <c r="I9" s="56">
        <f>Entrate_Uscite!X30</f>
        <v>9509839.7400000002</v>
      </c>
      <c r="J9" s="58">
        <f t="shared" si="2"/>
        <v>88.365294397172946</v>
      </c>
      <c r="K9" s="56">
        <f>Entrate_Uscite!B30</f>
        <v>7717819.0999999996</v>
      </c>
      <c r="L9" s="56">
        <f>Entrate_Uscite!E30</f>
        <v>17369782.579999998</v>
      </c>
      <c r="M9" s="56">
        <f>Entrate_Uscite!H30</f>
        <v>15954014.949999999</v>
      </c>
    </row>
    <row r="10" spans="1:13" x14ac:dyDescent="0.3">
      <c r="A10" s="4" t="s">
        <v>282</v>
      </c>
      <c r="B10" s="43">
        <f t="shared" ref="B10:F10" si="3">SUM(B2:B9)</f>
        <v>578067407.89999998</v>
      </c>
      <c r="C10" s="43">
        <f t="shared" si="3"/>
        <v>553286961.15000021</v>
      </c>
      <c r="D10" s="43">
        <f t="shared" ref="D10:E10" si="4">SUM(D2:D9)</f>
        <v>589928789.62</v>
      </c>
      <c r="E10" s="43">
        <f t="shared" si="4"/>
        <v>684544020.88</v>
      </c>
      <c r="F10" s="43">
        <f t="shared" si="3"/>
        <v>671829292.50999999</v>
      </c>
      <c r="G10" s="43">
        <f t="shared" si="0"/>
        <v>70.834912225697991</v>
      </c>
      <c r="H10" s="44">
        <f t="shared" si="1"/>
        <v>-1.857401128660058</v>
      </c>
      <c r="I10" s="43">
        <f>SUM(I2:I9)</f>
        <v>573799413.86000001</v>
      </c>
      <c r="J10" s="45">
        <f t="shared" ref="J10:J17" si="5">IF(F10&gt;0,I10/F10*100,"-")</f>
        <v>85.408513778291265</v>
      </c>
      <c r="K10" s="43">
        <f>SUM(K2:K9)</f>
        <v>555375612.17999995</v>
      </c>
      <c r="L10" s="43">
        <f>SUM(L2:L9)</f>
        <v>560430600.10000002</v>
      </c>
      <c r="M10" s="43">
        <f>SUM(M2:M9)</f>
        <v>575704264.00999999</v>
      </c>
    </row>
    <row r="11" spans="1:13" x14ac:dyDescent="0.3">
      <c r="A11" s="59" t="s">
        <v>278</v>
      </c>
      <c r="B11" s="56">
        <f>Entrate_Uscite!K32</f>
        <v>88053207.420000002</v>
      </c>
      <c r="C11" s="56">
        <f>Entrate_Uscite!N32</f>
        <v>126708801.3</v>
      </c>
      <c r="D11" s="56">
        <f>Entrate_Uscite!Q32</f>
        <v>115728295.73999999</v>
      </c>
      <c r="E11" s="56">
        <f>Entrate_Uscite!T32</f>
        <v>111670405.84</v>
      </c>
      <c r="F11" s="56">
        <f>Entrate_Uscite!W32</f>
        <v>198359038.38</v>
      </c>
      <c r="G11" s="56">
        <f t="shared" si="0"/>
        <v>20.914159637676139</v>
      </c>
      <c r="H11" s="57">
        <f t="shared" si="1"/>
        <v>77.629011811962442</v>
      </c>
      <c r="I11" s="56">
        <f>Entrate_Uscite!X32</f>
        <v>149475641.96000001</v>
      </c>
      <c r="J11" s="58">
        <f t="shared" si="5"/>
        <v>75.356103347126947</v>
      </c>
      <c r="K11" s="56">
        <f>Entrate_Uscite!B32</f>
        <v>100775712.53</v>
      </c>
      <c r="L11" s="56">
        <f>Entrate_Uscite!E32</f>
        <v>54303235.359999999</v>
      </c>
      <c r="M11" s="56">
        <f>Entrate_Uscite!H32</f>
        <v>70262562.25</v>
      </c>
    </row>
    <row r="12" spans="1:13" x14ac:dyDescent="0.3">
      <c r="A12" s="59" t="s">
        <v>279</v>
      </c>
      <c r="B12" s="56">
        <f>Entrate_Uscite!K33</f>
        <v>6057273.7000000002</v>
      </c>
      <c r="C12" s="56">
        <f>Entrate_Uscite!N33</f>
        <v>15273468.26</v>
      </c>
      <c r="D12" s="56">
        <f>Entrate_Uscite!Q33</f>
        <v>16922849.940000001</v>
      </c>
      <c r="E12" s="56">
        <f>Entrate_Uscite!T33</f>
        <v>55195913.159999996</v>
      </c>
      <c r="F12" s="56">
        <f>Entrate_Uscite!W33</f>
        <v>26369263.41</v>
      </c>
      <c r="G12" s="56">
        <f t="shared" si="0"/>
        <v>2.7802664753202273</v>
      </c>
      <c r="H12" s="57">
        <f t="shared" si="1"/>
        <v>-52.226058234489763</v>
      </c>
      <c r="I12" s="56">
        <f>Entrate_Uscite!X33</f>
        <v>13882707.359999999</v>
      </c>
      <c r="J12" s="58">
        <f t="shared" si="5"/>
        <v>52.647308133511494</v>
      </c>
      <c r="K12" s="56">
        <f>Entrate_Uscite!B33</f>
        <v>7827589.5</v>
      </c>
      <c r="L12" s="56">
        <f>Entrate_Uscite!E33</f>
        <v>3692321.56</v>
      </c>
      <c r="M12" s="56">
        <f>Entrate_Uscite!H33</f>
        <v>4795097.4400000004</v>
      </c>
    </row>
    <row r="13" spans="1:13" x14ac:dyDescent="0.3">
      <c r="A13" s="59" t="s">
        <v>280</v>
      </c>
      <c r="B13" s="56">
        <f>Entrate_Uscite!K34</f>
        <v>0</v>
      </c>
      <c r="C13" s="56">
        <f>Entrate_Uscite!N34</f>
        <v>0</v>
      </c>
      <c r="D13" s="56">
        <f>Entrate_Uscite!Q34</f>
        <v>0</v>
      </c>
      <c r="E13" s="56">
        <f>Entrate_Uscite!T34</f>
        <v>0</v>
      </c>
      <c r="F13" s="56">
        <f>Entrate_Uscite!W34</f>
        <v>0</v>
      </c>
      <c r="G13" s="56">
        <f t="shared" si="0"/>
        <v>0</v>
      </c>
      <c r="H13" s="57" t="str">
        <f t="shared" si="1"/>
        <v>-</v>
      </c>
      <c r="I13" s="56">
        <f>Entrate_Uscite!X34</f>
        <v>0</v>
      </c>
      <c r="J13" s="58" t="str">
        <f t="shared" si="5"/>
        <v>-</v>
      </c>
      <c r="K13" s="56">
        <f>Entrate_Uscite!B34</f>
        <v>0</v>
      </c>
      <c r="L13" s="56">
        <f>Entrate_Uscite!E34</f>
        <v>0</v>
      </c>
      <c r="M13" s="56">
        <f>Entrate_Uscite!H34</f>
        <v>0</v>
      </c>
    </row>
    <row r="14" spans="1:13" x14ac:dyDescent="0.3">
      <c r="A14" s="59" t="s">
        <v>281</v>
      </c>
      <c r="B14" s="56">
        <f>Entrate_Uscite!K35</f>
        <v>442637.6</v>
      </c>
      <c r="C14" s="56">
        <f>Entrate_Uscite!N35</f>
        <v>263609.28999999998</v>
      </c>
      <c r="D14" s="56">
        <f>Entrate_Uscite!Q35</f>
        <v>1911029.62</v>
      </c>
      <c r="E14" s="56">
        <f>Entrate_Uscite!T35</f>
        <v>303000</v>
      </c>
      <c r="F14" s="56">
        <f>Entrate_Uscite!W35</f>
        <v>888129.52</v>
      </c>
      <c r="G14" s="56">
        <f t="shared" si="0"/>
        <v>9.3640716913686653E-2</v>
      </c>
      <c r="H14" s="57">
        <f t="shared" si="1"/>
        <v>193.11205280528054</v>
      </c>
      <c r="I14" s="56">
        <f>Entrate_Uscite!X35</f>
        <v>885097.52</v>
      </c>
      <c r="J14" s="58">
        <f t="shared" si="5"/>
        <v>99.658608352529484</v>
      </c>
      <c r="K14" s="56">
        <f>Entrate_Uscite!B35</f>
        <v>746687.05</v>
      </c>
      <c r="L14" s="56">
        <f>Entrate_Uscite!E35</f>
        <v>711620.97</v>
      </c>
      <c r="M14" s="56">
        <f>Entrate_Uscite!H35</f>
        <v>877521.34</v>
      </c>
    </row>
    <row r="15" spans="1:13" x14ac:dyDescent="0.3">
      <c r="A15" s="4" t="s">
        <v>283</v>
      </c>
      <c r="B15" s="46">
        <f t="shared" ref="B15:F15" si="6">SUM(B11:B14)</f>
        <v>94553118.719999999</v>
      </c>
      <c r="C15" s="46">
        <f t="shared" si="6"/>
        <v>142245878.84999999</v>
      </c>
      <c r="D15" s="46">
        <f t="shared" ref="D15:E15" si="7">SUM(D11:D14)</f>
        <v>134562175.29999998</v>
      </c>
      <c r="E15" s="46">
        <f t="shared" si="7"/>
        <v>167169319</v>
      </c>
      <c r="F15" s="46">
        <f t="shared" si="6"/>
        <v>225616431.31</v>
      </c>
      <c r="G15" s="46">
        <f t="shared" si="0"/>
        <v>23.788066829910054</v>
      </c>
      <c r="H15" s="44">
        <f t="shared" si="1"/>
        <v>34.96282252008217</v>
      </c>
      <c r="I15" s="46">
        <f>SUM(I11:I14)</f>
        <v>164243446.84</v>
      </c>
      <c r="J15" s="45">
        <f t="shared" si="5"/>
        <v>72.797644163747677</v>
      </c>
      <c r="K15" s="46">
        <f>SUM(K11:K14)</f>
        <v>109349989.08</v>
      </c>
      <c r="L15" s="46">
        <f>SUM(L11:L14)</f>
        <v>58707177.890000001</v>
      </c>
      <c r="M15" s="46">
        <f>SUM(M11:M14)</f>
        <v>75935181.030000001</v>
      </c>
    </row>
    <row r="16" spans="1:13" x14ac:dyDescent="0.3">
      <c r="A16" s="59" t="s">
        <v>284</v>
      </c>
      <c r="B16" s="56">
        <f>Entrate_Uscite!K36</f>
        <v>0</v>
      </c>
      <c r="C16" s="56">
        <f>Entrate_Uscite!N36</f>
        <v>0</v>
      </c>
      <c r="D16" s="56">
        <f>Entrate_Uscite!Q36</f>
        <v>3050200</v>
      </c>
      <c r="E16" s="56">
        <f>Entrate_Uscite!T36</f>
        <v>0</v>
      </c>
      <c r="F16" s="56">
        <f>Entrate_Uscite!W36</f>
        <v>0</v>
      </c>
      <c r="G16" s="56">
        <f t="shared" si="0"/>
        <v>0</v>
      </c>
      <c r="H16" s="57" t="str">
        <f t="shared" si="1"/>
        <v>-</v>
      </c>
      <c r="I16" s="56">
        <f>Entrate_Uscite!X36</f>
        <v>0</v>
      </c>
      <c r="J16" s="58" t="str">
        <f t="shared" si="5"/>
        <v>-</v>
      </c>
      <c r="K16" s="56">
        <f>Entrate_Uscite!B36</f>
        <v>4050000</v>
      </c>
      <c r="L16" s="56">
        <f>Entrate_Uscite!E36</f>
        <v>35767433</v>
      </c>
      <c r="M16" s="56">
        <f>Entrate_Uscite!H36</f>
        <v>0</v>
      </c>
    </row>
    <row r="17" spans="1:13" x14ac:dyDescent="0.3">
      <c r="A17" s="59" t="s">
        <v>285</v>
      </c>
      <c r="B17" s="56">
        <f>Entrate_Uscite!K37</f>
        <v>0</v>
      </c>
      <c r="C17" s="56">
        <f>Entrate_Uscite!N37</f>
        <v>0</v>
      </c>
      <c r="D17" s="56">
        <f>Entrate_Uscite!Q37</f>
        <v>0</v>
      </c>
      <c r="E17" s="56">
        <f>Entrate_Uscite!T37</f>
        <v>0</v>
      </c>
      <c r="F17" s="56">
        <f>Entrate_Uscite!W37</f>
        <v>0</v>
      </c>
      <c r="G17" s="56">
        <f t="shared" si="0"/>
        <v>0</v>
      </c>
      <c r="H17" s="57" t="str">
        <f t="shared" si="1"/>
        <v>-</v>
      </c>
      <c r="I17" s="56">
        <f>Entrate_Uscite!X37</f>
        <v>0</v>
      </c>
      <c r="J17" s="58" t="str">
        <f t="shared" si="5"/>
        <v>-</v>
      </c>
      <c r="K17" s="56">
        <f>Entrate_Uscite!B37</f>
        <v>0</v>
      </c>
      <c r="L17" s="56">
        <f>Entrate_Uscite!E37</f>
        <v>8614.09</v>
      </c>
      <c r="M17" s="56">
        <f>Entrate_Uscite!H37</f>
        <v>0</v>
      </c>
    </row>
    <row r="18" spans="1:13" x14ac:dyDescent="0.3">
      <c r="A18" s="59" t="s">
        <v>286</v>
      </c>
      <c r="B18" s="56">
        <f>Entrate_Uscite!K38</f>
        <v>0</v>
      </c>
      <c r="C18" s="56">
        <f>Entrate_Uscite!N38</f>
        <v>0</v>
      </c>
      <c r="D18" s="56">
        <f>Entrate_Uscite!Q38</f>
        <v>0</v>
      </c>
      <c r="E18" s="56">
        <f>Entrate_Uscite!T38</f>
        <v>0</v>
      </c>
      <c r="F18" s="56">
        <f>Entrate_Uscite!W38</f>
        <v>0</v>
      </c>
      <c r="G18" s="56">
        <f t="shared" si="0"/>
        <v>0</v>
      </c>
      <c r="H18" s="57" t="str">
        <f t="shared" si="1"/>
        <v>-</v>
      </c>
      <c r="I18" s="56">
        <f>Entrate_Uscite!X38</f>
        <v>0</v>
      </c>
      <c r="J18" s="58" t="str">
        <f t="shared" ref="J18:J26" si="8">IF(F18&gt;0,I18/F18*100,"-")</f>
        <v>-</v>
      </c>
      <c r="K18" s="56">
        <f>Entrate_Uscite!B38</f>
        <v>0</v>
      </c>
      <c r="L18" s="56">
        <f>Entrate_Uscite!E38</f>
        <v>0</v>
      </c>
      <c r="M18" s="56">
        <f>Entrate_Uscite!H38</f>
        <v>0</v>
      </c>
    </row>
    <row r="19" spans="1:13" x14ac:dyDescent="0.3">
      <c r="A19" s="59" t="s">
        <v>287</v>
      </c>
      <c r="B19" s="56">
        <f>Entrate_Uscite!K39</f>
        <v>13621812.880000001</v>
      </c>
      <c r="C19" s="56">
        <f>Entrate_Uscite!N39</f>
        <v>5796974.5099999998</v>
      </c>
      <c r="D19" s="56">
        <f>Entrate_Uscite!Q39</f>
        <v>33294127.23</v>
      </c>
      <c r="E19" s="56">
        <f>Entrate_Uscite!T39</f>
        <v>7459143.7300000004</v>
      </c>
      <c r="F19" s="56">
        <f>Entrate_Uscite!W39</f>
        <v>39999746.020000003</v>
      </c>
      <c r="G19" s="56">
        <f t="shared" si="0"/>
        <v>4.2174083952058981</v>
      </c>
      <c r="H19" s="57">
        <f t="shared" si="1"/>
        <v>436.25117664812717</v>
      </c>
      <c r="I19" s="56">
        <f>Entrate_Uscite!X39</f>
        <v>39999746</v>
      </c>
      <c r="J19" s="58">
        <f t="shared" si="8"/>
        <v>99.999999949999676</v>
      </c>
      <c r="K19" s="56">
        <f>Entrate_Uscite!B39</f>
        <v>5852257.0700000003</v>
      </c>
      <c r="L19" s="56">
        <f>Entrate_Uscite!E39</f>
        <v>6175873.6699999999</v>
      </c>
      <c r="M19" s="56">
        <f>Entrate_Uscite!H39</f>
        <v>8270202.9299999997</v>
      </c>
    </row>
    <row r="20" spans="1:13" x14ac:dyDescent="0.3">
      <c r="A20" s="4" t="s">
        <v>288</v>
      </c>
      <c r="B20" s="43">
        <f t="shared" ref="B20:F20" si="9">SUM(B16:B19)</f>
        <v>13621812.880000001</v>
      </c>
      <c r="C20" s="43">
        <f t="shared" si="9"/>
        <v>5796974.5099999998</v>
      </c>
      <c r="D20" s="43">
        <f t="shared" ref="D20:E20" si="10">SUM(D16:D19)</f>
        <v>36344327.230000004</v>
      </c>
      <c r="E20" s="43">
        <f t="shared" si="10"/>
        <v>7459143.7300000004</v>
      </c>
      <c r="F20" s="43">
        <f t="shared" si="9"/>
        <v>39999746.020000003</v>
      </c>
      <c r="G20" s="43">
        <f t="shared" si="0"/>
        <v>4.2174083952058981</v>
      </c>
      <c r="H20" s="44">
        <f t="shared" si="1"/>
        <v>436.25117664812717</v>
      </c>
      <c r="I20" s="43">
        <f>SUM(I16:I19)</f>
        <v>39999746</v>
      </c>
      <c r="J20" s="40">
        <f t="shared" si="8"/>
        <v>99.999999949999676</v>
      </c>
      <c r="K20" s="43">
        <f>SUM(K16:K19)</f>
        <v>9902257.0700000003</v>
      </c>
      <c r="L20" s="43">
        <f>SUM(L16:L19)</f>
        <v>41951920.760000005</v>
      </c>
      <c r="M20" s="43">
        <f>SUM(M16:M19)</f>
        <v>8270202.9299999997</v>
      </c>
    </row>
    <row r="21" spans="1:13" x14ac:dyDescent="0.3">
      <c r="A21" s="47" t="s">
        <v>349</v>
      </c>
      <c r="B21" s="48">
        <f t="shared" ref="B21:F21" si="11">B10+B15+B20</f>
        <v>686242339.5</v>
      </c>
      <c r="C21" s="48">
        <f t="shared" si="11"/>
        <v>701329814.51000023</v>
      </c>
      <c r="D21" s="48">
        <f t="shared" ref="D21:E21" si="12">D10+D15+D20</f>
        <v>760835292.14999998</v>
      </c>
      <c r="E21" s="48">
        <f t="shared" si="12"/>
        <v>859172483.61000001</v>
      </c>
      <c r="F21" s="48">
        <f t="shared" si="11"/>
        <v>937445469.83999991</v>
      </c>
      <c r="G21" s="48">
        <f>F21/F$31*100</f>
        <v>98.840387450813935</v>
      </c>
      <c r="H21" s="49">
        <f t="shared" si="1"/>
        <v>9.1102761928686107</v>
      </c>
      <c r="I21" s="48">
        <f>I10+I15+I20</f>
        <v>778042606.70000005</v>
      </c>
      <c r="J21" s="50">
        <f>IF(F21&gt;0,I21/F21*100,"-")</f>
        <v>82.996038887765252</v>
      </c>
      <c r="K21" s="48">
        <f>K10+K15+K20</f>
        <v>674627858.33000004</v>
      </c>
      <c r="L21" s="48">
        <f>L10+L15+L20</f>
        <v>661089698.75</v>
      </c>
      <c r="M21" s="48">
        <f>M10+M15+M20</f>
        <v>659909647.96999991</v>
      </c>
    </row>
    <row r="22" spans="1:13" x14ac:dyDescent="0.3">
      <c r="A22" s="59" t="s">
        <v>289</v>
      </c>
      <c r="B22" s="60">
        <f>Entrate_Uscite!K40</f>
        <v>6482215.04</v>
      </c>
      <c r="C22" s="60">
        <f>Entrate_Uscite!N40</f>
        <v>6761671.6200000001</v>
      </c>
      <c r="D22" s="60">
        <f>Entrate_Uscite!Q40</f>
        <v>7055140.1600000001</v>
      </c>
      <c r="E22" s="60">
        <f>Entrate_Uscite!T40</f>
        <v>7366276.1200000001</v>
      </c>
      <c r="F22" s="60">
        <f>Entrate_Uscite!W40</f>
        <v>7693398.6799999997</v>
      </c>
      <c r="G22" s="60">
        <f t="shared" si="0"/>
        <v>0.81116025497948818</v>
      </c>
      <c r="H22" s="61">
        <f t="shared" si="1"/>
        <v>4.4408131689747137</v>
      </c>
      <c r="I22" s="60">
        <f>Entrate_Uscite!X40</f>
        <v>7693398.6799999997</v>
      </c>
      <c r="J22" s="58">
        <f t="shared" si="8"/>
        <v>100</v>
      </c>
      <c r="K22" s="60">
        <f>Entrate_Uscite!B40</f>
        <v>5735006.0999999996</v>
      </c>
      <c r="L22" s="60">
        <f>Entrate_Uscite!E40</f>
        <v>5970621.04</v>
      </c>
      <c r="M22" s="60">
        <f>Entrate_Uscite!H40</f>
        <v>6220972.8799999999</v>
      </c>
    </row>
    <row r="23" spans="1:13" x14ac:dyDescent="0.3">
      <c r="A23" s="59" t="s">
        <v>290</v>
      </c>
      <c r="B23" s="60">
        <f>Entrate_Uscite!K41</f>
        <v>0</v>
      </c>
      <c r="C23" s="60">
        <f>Entrate_Uscite!N41</f>
        <v>0</v>
      </c>
      <c r="D23" s="60">
        <f>Entrate_Uscite!Q41</f>
        <v>0</v>
      </c>
      <c r="E23" s="60">
        <f>Entrate_Uscite!T41</f>
        <v>0</v>
      </c>
      <c r="F23" s="60">
        <f>Entrate_Uscite!W41</f>
        <v>0</v>
      </c>
      <c r="G23" s="60">
        <f t="shared" si="0"/>
        <v>0</v>
      </c>
      <c r="H23" s="61" t="str">
        <f t="shared" si="1"/>
        <v>-</v>
      </c>
      <c r="I23" s="60">
        <f>Entrate_Uscite!X41</f>
        <v>0</v>
      </c>
      <c r="J23" s="58" t="str">
        <f t="shared" si="8"/>
        <v>-</v>
      </c>
      <c r="K23" s="60">
        <f>Entrate_Uscite!B41</f>
        <v>0</v>
      </c>
      <c r="L23" s="60">
        <f>Entrate_Uscite!E41</f>
        <v>0</v>
      </c>
      <c r="M23" s="60">
        <f>Entrate_Uscite!H41</f>
        <v>0</v>
      </c>
    </row>
    <row r="24" spans="1:13" x14ac:dyDescent="0.3">
      <c r="A24" s="59" t="s">
        <v>291</v>
      </c>
      <c r="B24" s="60">
        <f>Entrate_Uscite!K42</f>
        <v>5728737.25</v>
      </c>
      <c r="C24" s="60">
        <f>Entrate_Uscite!N42</f>
        <v>777788.18</v>
      </c>
      <c r="D24" s="60">
        <f>Entrate_Uscite!Q42</f>
        <v>3231447.43</v>
      </c>
      <c r="E24" s="60">
        <f>Entrate_Uscite!T42</f>
        <v>3511880.51</v>
      </c>
      <c r="F24" s="60">
        <f>Entrate_Uscite!W42</f>
        <v>3304873.98</v>
      </c>
      <c r="G24" s="60">
        <f t="shared" si="0"/>
        <v>0.34845229420658025</v>
      </c>
      <c r="H24" s="61">
        <f t="shared" si="1"/>
        <v>-5.8944639320886267</v>
      </c>
      <c r="I24" s="60">
        <f>Entrate_Uscite!X42</f>
        <v>3304873.98</v>
      </c>
      <c r="J24" s="58">
        <f t="shared" si="8"/>
        <v>100</v>
      </c>
      <c r="K24" s="60">
        <f>Entrate_Uscite!B42</f>
        <v>4181681.96</v>
      </c>
      <c r="L24" s="60">
        <f>Entrate_Uscite!E42</f>
        <v>8035041.1399999997</v>
      </c>
      <c r="M24" s="60">
        <f>Entrate_Uscite!H42</f>
        <v>4280481.87</v>
      </c>
    </row>
    <row r="25" spans="1:13" x14ac:dyDescent="0.3">
      <c r="A25" s="59" t="s">
        <v>292</v>
      </c>
      <c r="B25" s="60">
        <f>Entrate_Uscite!K43</f>
        <v>0</v>
      </c>
      <c r="C25" s="60">
        <f>Entrate_Uscite!N43</f>
        <v>0</v>
      </c>
      <c r="D25" s="60">
        <f>Entrate_Uscite!Q43</f>
        <v>0</v>
      </c>
      <c r="E25" s="60">
        <f>Entrate_Uscite!T43</f>
        <v>0</v>
      </c>
      <c r="F25" s="60">
        <f>Entrate_Uscite!W43</f>
        <v>0</v>
      </c>
      <c r="G25" s="60">
        <f t="shared" si="0"/>
        <v>0</v>
      </c>
      <c r="H25" s="61" t="str">
        <f t="shared" si="1"/>
        <v>-</v>
      </c>
      <c r="I25" s="60">
        <f>Entrate_Uscite!X43</f>
        <v>0</v>
      </c>
      <c r="J25" s="58" t="str">
        <f t="shared" si="8"/>
        <v>-</v>
      </c>
      <c r="K25" s="60">
        <f>Entrate_Uscite!B43</f>
        <v>0</v>
      </c>
      <c r="L25" s="60">
        <f>Entrate_Uscite!E43</f>
        <v>0</v>
      </c>
      <c r="M25" s="60">
        <f>Entrate_Uscite!H43</f>
        <v>0</v>
      </c>
    </row>
    <row r="26" spans="1:13" x14ac:dyDescent="0.3">
      <c r="A26" s="59" t="s">
        <v>293</v>
      </c>
      <c r="B26" s="60">
        <f>Entrate_Uscite!K44</f>
        <v>0</v>
      </c>
      <c r="C26" s="60">
        <f>Entrate_Uscite!N44</f>
        <v>0</v>
      </c>
      <c r="D26" s="60">
        <f>Entrate_Uscite!Q44</f>
        <v>0</v>
      </c>
      <c r="E26" s="60">
        <f>Entrate_Uscite!T44</f>
        <v>0</v>
      </c>
      <c r="F26" s="60">
        <f>Entrate_Uscite!W44</f>
        <v>0</v>
      </c>
      <c r="G26" s="60">
        <f t="shared" si="0"/>
        <v>0</v>
      </c>
      <c r="H26" s="61" t="str">
        <f t="shared" si="1"/>
        <v>-</v>
      </c>
      <c r="I26" s="60">
        <f>Entrate_Uscite!X44</f>
        <v>0</v>
      </c>
      <c r="J26" s="58" t="str">
        <f t="shared" si="8"/>
        <v>-</v>
      </c>
      <c r="K26" s="60">
        <f>Entrate_Uscite!B44</f>
        <v>0</v>
      </c>
      <c r="L26" s="60">
        <f>Entrate_Uscite!E44</f>
        <v>0</v>
      </c>
      <c r="M26" s="60">
        <f>Entrate_Uscite!H44</f>
        <v>0</v>
      </c>
    </row>
    <row r="27" spans="1:13" x14ac:dyDescent="0.3">
      <c r="A27" s="4" t="s">
        <v>294</v>
      </c>
      <c r="B27" s="43">
        <f t="shared" ref="B27:F27" si="13">SUM(B22:B26)</f>
        <v>12210952.289999999</v>
      </c>
      <c r="C27" s="43">
        <f t="shared" si="13"/>
        <v>7539459.7999999998</v>
      </c>
      <c r="D27" s="43">
        <f t="shared" ref="D27" si="14">SUM(D22:D26)</f>
        <v>10286587.59</v>
      </c>
      <c r="E27" s="43">
        <f t="shared" ref="E27" si="15">SUM(E22:E26)</f>
        <v>10878156.629999999</v>
      </c>
      <c r="F27" s="43">
        <f t="shared" si="13"/>
        <v>10998272.66</v>
      </c>
      <c r="G27" s="43">
        <f t="shared" si="0"/>
        <v>1.1596125491860685</v>
      </c>
      <c r="H27" s="44">
        <f t="shared" si="1"/>
        <v>1.1041947095038438</v>
      </c>
      <c r="I27" s="43">
        <f>SUM(I22:I26)</f>
        <v>10998272.66</v>
      </c>
      <c r="J27" s="45">
        <f>IF(F27&gt;0,I27/F27*100,"-")</f>
        <v>100</v>
      </c>
      <c r="K27" s="43">
        <f>SUM(K22:K26)</f>
        <v>9916688.0599999987</v>
      </c>
      <c r="L27" s="43">
        <f>SUM(L22:L26)</f>
        <v>14005662.18</v>
      </c>
      <c r="M27" s="43">
        <f>SUM(M22:M26)</f>
        <v>10501454.75</v>
      </c>
    </row>
    <row r="28" spans="1:13" x14ac:dyDescent="0.3">
      <c r="A28" s="4" t="s">
        <v>295</v>
      </c>
      <c r="B28" s="43">
        <f>Entrate_Uscite!K52</f>
        <v>0</v>
      </c>
      <c r="C28" s="43">
        <f>Entrate_Uscite!N52</f>
        <v>0</v>
      </c>
      <c r="D28" s="43">
        <f>Entrate_Uscite!Q52</f>
        <v>0</v>
      </c>
      <c r="E28" s="43">
        <f>Entrate_Uscite!T52</f>
        <v>0</v>
      </c>
      <c r="F28" s="43">
        <f>Entrate_Uscite!W52</f>
        <v>0</v>
      </c>
      <c r="G28" s="43">
        <f t="shared" si="0"/>
        <v>0</v>
      </c>
      <c r="H28" s="44" t="str">
        <f t="shared" si="1"/>
        <v>-</v>
      </c>
      <c r="I28" s="43">
        <f>Entrate_Uscite!X52</f>
        <v>0</v>
      </c>
      <c r="J28" s="45" t="str">
        <f>IF(F28&gt;0,I28/F28*100,"-")</f>
        <v>-</v>
      </c>
      <c r="K28" s="43">
        <f>Entrate_Uscite!B52</f>
        <v>390319619.10000002</v>
      </c>
      <c r="L28" s="43">
        <f>Entrate_Uscite!E52</f>
        <v>153428146.12</v>
      </c>
      <c r="M28" s="43">
        <f>Entrate_Uscite!H52</f>
        <v>0</v>
      </c>
    </row>
    <row r="29" spans="1:13" x14ac:dyDescent="0.3">
      <c r="A29" s="4" t="s">
        <v>296</v>
      </c>
      <c r="B29" s="43">
        <f>Entrate_Uscite!K53</f>
        <v>111574181.81</v>
      </c>
      <c r="C29" s="43">
        <f>Entrate_Uscite!N53</f>
        <v>165210472.11000001</v>
      </c>
      <c r="D29" s="43">
        <f>Entrate_Uscite!Q53</f>
        <v>145084714.40000001</v>
      </c>
      <c r="E29" s="43">
        <f>Entrate_Uscite!T53</f>
        <v>258316883.68000001</v>
      </c>
      <c r="F29" s="43">
        <f>Entrate_Uscite!W53</f>
        <v>125742373.87</v>
      </c>
      <c r="G29" s="43"/>
      <c r="H29" s="44">
        <f t="shared" si="1"/>
        <v>-51.322433098965291</v>
      </c>
      <c r="I29" s="43">
        <f>Entrate_Uscite!X53</f>
        <v>116519201.8</v>
      </c>
      <c r="J29" s="45">
        <f>IF(F29&gt;0,I29/F29*100,"-")</f>
        <v>92.665024696022144</v>
      </c>
      <c r="K29" s="43">
        <f>Entrate_Uscite!B53</f>
        <v>160056195.28</v>
      </c>
      <c r="L29" s="43">
        <f>Entrate_Uscite!E53</f>
        <v>352109567.52000004</v>
      </c>
      <c r="M29" s="43">
        <f>Entrate_Uscite!H53</f>
        <v>527258900.12</v>
      </c>
    </row>
    <row r="30" spans="1:13" x14ac:dyDescent="0.3">
      <c r="A30" s="47" t="s">
        <v>69</v>
      </c>
      <c r="B30" s="48">
        <f t="shared" ref="B30:F30" si="16">B10+B15+B20+B27+B28+B29</f>
        <v>810027473.5999999</v>
      </c>
      <c r="C30" s="48">
        <f t="shared" si="16"/>
        <v>874079746.4200002</v>
      </c>
      <c r="D30" s="48">
        <f t="shared" ref="D30:E30" si="17">D10+D15+D20+D27+D28+D29</f>
        <v>916206594.13999999</v>
      </c>
      <c r="E30" s="48">
        <f t="shared" si="17"/>
        <v>1128367523.9200001</v>
      </c>
      <c r="F30" s="48">
        <f t="shared" si="16"/>
        <v>1074186116.3699999</v>
      </c>
      <c r="G30" s="48"/>
      <c r="H30" s="49">
        <f t="shared" si="1"/>
        <v>-4.8017517698286412</v>
      </c>
      <c r="I30" s="48">
        <f>I10+I15+I20+I27+I28+I29</f>
        <v>905560081.15999997</v>
      </c>
      <c r="J30" s="50">
        <f>IF(F30&gt;0,I30/F30*100,"-")</f>
        <v>84.301972196416173</v>
      </c>
      <c r="K30" s="48">
        <f>K10+K15+K20+K27+K28+K29</f>
        <v>1234920360.77</v>
      </c>
      <c r="L30" s="48">
        <f>L10+L15+L20+L27+L28+L29</f>
        <v>1180633074.5699999</v>
      </c>
      <c r="M30" s="48">
        <f>M10+M15+M20+M27+M28+M29</f>
        <v>1197670002.8399999</v>
      </c>
    </row>
    <row r="31" spans="1:13" x14ac:dyDescent="0.3">
      <c r="A31" s="38" t="s">
        <v>70</v>
      </c>
      <c r="B31" s="51">
        <f t="shared" ref="B31:F31" si="18">B30-B29</f>
        <v>698453291.78999996</v>
      </c>
      <c r="C31" s="51">
        <f t="shared" si="18"/>
        <v>708869274.31000018</v>
      </c>
      <c r="D31" s="51">
        <f t="shared" ref="D31:E31" si="19">D30-D29</f>
        <v>771121879.74000001</v>
      </c>
      <c r="E31" s="51">
        <f t="shared" si="19"/>
        <v>870050640.24000001</v>
      </c>
      <c r="F31" s="51">
        <f t="shared" si="18"/>
        <v>948443742.49999988</v>
      </c>
      <c r="G31" s="51">
        <f t="shared" si="0"/>
        <v>100</v>
      </c>
      <c r="H31" s="52">
        <f t="shared" si="1"/>
        <v>9.0101769522720474</v>
      </c>
      <c r="I31" s="51">
        <f>I30-I29</f>
        <v>789040879.36000001</v>
      </c>
      <c r="J31" s="53">
        <f>IF(F31&gt;0,I31/F31*100,"-")</f>
        <v>83.193218954681441</v>
      </c>
      <c r="K31" s="51">
        <f>K30-K29</f>
        <v>1074864165.49</v>
      </c>
      <c r="L31" s="51">
        <f>L30-L29</f>
        <v>828523507.04999995</v>
      </c>
      <c r="M31" s="51">
        <f>M30-M29</f>
        <v>670411102.71999991</v>
      </c>
    </row>
    <row r="32" spans="1:13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pane xSplit="1" topLeftCell="B1" activePane="topRight" state="frozen"/>
      <selection pane="topRight" activeCell="B1" sqref="B1:D1048576"/>
    </sheetView>
  </sheetViews>
  <sheetFormatPr defaultRowHeight="14.4" x14ac:dyDescent="0.3"/>
  <cols>
    <col min="1" max="1" width="40.6640625" customWidth="1"/>
    <col min="2" max="3" width="11.33203125" bestFit="1" customWidth="1"/>
    <col min="4" max="4" width="10.5546875" bestFit="1" customWidth="1"/>
    <col min="5" max="9" width="11.5546875" bestFit="1" customWidth="1"/>
    <col min="10" max="10" width="11.33203125" bestFit="1" customWidth="1"/>
    <col min="11" max="11" width="12.2187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62298376.870000005</v>
      </c>
      <c r="C2" s="64">
        <f>Entrate_Uscite!E56</f>
        <v>85390682.849999905</v>
      </c>
      <c r="D2" s="64">
        <f>Entrate_Uscite!H56</f>
        <v>83870076.970000029</v>
      </c>
      <c r="E2" s="64">
        <f>Entrate_Uscite!K56</f>
        <v>156742141.22000003</v>
      </c>
      <c r="F2" s="64">
        <f>Entrate_Uscite!N56</f>
        <v>121653098.23999965</v>
      </c>
      <c r="G2" s="64">
        <f>Entrate_Uscite!Q56</f>
        <v>131198244.89999998</v>
      </c>
      <c r="H2" s="64">
        <f>Entrate_Uscite!T56</f>
        <v>85651026.049999952</v>
      </c>
      <c r="I2" s="64">
        <f>Entrate_Uscite!W56</f>
        <v>147087463.48000002</v>
      </c>
      <c r="J2" s="64">
        <f t="shared" ref="J2:J6" si="0">I2-H2</f>
        <v>61436437.430000067</v>
      </c>
      <c r="K2" s="64">
        <f>Entrate_Uscite!X56</f>
        <v>-18425036.330000043</v>
      </c>
    </row>
    <row r="3" spans="1:11" x14ac:dyDescent="0.3">
      <c r="A3" s="62" t="s">
        <v>72</v>
      </c>
      <c r="B3" s="65">
        <f>Entrate_Uscite!B57</f>
        <v>-27739244.640000001</v>
      </c>
      <c r="C3" s="65">
        <f>Entrate_Uscite!E57</f>
        <v>20139912.600000009</v>
      </c>
      <c r="D3" s="65">
        <f>Entrate_Uscite!H57</f>
        <v>8863250.8799999952</v>
      </c>
      <c r="E3" s="65">
        <f>Entrate_Uscite!K57</f>
        <v>-29744547.189999998</v>
      </c>
      <c r="F3" s="65">
        <f>Entrate_Uscite!N57</f>
        <v>-56701729.980000004</v>
      </c>
      <c r="G3" s="65">
        <f>Entrate_Uscite!Q57</f>
        <v>-27102738.089999974</v>
      </c>
      <c r="H3" s="65">
        <f>Entrate_Uscite!T57</f>
        <v>-23524196.789999992</v>
      </c>
      <c r="I3" s="65">
        <f>Entrate_Uscite!W57</f>
        <v>-96886285.120000005</v>
      </c>
      <c r="J3" s="64">
        <f t="shared" si="0"/>
        <v>-73362088.330000013</v>
      </c>
      <c r="K3" s="64">
        <f>Entrate_Uscite!X57</f>
        <v>-127121153.73</v>
      </c>
    </row>
    <row r="4" spans="1:11" x14ac:dyDescent="0.3">
      <c r="A4" s="62" t="s">
        <v>301</v>
      </c>
      <c r="B4" s="65">
        <f>Entrate_Uscite!B16-Entrate_Uscite!B50</f>
        <v>-4638709.5999999996</v>
      </c>
      <c r="C4" s="65">
        <f>Entrate_Uscite!E16-Entrate_Uscite!E50</f>
        <v>-39930244.740000002</v>
      </c>
      <c r="D4" s="65">
        <f>Entrate_Uscite!H16-Entrate_Uscite!H50</f>
        <v>-4133930.32</v>
      </c>
      <c r="E4" s="65">
        <f>Entrate_Uscite!K16-Entrate_Uscite!K50</f>
        <v>-4687023.99</v>
      </c>
      <c r="F4" s="65">
        <f>Entrate_Uscite!N16-Entrate_Uscite!N50</f>
        <v>-5007875.8999999994</v>
      </c>
      <c r="G4" s="65">
        <f>Entrate_Uscite!Q16-Entrate_Uscite!Q50</f>
        <v>-8384485.7300000042</v>
      </c>
      <c r="H4" s="65">
        <f>Entrate_Uscite!T16-Entrate_Uscite!T50</f>
        <v>-4133059.7300000004</v>
      </c>
      <c r="I4" s="65">
        <f>Entrate_Uscite!W16-Entrate_Uscite!W50</f>
        <v>-27093784.770000003</v>
      </c>
      <c r="J4" s="64">
        <f t="shared" si="0"/>
        <v>-22960725.040000003</v>
      </c>
      <c r="K4" s="65">
        <f>Entrate_Uscite!X16-Entrate_Uscite!X50</f>
        <v>-29775274.75</v>
      </c>
    </row>
    <row r="5" spans="1:11" x14ac:dyDescent="0.3">
      <c r="A5" s="47" t="s">
        <v>299</v>
      </c>
      <c r="B5" s="66">
        <f>Entrate_Uscite!B58</f>
        <v>29920422.629999995</v>
      </c>
      <c r="C5" s="66">
        <f>Entrate_Uscite!E58</f>
        <v>65600350.709999919</v>
      </c>
      <c r="D5" s="66">
        <f>Entrate_Uscite!H58</f>
        <v>88599397.530000091</v>
      </c>
      <c r="E5" s="66">
        <f>Entrate_Uscite!K58</f>
        <v>122310570.03999996</v>
      </c>
      <c r="F5" s="66">
        <f>Entrate_Uscite!N58</f>
        <v>59943492.359999657</v>
      </c>
      <c r="G5" s="66">
        <f>Entrate_Uscite!Q58</f>
        <v>95711021.080000043</v>
      </c>
      <c r="H5" s="66">
        <f>Entrate_Uscite!T58</f>
        <v>57993769.529999971</v>
      </c>
      <c r="I5" s="66">
        <f>Entrate_Uscite!W58</f>
        <v>23107393.590000153</v>
      </c>
      <c r="J5" s="66">
        <f t="shared" si="0"/>
        <v>-34886375.939999819</v>
      </c>
      <c r="K5" s="66">
        <f>Entrate_Uscite!X58</f>
        <v>-175321464.81000006</v>
      </c>
    </row>
    <row r="6" spans="1:11" x14ac:dyDescent="0.3">
      <c r="A6" s="38" t="s">
        <v>300</v>
      </c>
      <c r="B6" s="67">
        <f>Entrate_Uscite!B59</f>
        <v>20003734.569999933</v>
      </c>
      <c r="C6" s="67">
        <f>Entrate_Uscite!E59</f>
        <v>51594688.529999971</v>
      </c>
      <c r="D6" s="67">
        <f>Entrate_Uscite!H59</f>
        <v>78097942.779999971</v>
      </c>
      <c r="E6" s="67">
        <f>Entrate_Uscite!K59</f>
        <v>111126462.83000016</v>
      </c>
      <c r="F6" s="67">
        <f>Entrate_Uscite!N59</f>
        <v>68416581.959999681</v>
      </c>
      <c r="G6" s="67">
        <f>Entrate_Uscite!Q59</f>
        <v>89026565.779999971</v>
      </c>
      <c r="H6" s="67">
        <f>Entrate_Uscite!T59</f>
        <v>47557755.269999981</v>
      </c>
      <c r="I6" s="67">
        <f>Entrate_Uscite!W59</f>
        <v>12641522.180000305</v>
      </c>
      <c r="J6" s="67">
        <f t="shared" si="0"/>
        <v>-34916233.089999676</v>
      </c>
      <c r="K6" s="67">
        <f>Entrate_Uscite!X59</f>
        <v>-185787336.22000003</v>
      </c>
    </row>
    <row r="7" spans="1:11" x14ac:dyDescent="0.3">
      <c r="K7" s="6"/>
    </row>
    <row r="8" spans="1:11" x14ac:dyDescent="0.3">
      <c r="K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activeCell="K103" sqref="K103"/>
    </sheetView>
  </sheetViews>
  <sheetFormatPr defaultRowHeight="14.4" x14ac:dyDescent="0.3"/>
  <cols>
    <col min="1" max="1" width="33.44140625" bestFit="1" customWidth="1"/>
    <col min="2" max="2" width="13.6640625" bestFit="1" customWidth="1"/>
    <col min="3" max="4" width="12.5546875" bestFit="1" customWidth="1"/>
    <col min="5" max="5" width="11.88671875" customWidth="1"/>
    <col min="6" max="6" width="10.88671875" customWidth="1"/>
    <col min="7" max="8" width="11.109375" bestFit="1" customWidth="1"/>
    <col min="9" max="9" width="12" bestFit="1" customWidth="1"/>
  </cols>
  <sheetData>
    <row r="1" spans="1:6" x14ac:dyDescent="0.3">
      <c r="A1" s="12">
        <v>2023</v>
      </c>
      <c r="B1" s="12" t="s">
        <v>365</v>
      </c>
      <c r="C1" s="12" t="s">
        <v>366</v>
      </c>
      <c r="D1" s="12" t="s">
        <v>367</v>
      </c>
      <c r="E1" s="12" t="s">
        <v>368</v>
      </c>
      <c r="F1" s="12" t="s">
        <v>369</v>
      </c>
    </row>
    <row r="2" spans="1:6" x14ac:dyDescent="0.3">
      <c r="A2" t="s">
        <v>370</v>
      </c>
      <c r="B2" s="1">
        <v>32555498.800000001</v>
      </c>
      <c r="C2" s="1">
        <v>27705094.039999999</v>
      </c>
      <c r="D2" s="1">
        <f>B2-C2</f>
        <v>4850404.7600000016</v>
      </c>
      <c r="E2" s="6">
        <f>IF(B2&gt;0,C2/B2*100,"-")</f>
        <v>85.101119814511947</v>
      </c>
      <c r="F2" s="6">
        <f>B2/B$11*100</f>
        <v>33.614951155509246</v>
      </c>
    </row>
    <row r="3" spans="1:6" x14ac:dyDescent="0.3">
      <c r="A3" t="s">
        <v>371</v>
      </c>
      <c r="B3" s="1">
        <v>16332463.77</v>
      </c>
      <c r="C3" s="1">
        <v>12269745.5</v>
      </c>
      <c r="D3" s="1">
        <f t="shared" ref="D3:D11" si="0">B3-C3</f>
        <v>4062718.2699999996</v>
      </c>
      <c r="E3" s="6">
        <f t="shared" ref="E3:E11" si="1">IF(B3&gt;0,C3/B3*100,"-")</f>
        <v>75.124890358167931</v>
      </c>
      <c r="F3" s="6">
        <f t="shared" ref="F3:F11" si="2">B3/B$11*100</f>
        <v>16.863970515410269</v>
      </c>
    </row>
    <row r="4" spans="1:6" x14ac:dyDescent="0.3">
      <c r="A4" t="s">
        <v>372</v>
      </c>
      <c r="B4" s="1">
        <v>12637473.41</v>
      </c>
      <c r="C4" s="1">
        <v>10572652.98</v>
      </c>
      <c r="D4" s="1">
        <f t="shared" si="0"/>
        <v>2064820.4299999997</v>
      </c>
      <c r="E4" s="6">
        <f t="shared" si="1"/>
        <v>83.661129380765999</v>
      </c>
      <c r="F4" s="6">
        <f t="shared" si="2"/>
        <v>13.048734225082642</v>
      </c>
    </row>
    <row r="5" spans="1:6" x14ac:dyDescent="0.3">
      <c r="A5" t="s">
        <v>373</v>
      </c>
      <c r="B5" s="1">
        <v>13213921.24</v>
      </c>
      <c r="C5" s="1">
        <v>11364911.630000001</v>
      </c>
      <c r="D5" s="1">
        <f t="shared" si="0"/>
        <v>1849009.6099999994</v>
      </c>
      <c r="E5" s="6">
        <f t="shared" si="1"/>
        <v>86.007108893589873</v>
      </c>
      <c r="F5" s="6">
        <f t="shared" si="2"/>
        <v>13.64394137482379</v>
      </c>
    </row>
    <row r="6" spans="1:6" x14ac:dyDescent="0.3">
      <c r="A6" t="s">
        <v>374</v>
      </c>
      <c r="B6" s="1">
        <v>0</v>
      </c>
      <c r="C6" s="1">
        <v>0</v>
      </c>
      <c r="D6" s="1">
        <f t="shared" si="0"/>
        <v>0</v>
      </c>
      <c r="E6" s="6" t="str">
        <f t="shared" si="1"/>
        <v>-</v>
      </c>
      <c r="F6" s="6">
        <f t="shared" si="2"/>
        <v>0</v>
      </c>
    </row>
    <row r="7" spans="1:6" x14ac:dyDescent="0.3">
      <c r="A7" t="s">
        <v>375</v>
      </c>
      <c r="B7" s="1">
        <v>2611834.21</v>
      </c>
      <c r="C7" s="1">
        <v>2260075.06</v>
      </c>
      <c r="D7" s="1">
        <f t="shared" si="0"/>
        <v>351759.14999999991</v>
      </c>
      <c r="E7" s="6">
        <f t="shared" si="1"/>
        <v>86.532102663591346</v>
      </c>
      <c r="F7" s="6">
        <f t="shared" si="2"/>
        <v>2.6968310310588173</v>
      </c>
    </row>
    <row r="8" spans="1:6" x14ac:dyDescent="0.3">
      <c r="A8" t="s">
        <v>376</v>
      </c>
      <c r="B8" s="1">
        <v>11744751.91</v>
      </c>
      <c r="C8" s="1">
        <v>10774706.15</v>
      </c>
      <c r="D8" s="1">
        <f t="shared" si="0"/>
        <v>970045.75999999978</v>
      </c>
      <c r="E8" s="118">
        <f t="shared" si="1"/>
        <v>91.740602377696376</v>
      </c>
      <c r="F8" s="6">
        <f t="shared" si="2"/>
        <v>12.126960923364011</v>
      </c>
    </row>
    <row r="9" spans="1:6" x14ac:dyDescent="0.3">
      <c r="A9" t="s">
        <v>377</v>
      </c>
      <c r="B9" s="1">
        <v>230348.16</v>
      </c>
      <c r="C9" s="1">
        <v>220631.85</v>
      </c>
      <c r="D9" s="1">
        <f t="shared" si="0"/>
        <v>9716.3099999999977</v>
      </c>
      <c r="E9" s="118">
        <f t="shared" si="1"/>
        <v>95.781902490560384</v>
      </c>
      <c r="F9" s="6">
        <f t="shared" si="2"/>
        <v>0.23784437138347361</v>
      </c>
    </row>
    <row r="10" spans="1:6" x14ac:dyDescent="0.3">
      <c r="A10" t="s">
        <v>378</v>
      </c>
      <c r="B10" s="1">
        <v>7521978.9299999997</v>
      </c>
      <c r="C10" s="1">
        <v>5049708.4000000004</v>
      </c>
      <c r="D10" s="1">
        <f t="shared" si="0"/>
        <v>2472270.5299999993</v>
      </c>
      <c r="E10" s="6">
        <f t="shared" si="1"/>
        <v>67.132711311649487</v>
      </c>
      <c r="F10" s="6">
        <f t="shared" si="2"/>
        <v>7.7667664033677681</v>
      </c>
    </row>
    <row r="11" spans="1:6" x14ac:dyDescent="0.3">
      <c r="A11" s="4" t="s">
        <v>207</v>
      </c>
      <c r="B11" s="3">
        <f>SUM(B2:B10)</f>
        <v>96848270.429999977</v>
      </c>
      <c r="C11" s="3">
        <f>SUM(C2:C10)</f>
        <v>80217525.609999999</v>
      </c>
      <c r="D11" s="3">
        <f t="shared" si="0"/>
        <v>16630744.819999978</v>
      </c>
      <c r="E11" s="119">
        <f t="shared" si="1"/>
        <v>82.828041485758547</v>
      </c>
      <c r="F11" s="119">
        <f t="shared" si="2"/>
        <v>100</v>
      </c>
    </row>
    <row r="12" spans="1:6" x14ac:dyDescent="0.3">
      <c r="A12" s="120" t="s">
        <v>379</v>
      </c>
      <c r="B12" s="121">
        <v>937445469.83999991</v>
      </c>
      <c r="C12" s="122"/>
      <c r="D12" s="122"/>
      <c r="E12" s="122"/>
      <c r="F12" s="123">
        <f>B11/B12*100</f>
        <v>10.331083091854902</v>
      </c>
    </row>
    <row r="14" spans="1:6" x14ac:dyDescent="0.3">
      <c r="A14" s="12">
        <v>2022</v>
      </c>
      <c r="B14" s="12" t="s">
        <v>365</v>
      </c>
      <c r="C14" s="12" t="s">
        <v>366</v>
      </c>
      <c r="D14" s="12" t="s">
        <v>367</v>
      </c>
      <c r="E14" s="12" t="s">
        <v>368</v>
      </c>
      <c r="F14" s="12" t="s">
        <v>369</v>
      </c>
    </row>
    <row r="15" spans="1:6" x14ac:dyDescent="0.3">
      <c r="A15" t="s">
        <v>370</v>
      </c>
      <c r="B15" s="93">
        <v>29845460.920000002</v>
      </c>
      <c r="C15" s="93">
        <v>26155331.629999999</v>
      </c>
      <c r="D15" s="1">
        <f>B15-C15</f>
        <v>3690129.2900000028</v>
      </c>
      <c r="E15" s="6">
        <f>IF(B15&gt;0,C15/B15*100,"-")</f>
        <v>87.635877697143627</v>
      </c>
      <c r="F15" s="6">
        <f>B15/B$11*100</f>
        <v>30.816720616163934</v>
      </c>
    </row>
    <row r="16" spans="1:6" x14ac:dyDescent="0.3">
      <c r="A16" t="s">
        <v>371</v>
      </c>
      <c r="B16" s="93">
        <v>16495528.26</v>
      </c>
      <c r="C16" s="93">
        <v>13438618.779999999</v>
      </c>
      <c r="D16" s="1">
        <f t="shared" ref="D16:D24" si="3">B16-C16</f>
        <v>3056909.4800000004</v>
      </c>
      <c r="E16" s="6">
        <f t="shared" ref="E16:E24" si="4">IF(B16&gt;0,C16/B16*100,"-")</f>
        <v>81.468253505935309</v>
      </c>
      <c r="F16" s="6">
        <f t="shared" ref="F16:F24" si="5">B16/B$11*100</f>
        <v>17.032341606887698</v>
      </c>
    </row>
    <row r="17" spans="1:6" x14ac:dyDescent="0.3">
      <c r="A17" t="s">
        <v>372</v>
      </c>
      <c r="B17" s="93">
        <v>12263112.210000001</v>
      </c>
      <c r="C17" s="93">
        <v>9551675.6500000004</v>
      </c>
      <c r="D17" s="1">
        <f t="shared" si="3"/>
        <v>2711436.5600000005</v>
      </c>
      <c r="E17" s="6">
        <f t="shared" si="4"/>
        <v>77.889490746166786</v>
      </c>
      <c r="F17" s="6">
        <f t="shared" si="5"/>
        <v>12.662190202832313</v>
      </c>
    </row>
    <row r="18" spans="1:6" x14ac:dyDescent="0.3">
      <c r="A18" t="s">
        <v>373</v>
      </c>
      <c r="B18" s="93">
        <v>12946320.439999999</v>
      </c>
      <c r="C18" s="93">
        <v>11239215.66</v>
      </c>
      <c r="D18" s="1">
        <f t="shared" si="3"/>
        <v>1707104.7799999993</v>
      </c>
      <c r="E18" s="6">
        <f t="shared" si="4"/>
        <v>86.813977083978315</v>
      </c>
      <c r="F18" s="6">
        <f t="shared" si="5"/>
        <v>13.367632052197923</v>
      </c>
    </row>
    <row r="19" spans="1:6" x14ac:dyDescent="0.3">
      <c r="A19" t="s">
        <v>374</v>
      </c>
      <c r="B19" s="93">
        <v>0</v>
      </c>
      <c r="C19" s="93">
        <v>0</v>
      </c>
      <c r="D19" s="1">
        <f t="shared" si="3"/>
        <v>0</v>
      </c>
      <c r="E19" s="6" t="str">
        <f t="shared" si="4"/>
        <v>-</v>
      </c>
      <c r="F19" s="6">
        <f t="shared" si="5"/>
        <v>0</v>
      </c>
    </row>
    <row r="20" spans="1:6" x14ac:dyDescent="0.3">
      <c r="A20" t="s">
        <v>375</v>
      </c>
      <c r="B20" s="93">
        <v>1813164.57</v>
      </c>
      <c r="C20" s="93">
        <v>1566718.61</v>
      </c>
      <c r="D20" s="1">
        <f t="shared" si="3"/>
        <v>246445.95999999996</v>
      </c>
      <c r="E20" s="6">
        <f t="shared" si="4"/>
        <v>86.407965163360771</v>
      </c>
      <c r="F20" s="6">
        <f t="shared" si="5"/>
        <v>1.8721703154322409</v>
      </c>
    </row>
    <row r="21" spans="1:6" x14ac:dyDescent="0.3">
      <c r="A21" t="s">
        <v>376</v>
      </c>
      <c r="B21" s="93">
        <v>5414409.8099999996</v>
      </c>
      <c r="C21" s="93">
        <v>4704611.88</v>
      </c>
      <c r="D21" s="1">
        <f t="shared" si="3"/>
        <v>709797.9299999997</v>
      </c>
      <c r="E21" s="118">
        <f t="shared" si="4"/>
        <v>86.89057616789448</v>
      </c>
      <c r="F21" s="6">
        <f t="shared" si="5"/>
        <v>5.5906107418959312</v>
      </c>
    </row>
    <row r="22" spans="1:6" x14ac:dyDescent="0.3">
      <c r="A22" t="s">
        <v>377</v>
      </c>
      <c r="B22" s="93">
        <v>202300.73</v>
      </c>
      <c r="C22" s="93">
        <v>193183.52</v>
      </c>
      <c r="D22" s="1">
        <f t="shared" si="3"/>
        <v>9117.210000000021</v>
      </c>
      <c r="E22" s="118">
        <f t="shared" si="4"/>
        <v>95.493239198889682</v>
      </c>
      <c r="F22" s="6">
        <f t="shared" si="5"/>
        <v>0.2088841949389473</v>
      </c>
    </row>
    <row r="23" spans="1:6" x14ac:dyDescent="0.3">
      <c r="A23" t="s">
        <v>378</v>
      </c>
      <c r="B23" s="93">
        <v>8757612.3200000003</v>
      </c>
      <c r="C23" s="93">
        <v>7323452.2999999998</v>
      </c>
      <c r="D23" s="1">
        <f t="shared" si="3"/>
        <v>1434160.0200000005</v>
      </c>
      <c r="E23" s="6">
        <f t="shared" si="4"/>
        <v>83.623846687929202</v>
      </c>
      <c r="F23" s="6">
        <f t="shared" si="5"/>
        <v>9.0426109636411436</v>
      </c>
    </row>
    <row r="24" spans="1:6" x14ac:dyDescent="0.3">
      <c r="A24" s="4" t="s">
        <v>207</v>
      </c>
      <c r="B24" s="3">
        <f>SUM(B15:B23)</f>
        <v>87737909.25999999</v>
      </c>
      <c r="C24" s="3">
        <f>SUM(C15:C23)</f>
        <v>74172808.030000001</v>
      </c>
      <c r="D24" s="3">
        <f t="shared" si="3"/>
        <v>13565101.229999989</v>
      </c>
      <c r="E24" s="119">
        <f t="shared" si="4"/>
        <v>84.5390648758206</v>
      </c>
      <c r="F24" s="119">
        <f t="shared" si="5"/>
        <v>90.593160693990114</v>
      </c>
    </row>
    <row r="25" spans="1:6" x14ac:dyDescent="0.3">
      <c r="A25" s="120" t="s">
        <v>379</v>
      </c>
      <c r="B25" s="121">
        <v>859172483.61000001</v>
      </c>
      <c r="C25" s="122"/>
      <c r="D25" s="122"/>
      <c r="E25" s="122"/>
      <c r="F25" s="123">
        <f>B24/B25*100</f>
        <v>10.211908660220367</v>
      </c>
    </row>
    <row r="27" spans="1:6" x14ac:dyDescent="0.3">
      <c r="A27" s="12">
        <v>2021</v>
      </c>
      <c r="B27" s="12" t="s">
        <v>365</v>
      </c>
      <c r="C27" s="12" t="s">
        <v>366</v>
      </c>
      <c r="D27" s="12" t="s">
        <v>367</v>
      </c>
      <c r="E27" s="12" t="s">
        <v>368</v>
      </c>
      <c r="F27" s="12" t="s">
        <v>369</v>
      </c>
    </row>
    <row r="28" spans="1:6" x14ac:dyDescent="0.3">
      <c r="A28" t="s">
        <v>370</v>
      </c>
      <c r="B28" s="93">
        <v>28398190.370000001</v>
      </c>
      <c r="C28" s="93">
        <v>25638438.050000001</v>
      </c>
      <c r="D28" s="1">
        <f>B28-C28</f>
        <v>2759752.3200000003</v>
      </c>
      <c r="E28" s="6">
        <f>IF(B28&gt;0,C28/B28*100,"-")</f>
        <v>90.281943025090015</v>
      </c>
      <c r="F28" s="6">
        <f>B28/B$11*100</f>
        <v>29.322351595866291</v>
      </c>
    </row>
    <row r="29" spans="1:6" x14ac:dyDescent="0.3">
      <c r="A29" t="s">
        <v>371</v>
      </c>
      <c r="B29" s="93">
        <v>16739226.02</v>
      </c>
      <c r="C29" s="93">
        <v>13192366.25</v>
      </c>
      <c r="D29" s="1">
        <f t="shared" ref="D29:D37" si="6">B29-C29</f>
        <v>3546859.7699999996</v>
      </c>
      <c r="E29" s="6">
        <f t="shared" ref="E29:E37" si="7">IF(B29&gt;0,C29/B29*100,"-")</f>
        <v>78.811088602530262</v>
      </c>
      <c r="F29" s="6">
        <f t="shared" ref="F29:F37" si="8">B29/B$11*100</f>
        <v>17.283970013794704</v>
      </c>
    </row>
    <row r="30" spans="1:6" x14ac:dyDescent="0.3">
      <c r="A30" t="s">
        <v>372</v>
      </c>
      <c r="B30" s="93">
        <v>11575908.949999999</v>
      </c>
      <c r="C30" s="93">
        <v>9564801.7699999996</v>
      </c>
      <c r="D30" s="1">
        <f t="shared" si="6"/>
        <v>2011107.1799999997</v>
      </c>
      <c r="E30" s="6">
        <f t="shared" si="7"/>
        <v>82.626788197051255</v>
      </c>
      <c r="F30" s="6">
        <f t="shared" si="8"/>
        <v>11.952623313357815</v>
      </c>
    </row>
    <row r="31" spans="1:6" x14ac:dyDescent="0.3">
      <c r="A31" t="s">
        <v>373</v>
      </c>
      <c r="B31" s="93">
        <v>14929618.1</v>
      </c>
      <c r="C31" s="93">
        <v>12503707.439999999</v>
      </c>
      <c r="D31" s="1">
        <f t="shared" si="6"/>
        <v>2425910.66</v>
      </c>
      <c r="E31" s="6">
        <f t="shared" si="7"/>
        <v>83.75101999427568</v>
      </c>
      <c r="F31" s="6">
        <f t="shared" si="8"/>
        <v>15.415472092287732</v>
      </c>
    </row>
    <row r="32" spans="1:6" x14ac:dyDescent="0.3">
      <c r="A32" t="s">
        <v>374</v>
      </c>
      <c r="B32" s="93">
        <v>0</v>
      </c>
      <c r="C32" s="93">
        <v>0</v>
      </c>
      <c r="D32" s="1">
        <f t="shared" si="6"/>
        <v>0</v>
      </c>
      <c r="E32" s="6" t="str">
        <f t="shared" si="7"/>
        <v>-</v>
      </c>
      <c r="F32" s="6">
        <f t="shared" si="8"/>
        <v>0</v>
      </c>
    </row>
    <row r="33" spans="1:6" x14ac:dyDescent="0.3">
      <c r="A33" t="s">
        <v>375</v>
      </c>
      <c r="B33" s="93">
        <v>2625691.73</v>
      </c>
      <c r="C33" s="93">
        <v>2254277.9500000002</v>
      </c>
      <c r="D33" s="1">
        <f t="shared" si="6"/>
        <v>371413.7799999998</v>
      </c>
      <c r="E33" s="6">
        <f t="shared" si="7"/>
        <v>85.854631152759126</v>
      </c>
      <c r="F33" s="6">
        <f t="shared" si="8"/>
        <v>2.7111395158035356</v>
      </c>
    </row>
    <row r="34" spans="1:6" x14ac:dyDescent="0.3">
      <c r="A34" t="s">
        <v>376</v>
      </c>
      <c r="B34" s="93">
        <v>5142770.3</v>
      </c>
      <c r="C34" s="93">
        <v>4643105.3</v>
      </c>
      <c r="D34" s="1">
        <f t="shared" si="6"/>
        <v>499665</v>
      </c>
      <c r="E34" s="118">
        <f t="shared" si="7"/>
        <v>90.284127603365832</v>
      </c>
      <c r="F34" s="6">
        <f t="shared" si="8"/>
        <v>5.3101312776846061</v>
      </c>
    </row>
    <row r="35" spans="1:6" x14ac:dyDescent="0.3">
      <c r="A35" t="s">
        <v>377</v>
      </c>
      <c r="B35" s="93">
        <v>186577.53</v>
      </c>
      <c r="C35" s="93">
        <v>178124.27</v>
      </c>
      <c r="D35" s="1">
        <f t="shared" si="6"/>
        <v>8453.2600000000093</v>
      </c>
      <c r="E35" s="118">
        <f t="shared" si="7"/>
        <v>95.469304369073811</v>
      </c>
      <c r="F35" s="6">
        <f t="shared" si="8"/>
        <v>0.19264931544116173</v>
      </c>
    </row>
    <row r="36" spans="1:6" x14ac:dyDescent="0.3">
      <c r="A36" t="s">
        <v>378</v>
      </c>
      <c r="B36" s="93">
        <v>6556352.1799999997</v>
      </c>
      <c r="C36" s="93">
        <v>5268850.24</v>
      </c>
      <c r="D36" s="1">
        <f t="shared" si="6"/>
        <v>1287501.9399999995</v>
      </c>
      <c r="E36" s="6">
        <f t="shared" si="7"/>
        <v>80.362526224148027</v>
      </c>
      <c r="F36" s="6">
        <f t="shared" si="8"/>
        <v>6.7697152988796043</v>
      </c>
    </row>
    <row r="37" spans="1:6" x14ac:dyDescent="0.3">
      <c r="A37" s="4" t="s">
        <v>207</v>
      </c>
      <c r="B37" s="3">
        <f>SUM(B28:B36)</f>
        <v>86154335.180000007</v>
      </c>
      <c r="C37" s="3">
        <f>SUM(C28:C36)</f>
        <v>73243671.269999981</v>
      </c>
      <c r="D37" s="3">
        <f t="shared" si="6"/>
        <v>12910663.910000026</v>
      </c>
      <c r="E37" s="119">
        <f t="shared" si="7"/>
        <v>85.014493022288292</v>
      </c>
      <c r="F37" s="119">
        <f t="shared" si="8"/>
        <v>88.958052423115461</v>
      </c>
    </row>
    <row r="38" spans="1:6" x14ac:dyDescent="0.3">
      <c r="A38" s="120" t="s">
        <v>379</v>
      </c>
      <c r="B38" s="121">
        <v>760835292.14999998</v>
      </c>
      <c r="C38" s="122"/>
      <c r="D38" s="122"/>
      <c r="E38" s="122"/>
      <c r="F38" s="123">
        <f>B37/B38*100</f>
        <v>11.323651264459816</v>
      </c>
    </row>
    <row r="40" spans="1:6" x14ac:dyDescent="0.3">
      <c r="A40" s="12">
        <v>2020</v>
      </c>
      <c r="B40" s="12" t="s">
        <v>365</v>
      </c>
      <c r="C40" s="12" t="s">
        <v>366</v>
      </c>
      <c r="D40" s="12" t="s">
        <v>367</v>
      </c>
      <c r="E40" s="12" t="s">
        <v>368</v>
      </c>
      <c r="F40" s="12" t="s">
        <v>369</v>
      </c>
    </row>
    <row r="41" spans="1:6" x14ac:dyDescent="0.3">
      <c r="A41" t="s">
        <v>370</v>
      </c>
      <c r="B41" s="1">
        <v>24652467.239999998</v>
      </c>
      <c r="C41" s="1">
        <v>21646475.510000002</v>
      </c>
      <c r="D41" s="1">
        <f>B41-C41</f>
        <v>3005991.7299999967</v>
      </c>
      <c r="E41" s="6">
        <f>IF(B41&gt;0,C41/B41*100,"-")</f>
        <v>87.806527838631069</v>
      </c>
      <c r="F41" s="6">
        <f>B41/B$11*100</f>
        <v>25.454731540939925</v>
      </c>
    </row>
    <row r="42" spans="1:6" x14ac:dyDescent="0.3">
      <c r="A42" t="s">
        <v>371</v>
      </c>
      <c r="B42" s="1">
        <v>15168469.17</v>
      </c>
      <c r="C42" s="1">
        <v>11159089.99</v>
      </c>
      <c r="D42" s="1">
        <f t="shared" ref="D42:D50" si="9">B42-C42</f>
        <v>4009379.1799999997</v>
      </c>
      <c r="E42" s="6">
        <f t="shared" ref="E42:E50" si="10">IF(B42&gt;0,C42/B42*100,"-")</f>
        <v>73.567674265180969</v>
      </c>
      <c r="F42" s="6">
        <f t="shared" ref="F42:F50" si="11">B42/B$11*100</f>
        <v>15.662096083546965</v>
      </c>
    </row>
    <row r="43" spans="1:6" x14ac:dyDescent="0.3">
      <c r="A43" t="s">
        <v>372</v>
      </c>
      <c r="B43" s="1">
        <v>11319911.23</v>
      </c>
      <c r="C43" s="1">
        <v>9030311.2599999998</v>
      </c>
      <c r="D43" s="1">
        <f t="shared" si="9"/>
        <v>2289599.9700000007</v>
      </c>
      <c r="E43" s="6">
        <f t="shared" si="10"/>
        <v>79.773693242999045</v>
      </c>
      <c r="F43" s="6">
        <f t="shared" si="11"/>
        <v>11.688294669321749</v>
      </c>
    </row>
    <row r="44" spans="1:6" x14ac:dyDescent="0.3">
      <c r="A44" t="s">
        <v>373</v>
      </c>
      <c r="B44" s="1">
        <v>15148169.85</v>
      </c>
      <c r="C44" s="1">
        <v>12150568.699999999</v>
      </c>
      <c r="D44" s="1">
        <f t="shared" si="9"/>
        <v>2997601.1500000004</v>
      </c>
      <c r="E44" s="6">
        <f t="shared" si="10"/>
        <v>80.211463300961071</v>
      </c>
      <c r="F44" s="6">
        <f t="shared" si="11"/>
        <v>15.641136163550589</v>
      </c>
    </row>
    <row r="45" spans="1:6" x14ac:dyDescent="0.3">
      <c r="A45" t="s">
        <v>374</v>
      </c>
      <c r="B45" s="1">
        <v>0</v>
      </c>
      <c r="C45" s="1">
        <v>0</v>
      </c>
      <c r="D45" s="1">
        <f t="shared" si="9"/>
        <v>0</v>
      </c>
      <c r="E45" s="118" t="str">
        <f t="shared" si="10"/>
        <v>-</v>
      </c>
      <c r="F45" s="6">
        <f t="shared" si="11"/>
        <v>0</v>
      </c>
    </row>
    <row r="46" spans="1:6" x14ac:dyDescent="0.3">
      <c r="A46" t="s">
        <v>375</v>
      </c>
      <c r="B46" s="1">
        <v>1647562.86</v>
      </c>
      <c r="C46" s="1">
        <v>674037.7</v>
      </c>
      <c r="D46" s="1">
        <f t="shared" si="9"/>
        <v>973525.16000000015</v>
      </c>
      <c r="E46" s="6">
        <f t="shared" si="10"/>
        <v>40.911197767592306</v>
      </c>
      <c r="F46" s="6">
        <f t="shared" si="11"/>
        <v>1.7011794353011458</v>
      </c>
    </row>
    <row r="47" spans="1:6" x14ac:dyDescent="0.3">
      <c r="A47" t="s">
        <v>376</v>
      </c>
      <c r="B47" s="1">
        <v>5506872.4400000004</v>
      </c>
      <c r="C47" s="1">
        <v>4777385.3099999996</v>
      </c>
      <c r="D47" s="1">
        <f t="shared" si="9"/>
        <v>729487.13000000082</v>
      </c>
      <c r="E47" s="118">
        <f t="shared" si="10"/>
        <v>86.753150033015828</v>
      </c>
      <c r="F47" s="6">
        <f t="shared" si="11"/>
        <v>5.6860823797367237</v>
      </c>
    </row>
    <row r="48" spans="1:6" x14ac:dyDescent="0.3">
      <c r="A48" t="s">
        <v>377</v>
      </c>
      <c r="B48" s="1">
        <v>185838.66</v>
      </c>
      <c r="C48" s="1">
        <v>175059.75</v>
      </c>
      <c r="D48" s="1">
        <f t="shared" si="9"/>
        <v>10778.910000000003</v>
      </c>
      <c r="E48" s="118">
        <f t="shared" si="10"/>
        <v>94.199855939555306</v>
      </c>
      <c r="F48" s="6">
        <f t="shared" si="11"/>
        <v>0.19188640042293839</v>
      </c>
    </row>
    <row r="49" spans="1:8" x14ac:dyDescent="0.3">
      <c r="A49" t="s">
        <v>378</v>
      </c>
      <c r="B49" s="1">
        <v>7040397.54</v>
      </c>
      <c r="C49" s="1">
        <v>5597126.6699999999</v>
      </c>
      <c r="D49" s="1">
        <f t="shared" si="9"/>
        <v>1443270.87</v>
      </c>
      <c r="E49" s="6">
        <f t="shared" si="10"/>
        <v>79.50015092471611</v>
      </c>
      <c r="F49" s="6">
        <f t="shared" si="11"/>
        <v>7.2695129285645432</v>
      </c>
      <c r="H49" s="124"/>
    </row>
    <row r="50" spans="1:8" x14ac:dyDescent="0.3">
      <c r="A50" s="4" t="s">
        <v>207</v>
      </c>
      <c r="B50" s="3">
        <f>SUM(B41:B49)</f>
        <v>80669688.99000001</v>
      </c>
      <c r="C50" s="3">
        <f>SUM(C41:C49)</f>
        <v>65210054.890000001</v>
      </c>
      <c r="D50" s="3">
        <f t="shared" si="9"/>
        <v>15459634.100000009</v>
      </c>
      <c r="E50" s="119">
        <f t="shared" si="10"/>
        <v>80.835882357354294</v>
      </c>
      <c r="F50" s="119">
        <f t="shared" si="11"/>
        <v>83.294919601384592</v>
      </c>
      <c r="H50" s="124"/>
    </row>
    <row r="51" spans="1:8" x14ac:dyDescent="0.3">
      <c r="A51" s="122" t="s">
        <v>379</v>
      </c>
      <c r="B51" s="125">
        <v>701329814.51000023</v>
      </c>
      <c r="C51" s="122"/>
      <c r="D51" s="122"/>
      <c r="E51" s="122"/>
      <c r="F51" s="123">
        <f>B50/B51*100</f>
        <v>11.50238979165055</v>
      </c>
      <c r="H51" s="124"/>
    </row>
    <row r="52" spans="1:8" x14ac:dyDescent="0.3">
      <c r="H52" s="7"/>
    </row>
    <row r="53" spans="1:8" x14ac:dyDescent="0.3">
      <c r="A53" s="12">
        <v>2019</v>
      </c>
      <c r="B53" s="12" t="s">
        <v>365</v>
      </c>
      <c r="C53" s="12" t="s">
        <v>366</v>
      </c>
      <c r="D53" s="12" t="s">
        <v>367</v>
      </c>
      <c r="H53" s="27"/>
    </row>
    <row r="54" spans="1:8" x14ac:dyDescent="0.3">
      <c r="A54" t="s">
        <v>370</v>
      </c>
      <c r="B54" s="1">
        <v>25663700.489999998</v>
      </c>
      <c r="C54" s="1">
        <v>22087373.77</v>
      </c>
      <c r="D54" s="1">
        <f>B54-C54</f>
        <v>3576326.7199999988</v>
      </c>
      <c r="E54" s="6">
        <f>IF(B54&gt;0,C54/B54*100,"-")</f>
        <v>86.064649089115051</v>
      </c>
      <c r="F54" s="6">
        <f>B54/B$63*100</f>
        <v>32.251716182241815</v>
      </c>
      <c r="H54" s="27"/>
    </row>
    <row r="55" spans="1:8" x14ac:dyDescent="0.3">
      <c r="A55" t="s">
        <v>371</v>
      </c>
      <c r="B55" s="1">
        <v>14897319.220000001</v>
      </c>
      <c r="C55" s="1">
        <v>10688444.710000001</v>
      </c>
      <c r="D55" s="1">
        <f t="shared" ref="D55:D63" si="12">B55-C55</f>
        <v>4208874.51</v>
      </c>
      <c r="E55" s="6">
        <f t="shared" ref="E55:E63" si="13">IF(B55&gt;0,C55/B55*100,"-")</f>
        <v>71.747436919056639</v>
      </c>
      <c r="F55" s="6">
        <f t="shared" ref="F55:F63" si="14">B55/B$63*100</f>
        <v>18.721544523437355</v>
      </c>
      <c r="H55" s="27"/>
    </row>
    <row r="56" spans="1:8" x14ac:dyDescent="0.3">
      <c r="A56" t="s">
        <v>372</v>
      </c>
      <c r="B56" s="1">
        <v>12796516.689999999</v>
      </c>
      <c r="C56" s="1">
        <v>10529599.9</v>
      </c>
      <c r="D56" s="1">
        <f t="shared" si="12"/>
        <v>2266916.7899999991</v>
      </c>
      <c r="E56" s="6">
        <f t="shared" si="13"/>
        <v>82.284891702040213</v>
      </c>
      <c r="F56" s="6">
        <f t="shared" si="14"/>
        <v>16.081454214602257</v>
      </c>
      <c r="H56" s="28"/>
    </row>
    <row r="57" spans="1:8" x14ac:dyDescent="0.3">
      <c r="A57" t="s">
        <v>373</v>
      </c>
      <c r="B57" s="1">
        <v>11142400.890000001</v>
      </c>
      <c r="C57" s="1">
        <v>8146528.3399999999</v>
      </c>
      <c r="D57" s="1">
        <f t="shared" si="12"/>
        <v>2995872.5500000007</v>
      </c>
      <c r="E57" s="6">
        <f t="shared" si="13"/>
        <v>73.112863380380489</v>
      </c>
      <c r="F57" s="6">
        <f t="shared" si="14"/>
        <v>14.002717621843578</v>
      </c>
    </row>
    <row r="58" spans="1:8" x14ac:dyDescent="0.3">
      <c r="A58" t="s">
        <v>374</v>
      </c>
      <c r="B58" s="1">
        <v>0</v>
      </c>
      <c r="C58" s="1">
        <v>0</v>
      </c>
      <c r="D58" s="1">
        <f t="shared" si="12"/>
        <v>0</v>
      </c>
      <c r="E58" s="118" t="str">
        <f t="shared" si="13"/>
        <v>-</v>
      </c>
      <c r="F58" s="6">
        <f t="shared" si="14"/>
        <v>0</v>
      </c>
    </row>
    <row r="59" spans="1:8" x14ac:dyDescent="0.3">
      <c r="A59" t="s">
        <v>375</v>
      </c>
      <c r="B59" s="1">
        <v>1304376.81</v>
      </c>
      <c r="C59" s="1">
        <v>611976.89</v>
      </c>
      <c r="D59" s="1">
        <f t="shared" si="12"/>
        <v>692399.92</v>
      </c>
      <c r="E59" s="6">
        <f t="shared" si="13"/>
        <v>46.917185686550191</v>
      </c>
      <c r="F59" s="6">
        <f t="shared" si="14"/>
        <v>1.6392176446732667</v>
      </c>
    </row>
    <row r="60" spans="1:8" x14ac:dyDescent="0.3">
      <c r="A60" t="s">
        <v>376</v>
      </c>
      <c r="B60" s="1">
        <v>6086814.3099999996</v>
      </c>
      <c r="C60" s="1">
        <v>5059821.9400000004</v>
      </c>
      <c r="D60" s="1">
        <f t="shared" si="12"/>
        <v>1026992.3699999992</v>
      </c>
      <c r="E60" s="118">
        <f t="shared" si="13"/>
        <v>83.127588296676663</v>
      </c>
      <c r="F60" s="6">
        <f t="shared" si="14"/>
        <v>7.6493336437051003</v>
      </c>
    </row>
    <row r="61" spans="1:8" x14ac:dyDescent="0.3">
      <c r="A61" t="s">
        <v>377</v>
      </c>
      <c r="B61" s="1">
        <v>223712.96</v>
      </c>
      <c r="C61" s="1">
        <v>213158.29</v>
      </c>
      <c r="D61" s="1">
        <f t="shared" si="12"/>
        <v>10554.669999999984</v>
      </c>
      <c r="E61" s="118">
        <f t="shared" si="13"/>
        <v>95.28204803154901</v>
      </c>
      <c r="F61" s="6">
        <f t="shared" si="14"/>
        <v>0.28114133014530113</v>
      </c>
    </row>
    <row r="62" spans="1:8" x14ac:dyDescent="0.3">
      <c r="A62" t="s">
        <v>378</v>
      </c>
      <c r="B62" s="1">
        <v>7458290.0099999998</v>
      </c>
      <c r="C62" s="1">
        <v>6005008.9400000004</v>
      </c>
      <c r="D62" s="1">
        <f t="shared" si="12"/>
        <v>1453281.0699999994</v>
      </c>
      <c r="E62" s="6">
        <f t="shared" si="13"/>
        <v>80.5145540324732</v>
      </c>
      <c r="F62" s="6">
        <f t="shared" si="14"/>
        <v>9.3728748393513328</v>
      </c>
    </row>
    <row r="63" spans="1:8" x14ac:dyDescent="0.3">
      <c r="A63" s="4" t="s">
        <v>207</v>
      </c>
      <c r="B63" s="3">
        <f>SUM(B54:B62)</f>
        <v>79573131.379999995</v>
      </c>
      <c r="C63" s="3">
        <f>SUM(C54:C62)</f>
        <v>63341912.779999994</v>
      </c>
      <c r="D63" s="3">
        <f t="shared" si="12"/>
        <v>16231218.600000001</v>
      </c>
      <c r="E63" s="119">
        <f t="shared" si="13"/>
        <v>79.602136652775272</v>
      </c>
      <c r="F63" s="119">
        <f t="shared" si="14"/>
        <v>100</v>
      </c>
    </row>
    <row r="64" spans="1:8" x14ac:dyDescent="0.3">
      <c r="A64" s="122" t="s">
        <v>379</v>
      </c>
      <c r="B64" s="125">
        <v>686242339.5</v>
      </c>
      <c r="C64" s="122"/>
      <c r="D64" s="122"/>
      <c r="E64" s="122"/>
      <c r="F64" s="123">
        <f>B63/B64*100</f>
        <v>11.595485559514941</v>
      </c>
    </row>
    <row r="66" spans="1:6" x14ac:dyDescent="0.3">
      <c r="A66" s="12">
        <v>2018</v>
      </c>
      <c r="B66" s="12" t="s">
        <v>365</v>
      </c>
      <c r="C66" s="12" t="s">
        <v>366</v>
      </c>
      <c r="D66" s="12" t="s">
        <v>367</v>
      </c>
    </row>
    <row r="67" spans="1:6" x14ac:dyDescent="0.3">
      <c r="A67" t="s">
        <v>370</v>
      </c>
      <c r="B67" s="1">
        <v>27905529.449999999</v>
      </c>
      <c r="C67" s="1">
        <v>24566679.899999999</v>
      </c>
      <c r="D67" s="1">
        <f>B67-C67</f>
        <v>3338849.5500000007</v>
      </c>
      <c r="E67" s="6">
        <f>IF(B67&gt;0,C67/B67*100,"-")</f>
        <v>88.035168599891946</v>
      </c>
      <c r="F67" s="6">
        <f>B67/B$76*100</f>
        <v>36.017646391841019</v>
      </c>
    </row>
    <row r="68" spans="1:6" x14ac:dyDescent="0.3">
      <c r="A68" t="s">
        <v>371</v>
      </c>
      <c r="B68" s="1">
        <v>14838240.689999999</v>
      </c>
      <c r="C68" s="1">
        <v>10658381.630000001</v>
      </c>
      <c r="D68" s="1">
        <f>B68-C68</f>
        <v>4179859.0599999987</v>
      </c>
      <c r="E68" s="6">
        <f t="shared" ref="E68:E76" si="15">IF(B68&gt;0,C68/B68*100,"-")</f>
        <v>71.830494279440089</v>
      </c>
      <c r="F68" s="6">
        <f t="shared" ref="F68:F76" si="16">B68/B$76*100</f>
        <v>19.15170637443136</v>
      </c>
    </row>
    <row r="69" spans="1:6" x14ac:dyDescent="0.3">
      <c r="A69" t="s">
        <v>372</v>
      </c>
      <c r="B69" s="1">
        <v>12422275.67</v>
      </c>
      <c r="C69" s="1">
        <v>10380830.98</v>
      </c>
      <c r="D69" s="1">
        <f t="shared" ref="D69:D76" si="17">B69-C69</f>
        <v>2041444.6899999995</v>
      </c>
      <c r="E69" s="6">
        <f t="shared" si="15"/>
        <v>83.566258355301827</v>
      </c>
      <c r="F69" s="6">
        <f t="shared" si="16"/>
        <v>16.03342209527689</v>
      </c>
    </row>
    <row r="70" spans="1:6" x14ac:dyDescent="0.3">
      <c r="A70" t="s">
        <v>373</v>
      </c>
      <c r="B70" s="1">
        <v>8834547.0099999998</v>
      </c>
      <c r="C70" s="1">
        <v>7416475.6299999999</v>
      </c>
      <c r="D70" s="1">
        <f t="shared" si="17"/>
        <v>1418071.38</v>
      </c>
      <c r="E70" s="6">
        <f t="shared" si="15"/>
        <v>83.948567160321218</v>
      </c>
      <c r="F70" s="6">
        <f t="shared" si="16"/>
        <v>11.402743345486906</v>
      </c>
    </row>
    <row r="71" spans="1:6" x14ac:dyDescent="0.3">
      <c r="A71" t="s">
        <v>374</v>
      </c>
      <c r="B71" s="1">
        <v>0</v>
      </c>
      <c r="C71" s="1">
        <v>0</v>
      </c>
      <c r="D71" s="1">
        <f t="shared" si="17"/>
        <v>0</v>
      </c>
      <c r="E71" s="13" t="str">
        <f t="shared" si="15"/>
        <v>-</v>
      </c>
      <c r="F71" s="6">
        <f t="shared" si="16"/>
        <v>0</v>
      </c>
    </row>
    <row r="72" spans="1:6" x14ac:dyDescent="0.3">
      <c r="A72" t="s">
        <v>375</v>
      </c>
      <c r="B72" s="1">
        <v>597634.16</v>
      </c>
      <c r="C72" s="1">
        <v>524046.63</v>
      </c>
      <c r="D72" s="1">
        <f t="shared" si="17"/>
        <v>73587.530000000028</v>
      </c>
      <c r="E72" s="6">
        <f t="shared" si="15"/>
        <v>87.686860135304173</v>
      </c>
      <c r="F72" s="6">
        <f t="shared" si="16"/>
        <v>0.77136597193517642</v>
      </c>
    </row>
    <row r="73" spans="1:6" x14ac:dyDescent="0.3">
      <c r="A73" t="s">
        <v>376</v>
      </c>
      <c r="B73" s="1">
        <v>5354008.79</v>
      </c>
      <c r="C73" s="1">
        <v>4527143.0599999996</v>
      </c>
      <c r="D73" s="1">
        <f t="shared" si="17"/>
        <v>826865.73000000045</v>
      </c>
      <c r="E73" s="118">
        <f t="shared" si="15"/>
        <v>84.556137981237782</v>
      </c>
      <c r="F73" s="6">
        <f t="shared" si="16"/>
        <v>6.9104152179785512</v>
      </c>
    </row>
    <row r="74" spans="1:6" x14ac:dyDescent="0.3">
      <c r="A74" t="s">
        <v>377</v>
      </c>
      <c r="B74" s="1">
        <v>208469.34</v>
      </c>
      <c r="C74" s="1">
        <v>199547.25</v>
      </c>
      <c r="D74" s="1">
        <f t="shared" si="17"/>
        <v>8922.0899999999965</v>
      </c>
      <c r="E74" s="118">
        <f t="shared" si="15"/>
        <v>95.720190796402008</v>
      </c>
      <c r="F74" s="6">
        <f t="shared" si="16"/>
        <v>0.26907122422149488</v>
      </c>
    </row>
    <row r="75" spans="1:6" x14ac:dyDescent="0.3">
      <c r="A75" t="s">
        <v>378</v>
      </c>
      <c r="B75" s="1">
        <v>7316676.7999999998</v>
      </c>
      <c r="C75" s="1">
        <v>5727127.9699999997</v>
      </c>
      <c r="D75" s="1">
        <f t="shared" si="17"/>
        <v>1589548.83</v>
      </c>
      <c r="E75" s="6">
        <f t="shared" si="15"/>
        <v>78.274989131677913</v>
      </c>
      <c r="F75" s="6">
        <f t="shared" si="16"/>
        <v>9.4436293788286072</v>
      </c>
    </row>
    <row r="76" spans="1:6" x14ac:dyDescent="0.3">
      <c r="A76" s="4" t="s">
        <v>207</v>
      </c>
      <c r="B76" s="3">
        <f>SUM(B67:B75)</f>
        <v>77477381.909999996</v>
      </c>
      <c r="C76" s="3">
        <f>SUM(C67:C75)</f>
        <v>64000233.050000012</v>
      </c>
      <c r="D76" s="3">
        <f t="shared" si="17"/>
        <v>13477148.859999985</v>
      </c>
      <c r="E76" s="119">
        <f t="shared" si="15"/>
        <v>82.605053852161092</v>
      </c>
      <c r="F76" s="119">
        <f t="shared" si="16"/>
        <v>100</v>
      </c>
    </row>
    <row r="77" spans="1:6" x14ac:dyDescent="0.3">
      <c r="A77" s="122" t="s">
        <v>379</v>
      </c>
      <c r="B77" s="125">
        <v>659909647.96999991</v>
      </c>
      <c r="C77" s="122"/>
      <c r="D77" s="122"/>
      <c r="E77" s="122"/>
      <c r="F77" s="123">
        <f>B76/B77*100</f>
        <v>11.740604512804788</v>
      </c>
    </row>
    <row r="79" spans="1:6" x14ac:dyDescent="0.3">
      <c r="A79" s="12">
        <v>2017</v>
      </c>
      <c r="B79" s="12" t="s">
        <v>365</v>
      </c>
      <c r="C79" s="12" t="s">
        <v>366</v>
      </c>
      <c r="D79" s="12" t="s">
        <v>367</v>
      </c>
    </row>
    <row r="80" spans="1:6" x14ac:dyDescent="0.3">
      <c r="A80" t="s">
        <v>370</v>
      </c>
      <c r="B80" s="1">
        <v>28100629.989999998</v>
      </c>
      <c r="C80" s="1">
        <v>24784084.940000001</v>
      </c>
      <c r="D80" s="1">
        <f>B80-C80</f>
        <v>3316545.049999997</v>
      </c>
      <c r="E80" s="6">
        <f>IF(B80&gt;0,C80/B80*100,"-")</f>
        <v>88.197613180984774</v>
      </c>
      <c r="F80" s="6">
        <f>B80/B$89*100</f>
        <v>37.470901492027906</v>
      </c>
    </row>
    <row r="81" spans="1:6" x14ac:dyDescent="0.3">
      <c r="A81" t="s">
        <v>371</v>
      </c>
      <c r="B81" s="1">
        <v>15265701.050000001</v>
      </c>
      <c r="C81" s="1">
        <v>11499802.619999999</v>
      </c>
      <c r="D81" s="1">
        <f>B81-C81</f>
        <v>3765898.4300000016</v>
      </c>
      <c r="E81" s="6">
        <f t="shared" ref="E81:E89" si="18">IF(B81&gt;0,C81/B81*100,"-")</f>
        <v>75.330982719591503</v>
      </c>
      <c r="F81" s="6">
        <f t="shared" ref="F81:F89" si="19">B81/B$89*100</f>
        <v>20.356112316871837</v>
      </c>
    </row>
    <row r="82" spans="1:6" x14ac:dyDescent="0.3">
      <c r="A82" t="s">
        <v>372</v>
      </c>
      <c r="B82" s="1">
        <v>12436097.35</v>
      </c>
      <c r="C82" s="1">
        <v>10417902.34</v>
      </c>
      <c r="D82" s="1">
        <f t="shared" ref="D82:D89" si="20">B82-C82</f>
        <v>2018195.0099999998</v>
      </c>
      <c r="E82" s="6">
        <f t="shared" si="18"/>
        <v>83.771476266225918</v>
      </c>
      <c r="F82" s="6">
        <f t="shared" si="19"/>
        <v>16.58296553895585</v>
      </c>
    </row>
    <row r="83" spans="1:6" x14ac:dyDescent="0.3">
      <c r="A83" t="s">
        <v>373</v>
      </c>
      <c r="B83" s="1">
        <v>7775138.5</v>
      </c>
      <c r="C83" s="1">
        <v>5487373.1399999997</v>
      </c>
      <c r="D83" s="1">
        <f t="shared" si="20"/>
        <v>2287765.3600000003</v>
      </c>
      <c r="E83" s="6">
        <f t="shared" si="18"/>
        <v>70.575889291232556</v>
      </c>
      <c r="F83" s="6">
        <f t="shared" si="19"/>
        <v>10.367790648254205</v>
      </c>
    </row>
    <row r="84" spans="1:6" x14ac:dyDescent="0.3">
      <c r="A84" t="s">
        <v>374</v>
      </c>
      <c r="B84" s="1">
        <v>0</v>
      </c>
      <c r="C84" s="1">
        <v>0</v>
      </c>
      <c r="D84" s="1">
        <f t="shared" si="20"/>
        <v>0</v>
      </c>
      <c r="E84" s="13" t="str">
        <f t="shared" si="18"/>
        <v>-</v>
      </c>
      <c r="F84" s="6">
        <f t="shared" si="19"/>
        <v>0</v>
      </c>
    </row>
    <row r="85" spans="1:6" x14ac:dyDescent="0.3">
      <c r="A85" t="s">
        <v>375</v>
      </c>
      <c r="B85" s="1">
        <v>499508.13</v>
      </c>
      <c r="C85" s="1">
        <v>453210</v>
      </c>
      <c r="D85" s="1">
        <f t="shared" si="20"/>
        <v>46298.130000000005</v>
      </c>
      <c r="E85" s="6">
        <f t="shared" si="18"/>
        <v>90.731255965743742</v>
      </c>
      <c r="F85" s="6">
        <f t="shared" si="19"/>
        <v>0.66607118560536838</v>
      </c>
    </row>
    <row r="86" spans="1:6" x14ac:dyDescent="0.3">
      <c r="A86" t="s">
        <v>376</v>
      </c>
      <c r="B86" s="1">
        <v>4517480.1399999997</v>
      </c>
      <c r="C86" s="1">
        <v>3463237.63</v>
      </c>
      <c r="D86" s="1">
        <f t="shared" si="20"/>
        <v>1054242.5099999998</v>
      </c>
      <c r="E86" s="118">
        <f t="shared" si="18"/>
        <v>76.663040515325875</v>
      </c>
      <c r="F86" s="6">
        <f t="shared" si="19"/>
        <v>6.0238526103639307</v>
      </c>
    </row>
    <row r="87" spans="1:6" x14ac:dyDescent="0.3">
      <c r="A87" t="s">
        <v>377</v>
      </c>
      <c r="B87" s="1">
        <v>198410.25</v>
      </c>
      <c r="C87" s="1">
        <v>181930.86</v>
      </c>
      <c r="D87" s="1">
        <f t="shared" si="20"/>
        <v>16479.390000000014</v>
      </c>
      <c r="E87" s="118">
        <f t="shared" si="18"/>
        <v>91.694284947476248</v>
      </c>
      <c r="F87" s="6">
        <f t="shared" si="19"/>
        <v>0.26457096995349716</v>
      </c>
    </row>
    <row r="88" spans="1:6" x14ac:dyDescent="0.3">
      <c r="A88" t="s">
        <v>378</v>
      </c>
      <c r="B88" s="1">
        <v>6200239.6399999997</v>
      </c>
      <c r="C88" s="1">
        <v>4476850.9400000004</v>
      </c>
      <c r="D88" s="1">
        <f t="shared" si="20"/>
        <v>1723388.6999999993</v>
      </c>
      <c r="E88" s="6">
        <f t="shared" si="18"/>
        <v>72.204482406102628</v>
      </c>
      <c r="F88" s="6">
        <f t="shared" si="19"/>
        <v>8.2677352379674023</v>
      </c>
    </row>
    <row r="89" spans="1:6" x14ac:dyDescent="0.3">
      <c r="A89" s="4" t="s">
        <v>207</v>
      </c>
      <c r="B89" s="3">
        <f>SUM(B80:B88)</f>
        <v>74993205.049999997</v>
      </c>
      <c r="C89" s="3">
        <f>SUM(C80:C88)</f>
        <v>60764392.470000006</v>
      </c>
      <c r="D89" s="3">
        <f t="shared" si="20"/>
        <v>14228812.579999991</v>
      </c>
      <c r="E89" s="119">
        <f t="shared" si="18"/>
        <v>81.026530909682734</v>
      </c>
      <c r="F89" s="119">
        <f t="shared" si="19"/>
        <v>100</v>
      </c>
    </row>
    <row r="90" spans="1:6" x14ac:dyDescent="0.3">
      <c r="A90" s="122" t="s">
        <v>379</v>
      </c>
      <c r="B90" s="125">
        <v>661089698.75</v>
      </c>
      <c r="C90" s="122"/>
      <c r="D90" s="122"/>
      <c r="E90" s="122"/>
      <c r="F90" s="123">
        <f>B89/B90*100</f>
        <v>11.343877418117158</v>
      </c>
    </row>
    <row r="92" spans="1:6" x14ac:dyDescent="0.3">
      <c r="A92" s="12">
        <v>2016</v>
      </c>
      <c r="B92" s="12" t="s">
        <v>365</v>
      </c>
      <c r="C92" s="12" t="s">
        <v>366</v>
      </c>
      <c r="D92" s="12" t="s">
        <v>367</v>
      </c>
    </row>
    <row r="93" spans="1:6" x14ac:dyDescent="0.3">
      <c r="A93" t="s">
        <v>370</v>
      </c>
      <c r="B93" s="1">
        <v>26804539.34</v>
      </c>
      <c r="C93" s="1">
        <v>24475611.719999999</v>
      </c>
      <c r="D93" s="1">
        <f>B93-C93</f>
        <v>2328927.620000001</v>
      </c>
      <c r="E93" s="6">
        <f>IF(B93&gt;0,C93/B93*100,"-")</f>
        <v>91.311443220646666</v>
      </c>
      <c r="F93" s="6">
        <f>B93/B$102*100</f>
        <v>34.125678220282587</v>
      </c>
    </row>
    <row r="94" spans="1:6" x14ac:dyDescent="0.3">
      <c r="A94" t="s">
        <v>371</v>
      </c>
      <c r="B94" s="1">
        <v>16517629.5</v>
      </c>
      <c r="C94" s="1">
        <v>12317877.539999999</v>
      </c>
      <c r="D94" s="1">
        <f>B94-C94</f>
        <v>4199751.9600000009</v>
      </c>
      <c r="E94" s="6">
        <f t="shared" ref="E94:E102" si="21">IF(B94&gt;0,C94/B94*100,"-")</f>
        <v>74.574124210741005</v>
      </c>
      <c r="F94" s="6">
        <f t="shared" ref="F94:F102" si="22">B94/B$102*100</f>
        <v>21.029098919737198</v>
      </c>
    </row>
    <row r="95" spans="1:6" x14ac:dyDescent="0.3">
      <c r="A95" t="s">
        <v>372</v>
      </c>
      <c r="B95" s="1">
        <v>13442422.65</v>
      </c>
      <c r="C95" s="1">
        <v>10718578.48</v>
      </c>
      <c r="D95" s="1">
        <f t="shared" ref="D95:D102" si="23">B95-C95</f>
        <v>2723844.17</v>
      </c>
      <c r="E95" s="118">
        <f t="shared" si="21"/>
        <v>79.736954856124839</v>
      </c>
      <c r="F95" s="6">
        <f t="shared" si="22"/>
        <v>17.113959096113994</v>
      </c>
    </row>
    <row r="96" spans="1:6" x14ac:dyDescent="0.3">
      <c r="A96" t="s">
        <v>373</v>
      </c>
      <c r="B96" s="1">
        <v>9617038.4399999995</v>
      </c>
      <c r="C96" s="1">
        <v>8433297.1099999994</v>
      </c>
      <c r="D96" s="1">
        <f t="shared" si="23"/>
        <v>1183741.33</v>
      </c>
      <c r="E96" s="6">
        <f t="shared" si="21"/>
        <v>87.691207252780828</v>
      </c>
      <c r="F96" s="6">
        <f t="shared" si="22"/>
        <v>12.243745548940609</v>
      </c>
    </row>
    <row r="97" spans="1:9" x14ac:dyDescent="0.3">
      <c r="A97" t="s">
        <v>374</v>
      </c>
      <c r="B97" s="1">
        <v>0</v>
      </c>
      <c r="C97" s="1">
        <v>0</v>
      </c>
      <c r="D97" s="1">
        <f t="shared" si="23"/>
        <v>0</v>
      </c>
      <c r="E97" s="13" t="str">
        <f t="shared" si="21"/>
        <v>-</v>
      </c>
      <c r="F97" s="6">
        <f t="shared" si="22"/>
        <v>0</v>
      </c>
    </row>
    <row r="98" spans="1:9" x14ac:dyDescent="0.3">
      <c r="A98" t="s">
        <v>375</v>
      </c>
      <c r="B98" s="1">
        <v>1661944.82</v>
      </c>
      <c r="C98" s="1">
        <v>1237702.98</v>
      </c>
      <c r="D98" s="1">
        <f t="shared" si="23"/>
        <v>424241.84000000008</v>
      </c>
      <c r="E98" s="6">
        <f t="shared" si="21"/>
        <v>74.473169331819335</v>
      </c>
      <c r="F98" s="6">
        <f t="shared" si="22"/>
        <v>2.1158727418437877</v>
      </c>
    </row>
    <row r="99" spans="1:9" x14ac:dyDescent="0.3">
      <c r="A99" t="s">
        <v>376</v>
      </c>
      <c r="B99" s="1">
        <v>4384682.09</v>
      </c>
      <c r="C99" s="1">
        <v>3404619.86</v>
      </c>
      <c r="D99" s="1">
        <f t="shared" si="23"/>
        <v>980062.23</v>
      </c>
      <c r="E99" s="6">
        <f t="shared" si="21"/>
        <v>77.64804357800088</v>
      </c>
      <c r="F99" s="6">
        <f t="shared" si="22"/>
        <v>5.5822727711751883</v>
      </c>
    </row>
    <row r="100" spans="1:9" x14ac:dyDescent="0.3">
      <c r="A100" t="s">
        <v>377</v>
      </c>
      <c r="B100" s="1">
        <v>202433.47</v>
      </c>
      <c r="C100" s="1">
        <v>190518.34</v>
      </c>
      <c r="D100" s="1">
        <f t="shared" si="23"/>
        <v>11915.130000000005</v>
      </c>
      <c r="E100" s="118">
        <f t="shared" si="21"/>
        <v>94.114051396737892</v>
      </c>
      <c r="F100" s="6">
        <f t="shared" si="22"/>
        <v>0.25772423732446914</v>
      </c>
    </row>
    <row r="101" spans="1:9" x14ac:dyDescent="0.3">
      <c r="A101" t="s">
        <v>378</v>
      </c>
      <c r="B101" s="1">
        <v>5915849.2400000002</v>
      </c>
      <c r="C101" s="1">
        <v>4539784.29</v>
      </c>
      <c r="D101" s="1">
        <f t="shared" si="23"/>
        <v>1376064.9500000002</v>
      </c>
      <c r="E101" s="6">
        <f t="shared" si="21"/>
        <v>76.739350612660303</v>
      </c>
      <c r="F101" s="6">
        <f t="shared" si="22"/>
        <v>7.531648464582168</v>
      </c>
    </row>
    <row r="102" spans="1:9" x14ac:dyDescent="0.3">
      <c r="A102" s="4" t="s">
        <v>207</v>
      </c>
      <c r="B102" s="3">
        <f>SUM(B93:B101)</f>
        <v>78546539.549999997</v>
      </c>
      <c r="C102" s="3">
        <f>SUM(C93:C101)</f>
        <v>65317990.319999993</v>
      </c>
      <c r="D102" s="3">
        <f t="shared" si="23"/>
        <v>13228549.230000004</v>
      </c>
      <c r="E102" s="119">
        <f t="shared" si="21"/>
        <v>83.158329691177329</v>
      </c>
      <c r="F102" s="119">
        <f t="shared" si="22"/>
        <v>100</v>
      </c>
    </row>
    <row r="103" spans="1:9" x14ac:dyDescent="0.3">
      <c r="A103" s="122" t="s">
        <v>379</v>
      </c>
      <c r="B103" s="125">
        <v>674627858.33000004</v>
      </c>
      <c r="C103" s="122"/>
      <c r="D103" s="122"/>
      <c r="E103" s="122"/>
      <c r="F103" s="123">
        <f>B102/B103*100</f>
        <v>11.642943376877016</v>
      </c>
    </row>
    <row r="105" spans="1:9" x14ac:dyDescent="0.3">
      <c r="B105" s="126">
        <v>2016</v>
      </c>
      <c r="C105" s="126">
        <v>2017</v>
      </c>
      <c r="D105" s="126">
        <v>2018</v>
      </c>
      <c r="E105" s="126">
        <v>2019</v>
      </c>
      <c r="F105" s="126">
        <v>2020</v>
      </c>
      <c r="G105" s="126">
        <v>2021</v>
      </c>
      <c r="H105" s="126">
        <v>2022</v>
      </c>
      <c r="I105" s="126">
        <v>2023</v>
      </c>
    </row>
    <row r="106" spans="1:9" x14ac:dyDescent="0.3">
      <c r="A106" t="s">
        <v>370</v>
      </c>
      <c r="B106" s="1">
        <f>B93</f>
        <v>26804539.34</v>
      </c>
      <c r="C106" s="1">
        <f>B80</f>
        <v>28100629.989999998</v>
      </c>
      <c r="D106" s="1">
        <f>B67</f>
        <v>27905529.449999999</v>
      </c>
      <c r="E106" s="1">
        <f>B54</f>
        <v>25663700.489999998</v>
      </c>
      <c r="F106" s="1">
        <f>B41</f>
        <v>24652467.239999998</v>
      </c>
      <c r="G106" s="1">
        <f>B28</f>
        <v>28398190.370000001</v>
      </c>
      <c r="H106" s="1">
        <f>$B15</f>
        <v>29845460.920000002</v>
      </c>
      <c r="I106" s="1">
        <f>$B2</f>
        <v>32555498.800000001</v>
      </c>
    </row>
    <row r="107" spans="1:9" x14ac:dyDescent="0.3">
      <c r="A107" t="s">
        <v>371</v>
      </c>
      <c r="B107" s="1">
        <f>B94</f>
        <v>16517629.5</v>
      </c>
      <c r="C107" s="1">
        <f>B81</f>
        <v>15265701.050000001</v>
      </c>
      <c r="D107" s="1">
        <f>B68</f>
        <v>14838240.689999999</v>
      </c>
      <c r="E107" s="1">
        <f>B55</f>
        <v>14897319.220000001</v>
      </c>
      <c r="F107" s="1">
        <f>B42</f>
        <v>15168469.17</v>
      </c>
      <c r="G107" s="1">
        <f t="shared" ref="G107" si="24">B29</f>
        <v>16739226.02</v>
      </c>
      <c r="H107" s="1">
        <f t="shared" ref="H107" si="25">$B16</f>
        <v>16495528.26</v>
      </c>
      <c r="I107" s="1">
        <f>$B3</f>
        <v>16332463.77</v>
      </c>
    </row>
    <row r="108" spans="1:9" x14ac:dyDescent="0.3">
      <c r="A108" t="s">
        <v>373</v>
      </c>
      <c r="B108" s="1">
        <f>B96</f>
        <v>9617038.4399999995</v>
      </c>
      <c r="C108" s="1">
        <f>B83</f>
        <v>7775138.5</v>
      </c>
      <c r="D108" s="1">
        <f>B70</f>
        <v>8834547.0099999998</v>
      </c>
      <c r="E108" s="1">
        <f>B57</f>
        <v>11142400.890000001</v>
      </c>
      <c r="F108" s="1">
        <f>B44</f>
        <v>15148169.85</v>
      </c>
      <c r="G108" s="1">
        <f>B31</f>
        <v>14929618.1</v>
      </c>
      <c r="H108" s="1">
        <f>$B18</f>
        <v>12946320.439999999</v>
      </c>
      <c r="I108" s="1">
        <f>$B5</f>
        <v>13213921.24</v>
      </c>
    </row>
    <row r="109" spans="1:9" x14ac:dyDescent="0.3">
      <c r="A109" t="s">
        <v>372</v>
      </c>
      <c r="B109" s="1">
        <f>B95</f>
        <v>13442422.65</v>
      </c>
      <c r="C109" s="1">
        <f>B82</f>
        <v>12436097.35</v>
      </c>
      <c r="D109" s="1">
        <f>B69</f>
        <v>12422275.67</v>
      </c>
      <c r="E109" s="1">
        <f>B56</f>
        <v>12796516.689999999</v>
      </c>
      <c r="F109" s="1">
        <f>B43</f>
        <v>11319911.23</v>
      </c>
      <c r="G109" s="1">
        <f>B30</f>
        <v>11575908.949999999</v>
      </c>
      <c r="H109" s="1">
        <f>$B17</f>
        <v>12263112.210000001</v>
      </c>
      <c r="I109" s="1">
        <f>$B4</f>
        <v>12637473.41</v>
      </c>
    </row>
    <row r="110" spans="1:9" ht="15" customHeight="1" x14ac:dyDescent="0.3">
      <c r="A110" t="s">
        <v>376</v>
      </c>
      <c r="B110" s="1">
        <f>B99</f>
        <v>4384682.09</v>
      </c>
      <c r="C110" s="1">
        <f>B86</f>
        <v>4517480.1399999997</v>
      </c>
      <c r="D110" s="1">
        <f>B73</f>
        <v>5354008.79</v>
      </c>
      <c r="E110" s="1">
        <f>B60</f>
        <v>6086814.3099999996</v>
      </c>
      <c r="F110" s="1">
        <f>B47</f>
        <v>5506872.4400000004</v>
      </c>
      <c r="G110" s="1">
        <f>B34</f>
        <v>5142770.3</v>
      </c>
      <c r="H110" s="1">
        <f>$B21</f>
        <v>5414409.8099999996</v>
      </c>
      <c r="I110" s="1">
        <f>$B8</f>
        <v>11744751.91</v>
      </c>
    </row>
    <row r="111" spans="1:9" x14ac:dyDescent="0.3">
      <c r="A111" t="s">
        <v>378</v>
      </c>
      <c r="B111" s="1">
        <f>B101</f>
        <v>5915849.2400000002</v>
      </c>
      <c r="C111" s="1">
        <f>B88</f>
        <v>6200239.6399999997</v>
      </c>
      <c r="D111" s="1">
        <f>B75</f>
        <v>7316676.7999999998</v>
      </c>
      <c r="E111" s="1">
        <f>B62</f>
        <v>7458290.0099999998</v>
      </c>
      <c r="F111" s="1">
        <f>B49</f>
        <v>7040397.54</v>
      </c>
      <c r="G111" s="1">
        <f>B36</f>
        <v>6556352.1799999997</v>
      </c>
      <c r="H111" s="1">
        <f>$B23</f>
        <v>8757612.3200000003</v>
      </c>
      <c r="I111" s="1">
        <f>$B10</f>
        <v>7521978.9299999997</v>
      </c>
    </row>
    <row r="112" spans="1:9" x14ac:dyDescent="0.3">
      <c r="A112" t="s">
        <v>375</v>
      </c>
      <c r="B112" s="1">
        <f>B98</f>
        <v>1661944.82</v>
      </c>
      <c r="C112" s="1">
        <f>B85</f>
        <v>499508.13</v>
      </c>
      <c r="D112" s="1">
        <f>B72</f>
        <v>597634.16</v>
      </c>
      <c r="E112" s="1">
        <f>B59</f>
        <v>1304376.81</v>
      </c>
      <c r="F112" s="1">
        <f>B46</f>
        <v>1647562.86</v>
      </c>
      <c r="G112" s="1">
        <f>B33</f>
        <v>2625691.73</v>
      </c>
      <c r="H112" s="1">
        <f>$B20</f>
        <v>1813164.57</v>
      </c>
      <c r="I112" s="1">
        <f>$B7</f>
        <v>2611834.21</v>
      </c>
    </row>
    <row r="113" spans="1:9" x14ac:dyDescent="0.3">
      <c r="A113" t="s">
        <v>377</v>
      </c>
      <c r="B113" s="1">
        <f>B100</f>
        <v>202433.47</v>
      </c>
      <c r="C113" s="1">
        <f>B87</f>
        <v>198410.25</v>
      </c>
      <c r="D113" s="1">
        <f>B74</f>
        <v>208469.34</v>
      </c>
      <c r="E113" s="1">
        <f>B61</f>
        <v>223712.96</v>
      </c>
      <c r="F113" s="1">
        <f>B48</f>
        <v>185838.66</v>
      </c>
      <c r="G113" s="1">
        <f>B35</f>
        <v>186577.53</v>
      </c>
      <c r="H113" s="1">
        <f>$B22</f>
        <v>202300.73</v>
      </c>
      <c r="I113" s="1">
        <f>$B9</f>
        <v>230348.16</v>
      </c>
    </row>
    <row r="114" spans="1:9" x14ac:dyDescent="0.3">
      <c r="A114" t="s">
        <v>374</v>
      </c>
      <c r="B114" s="1">
        <f>B97</f>
        <v>0</v>
      </c>
      <c r="C114" s="1">
        <f>B84</f>
        <v>0</v>
      </c>
      <c r="D114" s="1">
        <f>B71</f>
        <v>0</v>
      </c>
      <c r="E114" s="1">
        <f>B58</f>
        <v>0</v>
      </c>
      <c r="F114" s="1">
        <f>B45</f>
        <v>0</v>
      </c>
      <c r="G114" s="1">
        <f>B32</f>
        <v>0</v>
      </c>
      <c r="H114" s="1">
        <f>$B19</f>
        <v>0</v>
      </c>
      <c r="I114" s="1">
        <f>$B6</f>
        <v>0</v>
      </c>
    </row>
    <row r="115" spans="1:9" x14ac:dyDescent="0.3">
      <c r="B115" s="3">
        <f>SUM(B106:B114)</f>
        <v>78546539.549999982</v>
      </c>
      <c r="C115" s="3">
        <f t="shared" ref="C115:I115" si="26">SUM(C106:C114)</f>
        <v>74993205.049999997</v>
      </c>
      <c r="D115" s="3">
        <f t="shared" si="26"/>
        <v>77477381.909999996</v>
      </c>
      <c r="E115" s="3">
        <f t="shared" si="26"/>
        <v>79573131.379999995</v>
      </c>
      <c r="F115" s="3">
        <f t="shared" si="26"/>
        <v>80669688.989999995</v>
      </c>
      <c r="G115" s="3">
        <f t="shared" si="26"/>
        <v>86154335.179999992</v>
      </c>
      <c r="H115" s="3">
        <f t="shared" si="26"/>
        <v>87737909.260000005</v>
      </c>
      <c r="I115" s="3">
        <f t="shared" si="26"/>
        <v>96848270.429999992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I5" sqref="I5"/>
    </sheetView>
  </sheetViews>
  <sheetFormatPr defaultRowHeight="14.4" x14ac:dyDescent="0.3"/>
  <cols>
    <col min="1" max="1" width="40.6640625" bestFit="1" customWidth="1"/>
    <col min="2" max="9" width="12.5546875" bestFit="1" customWidth="1"/>
  </cols>
  <sheetData>
    <row r="1" spans="1:10" x14ac:dyDescent="0.3"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</row>
    <row r="2" spans="1:10" x14ac:dyDescent="0.3">
      <c r="A2" s="5" t="s">
        <v>39</v>
      </c>
      <c r="B2" s="1">
        <v>19531686.559999999</v>
      </c>
      <c r="C2" s="1">
        <v>17381039.989999998</v>
      </c>
      <c r="D2" s="1">
        <v>18034692.920000002</v>
      </c>
      <c r="E2" s="1">
        <v>17454391.440000001</v>
      </c>
      <c r="F2" s="1">
        <v>17755401.989999998</v>
      </c>
      <c r="G2" s="1">
        <v>17232343.91</v>
      </c>
      <c r="H2" s="1">
        <v>18175313.73</v>
      </c>
      <c r="I2" s="1">
        <v>17448290.699999999</v>
      </c>
      <c r="J2" s="6">
        <f t="shared" ref="J2:J17" si="0">I2/I$15*100</f>
        <v>18.016109758626278</v>
      </c>
    </row>
    <row r="3" spans="1:10" x14ac:dyDescent="0.3">
      <c r="A3" s="5" t="s">
        <v>40</v>
      </c>
      <c r="B3" s="1">
        <v>782446.89</v>
      </c>
      <c r="C3" s="1">
        <v>630536.22</v>
      </c>
      <c r="D3" s="1">
        <v>639634.75</v>
      </c>
      <c r="E3" s="1">
        <v>599194.25</v>
      </c>
      <c r="F3" s="1">
        <v>714117.76</v>
      </c>
      <c r="G3" s="1">
        <v>613818.69999999995</v>
      </c>
      <c r="H3" s="1">
        <v>605363.86</v>
      </c>
      <c r="I3" s="1">
        <v>662515.31999999995</v>
      </c>
      <c r="J3" s="6">
        <f t="shared" si="0"/>
        <v>0.68407553078488148</v>
      </c>
    </row>
    <row r="4" spans="1:10" x14ac:dyDescent="0.3">
      <c r="A4" s="5" t="s">
        <v>41</v>
      </c>
      <c r="B4" s="1">
        <v>35039270.299999997</v>
      </c>
      <c r="C4" s="1">
        <v>36770664.82</v>
      </c>
      <c r="D4" s="1">
        <v>35832173.689999998</v>
      </c>
      <c r="E4" s="1">
        <v>37156771.390000001</v>
      </c>
      <c r="F4" s="1">
        <v>32358892.760000002</v>
      </c>
      <c r="G4" s="1">
        <v>33831439.189999998</v>
      </c>
      <c r="H4" s="1">
        <v>39016287.479999997</v>
      </c>
      <c r="I4" s="1">
        <v>39550643.609999999</v>
      </c>
      <c r="J4" s="6">
        <f t="shared" si="0"/>
        <v>40.837738696207708</v>
      </c>
    </row>
    <row r="5" spans="1:10" x14ac:dyDescent="0.3">
      <c r="A5" s="5" t="s">
        <v>42</v>
      </c>
      <c r="B5" s="1">
        <v>21901881.899999999</v>
      </c>
      <c r="C5" s="1">
        <v>19062167.93</v>
      </c>
      <c r="D5" s="1">
        <v>20450304.100000001</v>
      </c>
      <c r="E5" s="1">
        <v>21965723.100000001</v>
      </c>
      <c r="F5" s="1">
        <v>26438412.23</v>
      </c>
      <c r="G5" s="1">
        <v>29906795.84</v>
      </c>
      <c r="H5" s="1">
        <v>27991737.440000001</v>
      </c>
      <c r="I5" s="1">
        <v>34894655.780000001</v>
      </c>
      <c r="J5" s="6">
        <f t="shared" si="0"/>
        <v>36.03023123187436</v>
      </c>
    </row>
    <row r="6" spans="1:10" x14ac:dyDescent="0.3">
      <c r="A6" s="5" t="s">
        <v>43</v>
      </c>
      <c r="B6" s="1">
        <v>156622.32999999999</v>
      </c>
      <c r="C6" s="1">
        <v>138790.10999999999</v>
      </c>
      <c r="D6" s="1">
        <v>85281.59</v>
      </c>
      <c r="E6" s="1">
        <v>61216.85</v>
      </c>
      <c r="F6" s="1">
        <v>67312.34</v>
      </c>
      <c r="G6" s="1">
        <v>62863.65</v>
      </c>
      <c r="H6" s="1">
        <v>59820.34</v>
      </c>
      <c r="I6" s="1">
        <v>171718.59</v>
      </c>
      <c r="J6" s="6">
        <f t="shared" si="0"/>
        <v>0.17730682152358598</v>
      </c>
    </row>
    <row r="7" spans="1:10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>
        <f t="shared" si="0"/>
        <v>0</v>
      </c>
    </row>
    <row r="8" spans="1:10" x14ac:dyDescent="0.3">
      <c r="A8" s="5" t="s">
        <v>45</v>
      </c>
      <c r="B8" s="1">
        <v>0</v>
      </c>
      <c r="C8" s="1">
        <v>0</v>
      </c>
      <c r="D8" s="1">
        <v>753.06</v>
      </c>
      <c r="E8" s="1">
        <v>1022.49</v>
      </c>
      <c r="F8" s="1">
        <v>1012415.96</v>
      </c>
      <c r="G8" s="1">
        <v>6072.87</v>
      </c>
      <c r="H8" s="1">
        <v>82928.55</v>
      </c>
      <c r="I8" s="1">
        <v>888408.89</v>
      </c>
      <c r="J8" s="6">
        <f t="shared" si="0"/>
        <v>0.91732034661592043</v>
      </c>
    </row>
    <row r="9" spans="1:10" x14ac:dyDescent="0.3">
      <c r="A9" s="5" t="s">
        <v>46</v>
      </c>
      <c r="B9" s="1">
        <v>46085.52</v>
      </c>
      <c r="C9" s="1">
        <v>52879.07</v>
      </c>
      <c r="D9" s="1">
        <v>22003</v>
      </c>
      <c r="E9" s="1">
        <v>22003</v>
      </c>
      <c r="F9" s="1">
        <v>26662.799999999999</v>
      </c>
      <c r="G9" s="1">
        <v>29666.63</v>
      </c>
      <c r="H9" s="1">
        <v>119144.48</v>
      </c>
      <c r="I9" s="1">
        <v>46766.42</v>
      </c>
      <c r="J9" s="6">
        <f t="shared" si="0"/>
        <v>4.8288337821997381E-2</v>
      </c>
    </row>
    <row r="10" spans="1:10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93">
        <v>0</v>
      </c>
      <c r="H10" s="93">
        <v>0</v>
      </c>
      <c r="I10" s="93">
        <v>0</v>
      </c>
      <c r="J10" s="6">
        <f t="shared" si="0"/>
        <v>0</v>
      </c>
    </row>
    <row r="11" spans="1:10" x14ac:dyDescent="0.3">
      <c r="A11" s="5" t="s">
        <v>48</v>
      </c>
      <c r="B11" s="1">
        <v>588546.06000000006</v>
      </c>
      <c r="C11" s="1">
        <v>596850.47</v>
      </c>
      <c r="D11" s="1">
        <v>2412538.7999999998</v>
      </c>
      <c r="E11" s="1">
        <v>2312808.86</v>
      </c>
      <c r="F11" s="1">
        <v>2296473.15</v>
      </c>
      <c r="G11" s="93">
        <v>4471334.3899999997</v>
      </c>
      <c r="H11" s="93">
        <v>1687313.38</v>
      </c>
      <c r="I11" s="93">
        <v>3185271.12</v>
      </c>
      <c r="J11" s="6">
        <f t="shared" si="0"/>
        <v>3.288929276545264</v>
      </c>
    </row>
    <row r="12" spans="1:10" x14ac:dyDescent="0.3">
      <c r="A12" s="5" t="s">
        <v>49</v>
      </c>
      <c r="B12" s="1">
        <v>499999.99</v>
      </c>
      <c r="C12" s="1">
        <v>360276.44</v>
      </c>
      <c r="D12" s="1">
        <v>0</v>
      </c>
      <c r="E12" s="1">
        <v>0</v>
      </c>
      <c r="F12" s="1">
        <v>0</v>
      </c>
      <c r="G12" s="93">
        <v>0</v>
      </c>
      <c r="H12" s="93">
        <v>0</v>
      </c>
      <c r="I12" s="93">
        <v>0</v>
      </c>
      <c r="J12" s="6">
        <f t="shared" si="0"/>
        <v>0</v>
      </c>
    </row>
    <row r="13" spans="1:10" x14ac:dyDescent="0.3">
      <c r="A13" s="5" t="s">
        <v>50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93">
        <v>0</v>
      </c>
      <c r="H13" s="93">
        <v>0</v>
      </c>
      <c r="I13" s="93">
        <v>0</v>
      </c>
      <c r="J13" s="6">
        <f t="shared" si="0"/>
        <v>0</v>
      </c>
    </row>
    <row r="14" spans="1:10" x14ac:dyDescent="0.3">
      <c r="A14" s="5" t="s">
        <v>51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93">
        <v>0</v>
      </c>
      <c r="H14" s="93">
        <v>0</v>
      </c>
      <c r="I14" s="93">
        <v>0</v>
      </c>
      <c r="J14" s="6">
        <f t="shared" si="0"/>
        <v>0</v>
      </c>
    </row>
    <row r="15" spans="1:10" x14ac:dyDescent="0.3">
      <c r="A15" s="127" t="s">
        <v>380</v>
      </c>
      <c r="B15" s="3">
        <f t="shared" ref="B15:H15" si="1">SUM(B2:B14)</f>
        <v>78546539.549999997</v>
      </c>
      <c r="C15" s="3">
        <f t="shared" si="1"/>
        <v>74993205.049999997</v>
      </c>
      <c r="D15" s="3">
        <f t="shared" si="1"/>
        <v>77477381.910000011</v>
      </c>
      <c r="E15" s="3">
        <f t="shared" si="1"/>
        <v>79573131.379999995</v>
      </c>
      <c r="F15" s="3">
        <f t="shared" si="1"/>
        <v>80669688.99000001</v>
      </c>
      <c r="G15" s="3">
        <f>SUM(G2:G14)</f>
        <v>86154335.180000007</v>
      </c>
      <c r="H15" s="3">
        <f t="shared" si="1"/>
        <v>87737909.25999999</v>
      </c>
      <c r="I15" s="3">
        <f t="shared" ref="I15" si="2">SUM(I2:I14)</f>
        <v>96848270.430000007</v>
      </c>
      <c r="J15" s="6">
        <f t="shared" si="0"/>
        <v>100</v>
      </c>
    </row>
    <row r="16" spans="1:10" x14ac:dyDescent="0.3">
      <c r="A16" s="127" t="s">
        <v>381</v>
      </c>
      <c r="B16" s="3">
        <f t="shared" ref="B16:H16" si="3">SUM(B2:B9)</f>
        <v>77457993.5</v>
      </c>
      <c r="C16" s="3">
        <f t="shared" si="3"/>
        <v>74036078.140000001</v>
      </c>
      <c r="D16" s="3">
        <f t="shared" si="3"/>
        <v>75064843.110000014</v>
      </c>
      <c r="E16" s="3">
        <f t="shared" si="3"/>
        <v>77260322.519999996</v>
      </c>
      <c r="F16" s="3">
        <f t="shared" si="3"/>
        <v>78373215.840000004</v>
      </c>
      <c r="G16" s="3">
        <f>SUM(G2:G9)</f>
        <v>81683000.790000007</v>
      </c>
      <c r="H16" s="3">
        <f t="shared" si="3"/>
        <v>86050595.879999995</v>
      </c>
      <c r="I16" s="3">
        <f t="shared" ref="I16" si="4">SUM(I2:I9)</f>
        <v>93662999.310000002</v>
      </c>
      <c r="J16" s="6">
        <f t="shared" si="0"/>
        <v>96.711070723454725</v>
      </c>
    </row>
    <row r="17" spans="1:10" x14ac:dyDescent="0.3">
      <c r="A17" s="127" t="s">
        <v>382</v>
      </c>
      <c r="B17" s="3">
        <f t="shared" ref="B17:H17" si="5">SUM(B10:B14)</f>
        <v>1088546.05</v>
      </c>
      <c r="C17" s="3">
        <f t="shared" si="5"/>
        <v>957126.90999999992</v>
      </c>
      <c r="D17" s="3">
        <f t="shared" si="5"/>
        <v>2412538.7999999998</v>
      </c>
      <c r="E17" s="3">
        <f t="shared" si="5"/>
        <v>2312808.86</v>
      </c>
      <c r="F17" s="3">
        <f t="shared" si="5"/>
        <v>2296473.15</v>
      </c>
      <c r="G17" s="3">
        <f>SUM(G10:G14)</f>
        <v>4471334.3899999997</v>
      </c>
      <c r="H17" s="3">
        <f t="shared" si="5"/>
        <v>1687313.38</v>
      </c>
      <c r="I17" s="3">
        <f t="shared" ref="I17" si="6">SUM(I10:I14)</f>
        <v>3185271.12</v>
      </c>
      <c r="J17" s="6">
        <f t="shared" si="0"/>
        <v>3.288929276545264</v>
      </c>
    </row>
    <row r="18" spans="1:10" x14ac:dyDescent="0.3">
      <c r="A18" s="128" t="s">
        <v>383</v>
      </c>
      <c r="B18" s="129">
        <f>B16/B15*100</f>
        <v>98.614138756161168</v>
      </c>
      <c r="C18" s="129">
        <f t="shared" ref="C18:H18" si="7">C16/C15*100</f>
        <v>98.723715156110671</v>
      </c>
      <c r="D18" s="129">
        <f t="shared" si="7"/>
        <v>96.886137940486321</v>
      </c>
      <c r="E18" s="129">
        <f t="shared" si="7"/>
        <v>97.093480148524975</v>
      </c>
      <c r="F18" s="129">
        <f t="shared" si="7"/>
        <v>97.153239117750061</v>
      </c>
      <c r="G18" s="129">
        <f>G16/G15*100</f>
        <v>94.810087756282769</v>
      </c>
      <c r="H18" s="129">
        <f t="shared" si="7"/>
        <v>98.076870768598042</v>
      </c>
      <c r="I18" s="129">
        <f t="shared" ref="I18" si="8">I16/I15*100</f>
        <v>96.711070723454725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pane xSplit="1" topLeftCell="B1" activePane="topRight" state="frozen"/>
      <selection pane="topRight" activeCell="K2" sqref="K2:K22"/>
    </sheetView>
  </sheetViews>
  <sheetFormatPr defaultRowHeight="14.4" x14ac:dyDescent="0.3"/>
  <cols>
    <col min="1" max="1" width="36.44140625" bestFit="1" customWidth="1"/>
    <col min="2" max="11" width="11.6640625" customWidth="1"/>
    <col min="13" max="13" width="12.6640625" bestFit="1" customWidth="1"/>
    <col min="14" max="14" width="10" bestFit="1" customWidth="1"/>
  </cols>
  <sheetData>
    <row r="1" spans="1:13" x14ac:dyDescent="0.3">
      <c r="A1" s="41"/>
      <c r="B1" s="99">
        <v>2014</v>
      </c>
      <c r="C1" s="99">
        <v>2015</v>
      </c>
      <c r="D1" s="99">
        <v>2016</v>
      </c>
      <c r="E1" s="99">
        <v>2017</v>
      </c>
      <c r="F1" s="69">
        <v>2018</v>
      </c>
      <c r="G1" s="99">
        <v>2019</v>
      </c>
      <c r="H1" s="69">
        <v>2020</v>
      </c>
      <c r="I1" s="69">
        <v>2021</v>
      </c>
      <c r="J1" s="69">
        <v>2022</v>
      </c>
      <c r="K1" s="69">
        <v>2023</v>
      </c>
    </row>
    <row r="2" spans="1:13" x14ac:dyDescent="0.3">
      <c r="A2" t="s">
        <v>5</v>
      </c>
      <c r="B2" s="1">
        <v>50690525.049999997</v>
      </c>
      <c r="C2" s="1">
        <v>23296330.940000001</v>
      </c>
      <c r="D2" s="1">
        <v>669480.92000000004</v>
      </c>
      <c r="E2" s="1">
        <v>45941786.420000002</v>
      </c>
      <c r="F2" s="1">
        <v>126191453.98999999</v>
      </c>
      <c r="G2" s="1">
        <v>192724065.41999999</v>
      </c>
      <c r="H2" s="1">
        <v>241429658.59999999</v>
      </c>
      <c r="I2" s="1">
        <v>271055305.44</v>
      </c>
      <c r="J2" s="1">
        <v>363915304.57999998</v>
      </c>
      <c r="K2" s="1">
        <v>307192104.94</v>
      </c>
    </row>
    <row r="3" spans="1:13" x14ac:dyDescent="0.3">
      <c r="A3" t="s">
        <v>6</v>
      </c>
      <c r="B3" s="1">
        <v>439130754.07999998</v>
      </c>
      <c r="C3" s="1">
        <v>520830464.47000003</v>
      </c>
      <c r="D3" s="1">
        <v>539240866.30999994</v>
      </c>
      <c r="E3" s="1">
        <v>483271742.32999998</v>
      </c>
      <c r="F3" s="1">
        <v>462559010.20999998</v>
      </c>
      <c r="G3" s="1">
        <v>469552781.63</v>
      </c>
      <c r="H3" s="1">
        <v>467199421.13999999</v>
      </c>
      <c r="I3" s="1">
        <v>563560379.98000002</v>
      </c>
      <c r="J3" s="1">
        <v>570156730.38</v>
      </c>
      <c r="K3" s="1">
        <v>570559768.71000004</v>
      </c>
    </row>
    <row r="4" spans="1:13" x14ac:dyDescent="0.3">
      <c r="A4" t="s">
        <v>7</v>
      </c>
      <c r="B4" s="1">
        <v>169059346.47999999</v>
      </c>
      <c r="C4" s="1">
        <v>254200399.40000001</v>
      </c>
      <c r="D4" s="1">
        <v>228242490.58000001</v>
      </c>
      <c r="E4" s="1">
        <v>209605968.52000001</v>
      </c>
      <c r="F4" s="1">
        <v>187154895.88999999</v>
      </c>
      <c r="G4" s="1">
        <v>164612160.40000001</v>
      </c>
      <c r="H4" s="1">
        <v>177315732.13</v>
      </c>
      <c r="I4" s="1">
        <v>196350935.83000001</v>
      </c>
      <c r="J4" s="1">
        <v>244023251.94999999</v>
      </c>
      <c r="K4" s="1">
        <v>206635259.33000001</v>
      </c>
    </row>
    <row r="5" spans="1:13" x14ac:dyDescent="0.3">
      <c r="A5" t="s">
        <v>8</v>
      </c>
      <c r="B5" s="1">
        <v>13838652.15</v>
      </c>
      <c r="C5" s="1">
        <v>16560584.4</v>
      </c>
      <c r="D5" s="1">
        <v>15606983.949999999</v>
      </c>
      <c r="E5" s="1">
        <v>21980968.91</v>
      </c>
      <c r="F5" s="1">
        <v>25269288.800000001</v>
      </c>
      <c r="G5" s="1">
        <v>29763014.559999999</v>
      </c>
      <c r="H5" s="1">
        <v>29287454.59</v>
      </c>
      <c r="I5" s="1">
        <v>37025543.850000001</v>
      </c>
      <c r="J5" s="1">
        <v>44467410.549999997</v>
      </c>
      <c r="K5" s="1">
        <v>51760105.68</v>
      </c>
    </row>
    <row r="6" spans="1:13" x14ac:dyDescent="0.3">
      <c r="A6" t="s">
        <v>9</v>
      </c>
      <c r="B6" s="1">
        <v>161927721.74000001</v>
      </c>
      <c r="C6" s="1">
        <v>133727028.02</v>
      </c>
      <c r="D6" s="1">
        <v>60402372.490000002</v>
      </c>
      <c r="E6" s="1">
        <v>31015661.600000001</v>
      </c>
      <c r="F6" s="1">
        <v>41754616.850000001</v>
      </c>
      <c r="G6" s="1">
        <v>89542162.879999995</v>
      </c>
      <c r="H6" s="1">
        <v>82276310.560000002</v>
      </c>
      <c r="I6" s="1">
        <v>76583508.709999993</v>
      </c>
      <c r="J6" s="1">
        <v>179276044.43000001</v>
      </c>
      <c r="K6" s="1">
        <v>169051008.38</v>
      </c>
    </row>
    <row r="7" spans="1:13" x14ac:dyDescent="0.3">
      <c r="A7" s="4" t="s">
        <v>0</v>
      </c>
      <c r="B7" s="3">
        <f>B2+B3-B4-B5-B6</f>
        <v>144995558.75999999</v>
      </c>
      <c r="C7" s="3">
        <f>C2+C3-C4-C5-C6</f>
        <v>139638783.59000015</v>
      </c>
      <c r="D7" s="3">
        <f>D2+D3-D4-D5-D6</f>
        <v>235658500.20999986</v>
      </c>
      <c r="E7" s="3">
        <f>E2+E3-E4-E5-E6</f>
        <v>266610929.72</v>
      </c>
      <c r="F7" s="3">
        <f>F2+F3-F4-F5-F6</f>
        <v>334571662.65999991</v>
      </c>
      <c r="G7" s="3">
        <f t="shared" ref="G7" si="0">G2+G3-G4-G5-G6</f>
        <v>378359509.20999998</v>
      </c>
      <c r="H7" s="3">
        <f>H2+H3-H4-H5-H6</f>
        <v>419749582.46000004</v>
      </c>
      <c r="I7" s="3">
        <f>I2+I3-I4-I5-I6</f>
        <v>524655697.03000003</v>
      </c>
      <c r="J7" s="3">
        <f>J2+J3-J4-J5-J6</f>
        <v>466305328.03000003</v>
      </c>
      <c r="K7" s="3">
        <f>K2+K3-K4-K5-K6</f>
        <v>450305500.26000011</v>
      </c>
    </row>
    <row r="8" spans="1:13" x14ac:dyDescent="0.3">
      <c r="A8" t="s">
        <v>10</v>
      </c>
      <c r="B8" s="1">
        <v>105538761.53</v>
      </c>
      <c r="C8" s="1">
        <v>120457497.83</v>
      </c>
      <c r="D8" s="1">
        <v>159935553.47</v>
      </c>
      <c r="E8" s="1">
        <v>148397504.68000001</v>
      </c>
      <c r="F8" s="1">
        <v>169889607.62</v>
      </c>
      <c r="G8" s="1">
        <v>151558984.31</v>
      </c>
      <c r="H8" s="1">
        <v>140331954.19999999</v>
      </c>
      <c r="I8" s="1">
        <v>163700901.33000001</v>
      </c>
      <c r="J8" s="1">
        <v>170107533.84999999</v>
      </c>
      <c r="K8" s="1">
        <v>132970372.48999999</v>
      </c>
    </row>
    <row r="9" spans="1:13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1025000</v>
      </c>
      <c r="H9" s="1">
        <v>11237549.4</v>
      </c>
      <c r="I9" s="1">
        <v>14639681.689999999</v>
      </c>
      <c r="J9" s="1">
        <v>15081824.060000001</v>
      </c>
      <c r="K9" s="1">
        <v>15614225.310000001</v>
      </c>
    </row>
    <row r="10" spans="1:13" x14ac:dyDescent="0.3">
      <c r="A10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3" x14ac:dyDescent="0.3">
      <c r="A11" t="s">
        <v>13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16935139.390000001</v>
      </c>
      <c r="H11" s="1">
        <v>24013669.449999999</v>
      </c>
      <c r="I11" s="1">
        <v>45317767</v>
      </c>
      <c r="J11" s="1">
        <v>38080716.049999997</v>
      </c>
      <c r="K11" s="1">
        <v>43654403.93</v>
      </c>
    </row>
    <row r="12" spans="1:13" x14ac:dyDescent="0.3">
      <c r="A12" t="s">
        <v>14</v>
      </c>
      <c r="B12" s="1">
        <v>8816494.3399999999</v>
      </c>
      <c r="C12" s="1">
        <v>16295844.24</v>
      </c>
      <c r="D12" s="1">
        <v>27614292.140000001</v>
      </c>
      <c r="E12" s="1">
        <f>47793917.81+2309441.82</f>
        <v>50103359.630000003</v>
      </c>
      <c r="F12" s="1">
        <f>52996099.73+2570898.7</f>
        <v>55566998.43</v>
      </c>
      <c r="G12" s="1">
        <f>15284321.81+7786041.21</f>
        <v>23070363.02</v>
      </c>
      <c r="H12" s="1">
        <v>18322502.310000032</v>
      </c>
      <c r="I12" s="1">
        <v>22940686.280000001</v>
      </c>
      <c r="J12" s="1">
        <v>40390665.020000003</v>
      </c>
      <c r="K12" s="1">
        <v>44102812.810000002</v>
      </c>
    </row>
    <row r="13" spans="1:13" x14ac:dyDescent="0.3">
      <c r="A13" s="4" t="s">
        <v>1</v>
      </c>
      <c r="B13" s="3">
        <f>SUM(B8:B12)</f>
        <v>114355255.87</v>
      </c>
      <c r="C13" s="3">
        <f>SUM(C8:C12)</f>
        <v>136753342.06999999</v>
      </c>
      <c r="D13" s="3">
        <f>SUM(D8:D12)</f>
        <v>187549845.61000001</v>
      </c>
      <c r="E13" s="3">
        <f>SUM(E8:E12)</f>
        <v>198500864.31</v>
      </c>
      <c r="F13" s="3">
        <f>SUM(F8:F12)</f>
        <v>225456606.05000001</v>
      </c>
      <c r="G13" s="3">
        <f t="shared" ref="G13" si="1">SUM(G8:G12)</f>
        <v>192589486.72</v>
      </c>
      <c r="H13" s="3">
        <f>SUM(H8:H12)</f>
        <v>193905675.36000001</v>
      </c>
      <c r="I13" s="3">
        <f>SUM(I8:I12)</f>
        <v>246599036.30000001</v>
      </c>
      <c r="J13" s="3">
        <f>SUM(J8:J12)</f>
        <v>263660738.97999999</v>
      </c>
      <c r="K13" s="3">
        <f>SUM(K8:K12)</f>
        <v>236341814.53999999</v>
      </c>
      <c r="L13" s="111"/>
      <c r="M13" s="111"/>
    </row>
    <row r="14" spans="1:13" x14ac:dyDescent="0.3">
      <c r="A14" t="s">
        <v>16</v>
      </c>
      <c r="B14" s="1">
        <v>51046603.509999998</v>
      </c>
      <c r="C14" s="1">
        <v>56971434.990000002</v>
      </c>
      <c r="D14" s="1">
        <v>8148144</v>
      </c>
      <c r="E14" s="1">
        <v>22344764.530000001</v>
      </c>
      <c r="F14" s="1">
        <v>30312636.25</v>
      </c>
      <c r="G14" s="1">
        <v>33208115.68</v>
      </c>
      <c r="H14" s="1">
        <v>57098495.100000001</v>
      </c>
      <c r="I14" s="1">
        <v>48293156.759999998</v>
      </c>
      <c r="J14" s="1">
        <v>41679231.630000003</v>
      </c>
      <c r="K14" s="1">
        <v>42841721.799999997</v>
      </c>
    </row>
    <row r="15" spans="1:13" x14ac:dyDescent="0.3">
      <c r="A15" t="s">
        <v>15</v>
      </c>
      <c r="B15" s="1">
        <v>4038454.19</v>
      </c>
      <c r="C15" s="1">
        <v>3924697.41</v>
      </c>
      <c r="D15" s="1">
        <v>80487063.469999999</v>
      </c>
      <c r="E15" s="1">
        <v>80629116.310000002</v>
      </c>
      <c r="F15" s="1">
        <v>91533632.400000006</v>
      </c>
      <c r="G15" s="1">
        <v>28252221.079999998</v>
      </c>
      <c r="H15" s="1">
        <v>130207673.95</v>
      </c>
      <c r="I15" s="1">
        <v>130109752.48</v>
      </c>
      <c r="J15" s="1">
        <v>101382975.83</v>
      </c>
      <c r="K15" s="1">
        <v>79547305.620000005</v>
      </c>
    </row>
    <row r="16" spans="1:13" x14ac:dyDescent="0.3">
      <c r="A16" t="s">
        <v>17</v>
      </c>
      <c r="B16" s="1">
        <v>36278759.030000001</v>
      </c>
      <c r="C16" s="1">
        <v>9480.16</v>
      </c>
      <c r="D16" s="1">
        <v>8756224.4700000007</v>
      </c>
      <c r="E16" s="1">
        <v>16170935.369999999</v>
      </c>
      <c r="F16" s="1">
        <v>7140492.0199999996</v>
      </c>
      <c r="G16" s="1">
        <v>1082093.94</v>
      </c>
      <c r="H16" s="1">
        <v>784914.58</v>
      </c>
      <c r="I16" s="1">
        <v>190176.64000000001</v>
      </c>
      <c r="J16" s="1">
        <v>254448.37</v>
      </c>
      <c r="K16" s="1">
        <v>5315.2</v>
      </c>
    </row>
    <row r="17" spans="1:12" x14ac:dyDescent="0.3">
      <c r="A17" t="s">
        <v>18</v>
      </c>
      <c r="B17" s="1">
        <v>12034043.189999999</v>
      </c>
      <c r="C17" s="1">
        <v>5375152.6299999999</v>
      </c>
      <c r="D17" s="1">
        <v>5296403.53</v>
      </c>
      <c r="E17" s="1">
        <v>3308768.85</v>
      </c>
      <c r="F17" s="1">
        <v>4129391.9</v>
      </c>
      <c r="G17" s="1">
        <v>56803593.780000001</v>
      </c>
      <c r="H17" s="1">
        <v>4381823.04</v>
      </c>
      <c r="I17" s="1">
        <v>1733951.25</v>
      </c>
      <c r="J17" s="1">
        <v>859405.32</v>
      </c>
      <c r="K17" s="1">
        <v>34314283.920000002</v>
      </c>
    </row>
    <row r="18" spans="1:12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2" x14ac:dyDescent="0.3">
      <c r="A19" s="4" t="s">
        <v>2</v>
      </c>
      <c r="B19" s="3">
        <f>SUM(B14:B18)</f>
        <v>103397859.91999999</v>
      </c>
      <c r="C19" s="3">
        <f>SUM(C14:C18)</f>
        <v>66280765.190000005</v>
      </c>
      <c r="D19" s="3">
        <f>SUM(D14:D18)</f>
        <v>102687835.47</v>
      </c>
      <c r="E19" s="3">
        <f>SUM(E14:E18)</f>
        <v>122453585.06</v>
      </c>
      <c r="F19" s="3">
        <f>SUM(F14:F18)</f>
        <v>133116152.57000001</v>
      </c>
      <c r="G19" s="3">
        <f t="shared" ref="G19" si="2">SUM(G14:G18)</f>
        <v>119346024.47999999</v>
      </c>
      <c r="H19" s="3">
        <f>SUM(H14:H18)</f>
        <v>192472906.67000002</v>
      </c>
      <c r="I19" s="3">
        <f>SUM(I14:I18)</f>
        <v>180327037.13</v>
      </c>
      <c r="J19" s="3">
        <f>SUM(J14:J18)</f>
        <v>144176061.15000001</v>
      </c>
      <c r="K19" s="3">
        <f>SUM(K14:K18)</f>
        <v>156708626.54000002</v>
      </c>
    </row>
    <row r="20" spans="1:12" x14ac:dyDescent="0.3">
      <c r="A20" s="4" t="s">
        <v>3</v>
      </c>
      <c r="B20" s="3">
        <v>0</v>
      </c>
      <c r="C20" s="3">
        <v>2022038.31</v>
      </c>
      <c r="D20" s="3">
        <v>8349067.6299999999</v>
      </c>
      <c r="E20" s="3">
        <v>2211497.59</v>
      </c>
      <c r="F20" s="3">
        <v>5072688.1500000004</v>
      </c>
      <c r="G20" s="3">
        <v>3833643.8</v>
      </c>
      <c r="H20" s="3">
        <v>2277694.5299999998</v>
      </c>
      <c r="I20" s="3">
        <v>6644579.79</v>
      </c>
      <c r="J20" s="3">
        <v>4062356.15</v>
      </c>
      <c r="K20" s="3">
        <v>2892206.87</v>
      </c>
    </row>
    <row r="21" spans="1:12" x14ac:dyDescent="0.3">
      <c r="A21" s="70" t="s">
        <v>4</v>
      </c>
      <c r="B21" s="37">
        <f>B7-B13-B19-B20</f>
        <v>-72757557.030000001</v>
      </c>
      <c r="C21" s="37">
        <f>C7-C13-C19-C20</f>
        <v>-65417361.979999848</v>
      </c>
      <c r="D21" s="37">
        <f>D7-D13-D19-D20</f>
        <v>-62928248.500000156</v>
      </c>
      <c r="E21" s="37">
        <f>E7-E13-E19-E20</f>
        <v>-56555017.24000001</v>
      </c>
      <c r="F21" s="37">
        <f>F7-F13-F19-F20</f>
        <v>-29073784.110000111</v>
      </c>
      <c r="G21" s="37">
        <f t="shared" ref="G21" si="3">G7-G13-G19-G20</f>
        <v>62590354.209999993</v>
      </c>
      <c r="H21" s="37">
        <f>H7-H13-H19-H20</f>
        <v>31093305.900000006</v>
      </c>
      <c r="I21" s="37">
        <f>I7-I13-I19-I20</f>
        <v>91085043.810000017</v>
      </c>
      <c r="J21" s="37">
        <f>J7-J13-J19-J20</f>
        <v>54406171.750000037</v>
      </c>
      <c r="K21" s="37">
        <f>K7-K13-K19-K20</f>
        <v>54362852.310000099</v>
      </c>
    </row>
    <row r="22" spans="1:12" x14ac:dyDescent="0.3">
      <c r="A22" t="s">
        <v>357</v>
      </c>
      <c r="D22" s="1">
        <v>-2286416.12</v>
      </c>
      <c r="E22" s="1">
        <v>-52125903.880000003</v>
      </c>
      <c r="F22" s="1">
        <v>-4178571.18</v>
      </c>
      <c r="G22" s="1">
        <v>-22500400.48</v>
      </c>
      <c r="H22" s="1">
        <v>-43242000.079999998</v>
      </c>
      <c r="I22" s="1">
        <v>3450683.46</v>
      </c>
      <c r="J22" s="1">
        <v>-25790254.789999999</v>
      </c>
      <c r="K22" s="1">
        <v>-55893678.380000003</v>
      </c>
    </row>
    <row r="23" spans="1:12" x14ac:dyDescent="0.3">
      <c r="A23" t="s">
        <v>356</v>
      </c>
      <c r="B23" s="6">
        <f>B8/B3*100</f>
        <v>24.033561883204648</v>
      </c>
      <c r="C23" s="6">
        <f>C8/C3*100</f>
        <v>23.127966977234752</v>
      </c>
      <c r="D23" s="6">
        <f>D8/D3*100</f>
        <v>29.659390350815123</v>
      </c>
      <c r="E23" s="6">
        <f>E8/E3*100</f>
        <v>30.706844965635799</v>
      </c>
      <c r="F23" s="6">
        <f>F8/F3*100</f>
        <v>36.728201995864438</v>
      </c>
      <c r="G23" s="6">
        <f t="shared" ref="G23" si="4">G8/G3*100</f>
        <v>32.277305180448494</v>
      </c>
      <c r="H23" s="6">
        <f>H8/H3*100</f>
        <v>30.036842481007358</v>
      </c>
      <c r="I23" s="6">
        <f>I8/I3*100</f>
        <v>29.047624202363114</v>
      </c>
      <c r="J23" s="6">
        <f>J8/J3*100</f>
        <v>29.835223331771626</v>
      </c>
      <c r="K23" s="6">
        <f>K8/K3*100</f>
        <v>23.305248596590975</v>
      </c>
      <c r="L23" s="1"/>
    </row>
  </sheetData>
  <conditionalFormatting sqref="D21:G21 K21">
    <cfRule type="cellIs" dxfId="112" priority="24" operator="greaterThan">
      <formula>0</formula>
    </cfRule>
  </conditionalFormatting>
  <conditionalFormatting sqref="D21:G21 K21">
    <cfRule type="cellIs" dxfId="111" priority="21" operator="greaterThan">
      <formula>0</formula>
    </cfRule>
    <cfRule type="cellIs" dxfId="110" priority="22" operator="lessThan">
      <formula>0</formula>
    </cfRule>
  </conditionalFormatting>
  <conditionalFormatting sqref="C21">
    <cfRule type="cellIs" dxfId="109" priority="15" operator="greaterThan">
      <formula>0</formula>
    </cfRule>
  </conditionalFormatting>
  <conditionalFormatting sqref="C21">
    <cfRule type="cellIs" dxfId="108" priority="13" operator="greaterThan">
      <formula>0</formula>
    </cfRule>
    <cfRule type="cellIs" dxfId="107" priority="14" operator="lessThan">
      <formula>0</formula>
    </cfRule>
  </conditionalFormatting>
  <conditionalFormatting sqref="B21">
    <cfRule type="cellIs" dxfId="106" priority="12" operator="greaterThan">
      <formula>0</formula>
    </cfRule>
  </conditionalFormatting>
  <conditionalFormatting sqref="B21">
    <cfRule type="cellIs" dxfId="105" priority="10" operator="greaterThan">
      <formula>0</formula>
    </cfRule>
    <cfRule type="cellIs" dxfId="104" priority="11" operator="lessThan">
      <formula>0</formula>
    </cfRule>
  </conditionalFormatting>
  <conditionalFormatting sqref="H21">
    <cfRule type="cellIs" dxfId="103" priority="9" operator="greaterThan">
      <formula>0</formula>
    </cfRule>
  </conditionalFormatting>
  <conditionalFormatting sqref="H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I21">
    <cfRule type="cellIs" dxfId="100" priority="6" operator="greaterThan">
      <formula>0</formula>
    </cfRule>
  </conditionalFormatting>
  <conditionalFormatting sqref="I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J21">
    <cfRule type="cellIs" dxfId="97" priority="3" operator="greaterThan">
      <formula>0</formula>
    </cfRule>
  </conditionalFormatting>
  <conditionalFormatting sqref="J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25.109375" customWidth="1"/>
    <col min="2" max="2" width="10.88671875" customWidth="1"/>
    <col min="3" max="3" width="11.88671875" bestFit="1" customWidth="1"/>
    <col min="4" max="12" width="11.109375" bestFit="1" customWidth="1"/>
    <col min="13" max="13" width="12.33203125" bestFit="1" customWidth="1"/>
  </cols>
  <sheetData>
    <row r="1" spans="1:13" x14ac:dyDescent="0.3">
      <c r="C1" s="100">
        <v>2014</v>
      </c>
      <c r="D1" s="100">
        <v>2015</v>
      </c>
      <c r="E1" s="98">
        <v>2016</v>
      </c>
      <c r="F1" s="12">
        <v>2017</v>
      </c>
      <c r="G1" s="12">
        <v>2018</v>
      </c>
      <c r="H1" s="12">
        <v>2019</v>
      </c>
      <c r="I1" s="12">
        <v>2020</v>
      </c>
      <c r="J1" s="12">
        <v>2021</v>
      </c>
      <c r="K1" s="12">
        <v>2022</v>
      </c>
      <c r="L1" s="12">
        <v>2023</v>
      </c>
      <c r="M1" s="12" t="s">
        <v>266</v>
      </c>
    </row>
    <row r="2" spans="1:13" x14ac:dyDescent="0.3">
      <c r="A2" t="s">
        <v>236</v>
      </c>
      <c r="B2" s="26" t="s">
        <v>260</v>
      </c>
      <c r="C2" s="93">
        <v>352690963.50999999</v>
      </c>
      <c r="D2" s="93">
        <v>354800497.83999997</v>
      </c>
      <c r="E2" s="93">
        <v>349329409.70999998</v>
      </c>
      <c r="F2" s="1">
        <v>355450133</v>
      </c>
      <c r="G2" s="1">
        <v>361136717</v>
      </c>
      <c r="H2" s="1">
        <v>371995195</v>
      </c>
      <c r="I2" s="1">
        <v>273790109</v>
      </c>
      <c r="J2" s="1">
        <v>319706101.32999998</v>
      </c>
      <c r="K2" s="1">
        <v>373524281.13</v>
      </c>
      <c r="L2" s="1">
        <v>401048331.16000003</v>
      </c>
      <c r="M2" s="1">
        <f>L2-K2</f>
        <v>27524050.030000031</v>
      </c>
    </row>
    <row r="3" spans="1:13" x14ac:dyDescent="0.3">
      <c r="A3" t="s">
        <v>237</v>
      </c>
      <c r="B3" s="26" t="s">
        <v>260</v>
      </c>
      <c r="C3" s="93">
        <v>11308210.74</v>
      </c>
      <c r="D3" s="93">
        <v>12970513.48</v>
      </c>
      <c r="E3" s="1">
        <v>27508048.399999999</v>
      </c>
      <c r="F3" s="1">
        <v>29612105</v>
      </c>
      <c r="G3" s="1">
        <v>29592701</v>
      </c>
      <c r="H3" s="1">
        <v>29667894</v>
      </c>
      <c r="I3" s="1">
        <v>31555533</v>
      </c>
      <c r="J3" s="1">
        <v>34443707.299999997</v>
      </c>
      <c r="K3" s="1">
        <v>34014517.829999998</v>
      </c>
      <c r="L3" s="1">
        <v>34610751.43</v>
      </c>
      <c r="M3" s="1">
        <f t="shared" ref="M3:M29" si="0">L3-K3</f>
        <v>596233.60000000149</v>
      </c>
    </row>
    <row r="4" spans="1:13" x14ac:dyDescent="0.3">
      <c r="A4" t="s">
        <v>238</v>
      </c>
      <c r="B4" s="26" t="s">
        <v>260</v>
      </c>
      <c r="C4" s="93">
        <v>104375033.61</v>
      </c>
      <c r="D4" s="93">
        <v>103028598.63</v>
      </c>
      <c r="E4" s="1">
        <v>105421632.18000001</v>
      </c>
      <c r="F4" s="1">
        <v>124201909</v>
      </c>
      <c r="G4" s="1">
        <v>131123195</v>
      </c>
      <c r="H4" s="1">
        <v>150090626</v>
      </c>
      <c r="I4" s="1">
        <v>305806666</v>
      </c>
      <c r="J4" s="1">
        <v>303985100.56</v>
      </c>
      <c r="K4" s="1">
        <v>271329383.5</v>
      </c>
      <c r="L4" s="1">
        <v>207570801.24000001</v>
      </c>
      <c r="M4" s="1">
        <f t="shared" si="0"/>
        <v>-63758582.25999999</v>
      </c>
    </row>
    <row r="5" spans="1:13" x14ac:dyDescent="0.3">
      <c r="A5" t="s">
        <v>239</v>
      </c>
      <c r="B5" s="26" t="s">
        <v>260</v>
      </c>
      <c r="C5" s="93">
        <v>59992693.539999999</v>
      </c>
      <c r="D5" s="93">
        <v>73401105.719999999</v>
      </c>
      <c r="E5" s="1">
        <v>77811780.640000001</v>
      </c>
      <c r="F5" s="1">
        <v>83894371</v>
      </c>
      <c r="G5" s="1">
        <v>86057191</v>
      </c>
      <c r="H5" s="1">
        <v>90236571</v>
      </c>
      <c r="I5" s="1">
        <v>42911373</v>
      </c>
      <c r="J5" s="1">
        <v>44926148.390000001</v>
      </c>
      <c r="K5" s="1">
        <v>68148372.739999995</v>
      </c>
      <c r="L5" s="1">
        <v>80590672.930000007</v>
      </c>
      <c r="M5" s="1">
        <f t="shared" si="0"/>
        <v>12442300.190000013</v>
      </c>
    </row>
    <row r="6" spans="1:13" x14ac:dyDescent="0.3">
      <c r="A6" t="s">
        <v>240</v>
      </c>
      <c r="B6" s="26" t="s">
        <v>260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  <c r="M6" s="1">
        <f t="shared" si="0"/>
        <v>0</v>
      </c>
    </row>
    <row r="7" spans="1:13" x14ac:dyDescent="0.3">
      <c r="A7" t="s">
        <v>241</v>
      </c>
      <c r="B7" s="26" t="s">
        <v>260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1">
        <f t="shared" si="0"/>
        <v>0</v>
      </c>
    </row>
    <row r="8" spans="1:13" x14ac:dyDescent="0.3">
      <c r="A8" t="s">
        <v>242</v>
      </c>
      <c r="B8" s="26" t="s">
        <v>260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1">
        <f t="shared" si="0"/>
        <v>0</v>
      </c>
    </row>
    <row r="9" spans="1:13" x14ac:dyDescent="0.3">
      <c r="A9" s="32" t="s">
        <v>243</v>
      </c>
      <c r="B9" s="33" t="s">
        <v>260</v>
      </c>
      <c r="C9" s="94">
        <v>59955569.979999997</v>
      </c>
      <c r="D9" s="94">
        <v>68835415.780000001</v>
      </c>
      <c r="E9" s="34">
        <v>63100262.060000002</v>
      </c>
      <c r="F9" s="34">
        <v>69851041</v>
      </c>
      <c r="G9" s="34">
        <v>66739283</v>
      </c>
      <c r="H9" s="34">
        <v>65706625</v>
      </c>
      <c r="I9" s="34">
        <v>39145917</v>
      </c>
      <c r="J9" s="34">
        <v>51429229.329999998</v>
      </c>
      <c r="K9" s="34">
        <v>58187084.32</v>
      </c>
      <c r="L9" s="1">
        <v>80215074.590000004</v>
      </c>
      <c r="M9" s="1">
        <f t="shared" si="0"/>
        <v>22027990.270000003</v>
      </c>
    </row>
    <row r="10" spans="1:13" x14ac:dyDescent="0.3">
      <c r="A10" s="35" t="s">
        <v>264</v>
      </c>
      <c r="B10" s="36" t="s">
        <v>260</v>
      </c>
      <c r="C10" s="92">
        <f t="shared" ref="C10:H10" si="1">SUM(C2:C9)</f>
        <v>588322471.38</v>
      </c>
      <c r="D10" s="92">
        <f t="shared" si="1"/>
        <v>613036131.44999993</v>
      </c>
      <c r="E10" s="92">
        <f t="shared" si="1"/>
        <v>623171132.99000001</v>
      </c>
      <c r="F10" s="92">
        <f t="shared" si="1"/>
        <v>663009559</v>
      </c>
      <c r="G10" s="92">
        <f t="shared" si="1"/>
        <v>674649087</v>
      </c>
      <c r="H10" s="92">
        <f t="shared" si="1"/>
        <v>707696911</v>
      </c>
      <c r="I10" s="92">
        <f>SUM(I2:I9)</f>
        <v>693209598</v>
      </c>
      <c r="J10" s="92">
        <f>SUM(J2:J9)</f>
        <v>754490286.91000009</v>
      </c>
      <c r="K10" s="92">
        <f>SUM(K2:K9)</f>
        <v>805203639.5200001</v>
      </c>
      <c r="L10" s="92">
        <f>SUM(L2:L9)</f>
        <v>804035631.35000002</v>
      </c>
      <c r="M10" s="11">
        <f t="shared" si="0"/>
        <v>-1168008.1700000763</v>
      </c>
    </row>
    <row r="11" spans="1:13" x14ac:dyDescent="0.3">
      <c r="A11" t="s">
        <v>244</v>
      </c>
      <c r="B11" s="26" t="s">
        <v>261</v>
      </c>
      <c r="C11" s="93">
        <v>1619286.69</v>
      </c>
      <c r="D11" s="93">
        <v>1757484.85</v>
      </c>
      <c r="E11" s="1">
        <v>1271351.58</v>
      </c>
      <c r="F11" s="1">
        <v>1595489</v>
      </c>
      <c r="G11" s="1">
        <v>2779261</v>
      </c>
      <c r="H11" s="1">
        <v>1837934</v>
      </c>
      <c r="I11" s="1">
        <v>3828163</v>
      </c>
      <c r="J11" s="1">
        <v>2363140.34</v>
      </c>
      <c r="K11" s="1">
        <v>2553442.59</v>
      </c>
      <c r="L11" s="1">
        <v>2195945.69</v>
      </c>
      <c r="M11" s="1">
        <f t="shared" si="0"/>
        <v>-357496.89999999991</v>
      </c>
    </row>
    <row r="12" spans="1:13" x14ac:dyDescent="0.3">
      <c r="A12" t="s">
        <v>245</v>
      </c>
      <c r="B12" s="26" t="s">
        <v>261</v>
      </c>
      <c r="C12" s="93">
        <v>356320649.81</v>
      </c>
      <c r="D12" s="93">
        <v>361371182.63999999</v>
      </c>
      <c r="E12" s="1">
        <v>358690338.81</v>
      </c>
      <c r="F12" s="1">
        <v>356931704</v>
      </c>
      <c r="G12" s="1">
        <v>366543811</v>
      </c>
      <c r="H12" s="1">
        <v>361798630</v>
      </c>
      <c r="I12" s="1">
        <v>332838302</v>
      </c>
      <c r="J12" s="1">
        <v>359830167.16000003</v>
      </c>
      <c r="K12" s="1">
        <v>432672752.88999999</v>
      </c>
      <c r="L12" s="1">
        <v>449942392.64999998</v>
      </c>
      <c r="M12" s="1">
        <f t="shared" si="0"/>
        <v>17269639.75999999</v>
      </c>
    </row>
    <row r="13" spans="1:13" x14ac:dyDescent="0.3">
      <c r="A13" t="s">
        <v>246</v>
      </c>
      <c r="B13" s="26" t="s">
        <v>261</v>
      </c>
      <c r="C13" s="93">
        <v>5113882.3899999997</v>
      </c>
      <c r="D13" s="93">
        <v>4780884.22</v>
      </c>
      <c r="E13" s="1">
        <v>5618929.3200000003</v>
      </c>
      <c r="F13" s="1">
        <v>4632330</v>
      </c>
      <c r="G13" s="1">
        <v>5051506</v>
      </c>
      <c r="H13" s="1">
        <v>4588006</v>
      </c>
      <c r="I13" s="1">
        <v>3869468</v>
      </c>
      <c r="J13" s="1">
        <v>3248553.46</v>
      </c>
      <c r="K13" s="1">
        <v>4026785.8</v>
      </c>
      <c r="L13" s="1">
        <v>6232303.54</v>
      </c>
      <c r="M13" s="1">
        <f t="shared" si="0"/>
        <v>2205517.7400000002</v>
      </c>
    </row>
    <row r="14" spans="1:13" x14ac:dyDescent="0.3">
      <c r="A14" t="s">
        <v>247</v>
      </c>
      <c r="B14" s="26" t="s">
        <v>261</v>
      </c>
      <c r="C14" s="93">
        <v>39965417.439999998</v>
      </c>
      <c r="D14" s="93">
        <v>34772052.399999999</v>
      </c>
      <c r="E14" s="1">
        <v>38567719.909999996</v>
      </c>
      <c r="F14" s="1">
        <v>31087062</v>
      </c>
      <c r="G14" s="1">
        <v>35799696</v>
      </c>
      <c r="H14" s="1">
        <v>39384100</v>
      </c>
      <c r="I14" s="1">
        <v>72866942</v>
      </c>
      <c r="J14" s="1">
        <v>91747250.900000006</v>
      </c>
      <c r="K14" s="1">
        <v>132926303.34</v>
      </c>
      <c r="L14" s="1">
        <v>77827556.780000001</v>
      </c>
      <c r="M14" s="1">
        <f t="shared" si="0"/>
        <v>-55098746.560000002</v>
      </c>
    </row>
    <row r="15" spans="1:13" x14ac:dyDescent="0.3">
      <c r="A15" t="s">
        <v>248</v>
      </c>
      <c r="B15" s="26" t="s">
        <v>261</v>
      </c>
      <c r="C15" s="93">
        <v>128433915.83</v>
      </c>
      <c r="D15" s="93">
        <v>120801072.31</v>
      </c>
      <c r="E15" s="1">
        <v>113335309.91</v>
      </c>
      <c r="F15" s="1">
        <v>112320036</v>
      </c>
      <c r="G15" s="1">
        <v>109851792</v>
      </c>
      <c r="H15" s="1">
        <v>113282678</v>
      </c>
      <c r="I15" s="1">
        <v>108373563</v>
      </c>
      <c r="J15" s="1">
        <v>107645784.48</v>
      </c>
      <c r="K15" s="1">
        <v>110713223.51000001</v>
      </c>
      <c r="L15" s="1">
        <v>111849410.67</v>
      </c>
      <c r="M15" s="1">
        <f t="shared" si="0"/>
        <v>1136187.1599999964</v>
      </c>
    </row>
    <row r="16" spans="1:13" x14ac:dyDescent="0.3">
      <c r="A16" t="s">
        <v>249</v>
      </c>
      <c r="B16" s="26" t="s">
        <v>261</v>
      </c>
      <c r="C16" s="93">
        <v>39488150.590000004</v>
      </c>
      <c r="D16" s="93">
        <v>37981203.049999997</v>
      </c>
      <c r="E16" s="1">
        <v>38729785.689999998</v>
      </c>
      <c r="F16" s="1">
        <v>76896569</v>
      </c>
      <c r="G16" s="1">
        <v>76397016</v>
      </c>
      <c r="H16" s="1">
        <v>77773378</v>
      </c>
      <c r="I16" s="1">
        <v>80665498</v>
      </c>
      <c r="J16" s="1">
        <v>80225250.650000006</v>
      </c>
      <c r="K16" s="1">
        <v>76603704.480000004</v>
      </c>
      <c r="L16" s="1">
        <v>95586700.599999994</v>
      </c>
      <c r="M16" s="1">
        <f t="shared" si="0"/>
        <v>18982996.11999999</v>
      </c>
    </row>
    <row r="17" spans="1:13" x14ac:dyDescent="0.3">
      <c r="A17" t="s">
        <v>250</v>
      </c>
      <c r="B17" s="26" t="s">
        <v>261</v>
      </c>
      <c r="C17" s="93">
        <v>0</v>
      </c>
      <c r="D17" s="93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f t="shared" si="0"/>
        <v>0</v>
      </c>
    </row>
    <row r="18" spans="1:13" x14ac:dyDescent="0.3">
      <c r="A18" t="s">
        <v>251</v>
      </c>
      <c r="B18" s="26" t="s">
        <v>261</v>
      </c>
      <c r="C18" s="93">
        <v>0</v>
      </c>
      <c r="D18" s="93">
        <v>0</v>
      </c>
      <c r="E18" s="1">
        <v>0</v>
      </c>
      <c r="F18" s="1">
        <v>32191091</v>
      </c>
      <c r="G18" s="1">
        <v>12056811</v>
      </c>
      <c r="H18" s="1">
        <v>837553</v>
      </c>
      <c r="I18" s="1">
        <v>10620255</v>
      </c>
      <c r="J18" s="1">
        <v>26749699.010000002</v>
      </c>
      <c r="K18" s="1">
        <v>17512670.25</v>
      </c>
      <c r="L18" s="1">
        <v>8060454.0599999996</v>
      </c>
      <c r="M18" s="1">
        <f t="shared" si="0"/>
        <v>-9452216.1900000013</v>
      </c>
    </row>
    <row r="19" spans="1:13" x14ac:dyDescent="0.3">
      <c r="A19" t="s">
        <v>14</v>
      </c>
      <c r="B19" s="26" t="s">
        <v>261</v>
      </c>
      <c r="C19" s="93">
        <v>74997690.180000007</v>
      </c>
      <c r="D19" s="93">
        <v>17948259.210000001</v>
      </c>
      <c r="E19" s="1">
        <v>33549955.780000001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3932147.79</v>
      </c>
      <c r="M19" s="1">
        <f t="shared" si="0"/>
        <v>3932147.79</v>
      </c>
    </row>
    <row r="20" spans="1:13" x14ac:dyDescent="0.3">
      <c r="A20" s="32" t="s">
        <v>252</v>
      </c>
      <c r="B20" s="33" t="s">
        <v>261</v>
      </c>
      <c r="C20" s="94">
        <v>14373857.6</v>
      </c>
      <c r="D20" s="94">
        <v>35570807.68</v>
      </c>
      <c r="E20" s="34">
        <v>24837269.649999999</v>
      </c>
      <c r="F20" s="34">
        <v>22047139</v>
      </c>
      <c r="G20" s="34">
        <v>18966592</v>
      </c>
      <c r="H20" s="34">
        <v>18301790</v>
      </c>
      <c r="I20" s="34">
        <v>16087785</v>
      </c>
      <c r="J20" s="34">
        <v>17156060.609999999</v>
      </c>
      <c r="K20" s="34">
        <v>21256140.530000001</v>
      </c>
      <c r="L20" s="1">
        <v>21623274.68</v>
      </c>
      <c r="M20" s="1">
        <f t="shared" si="0"/>
        <v>367134.14999999851</v>
      </c>
    </row>
    <row r="21" spans="1:13" x14ac:dyDescent="0.3">
      <c r="A21" s="35" t="s">
        <v>265</v>
      </c>
      <c r="B21" s="36" t="s">
        <v>261</v>
      </c>
      <c r="C21" s="92">
        <f t="shared" ref="C21:H21" si="2">SUM(C11:C20)</f>
        <v>660312850.53000009</v>
      </c>
      <c r="D21" s="92">
        <f t="shared" si="2"/>
        <v>614982946.36000001</v>
      </c>
      <c r="E21" s="92">
        <f t="shared" si="2"/>
        <v>614600660.64999998</v>
      </c>
      <c r="F21" s="92">
        <f t="shared" si="2"/>
        <v>637701420</v>
      </c>
      <c r="G21" s="92">
        <f t="shared" si="2"/>
        <v>627446485</v>
      </c>
      <c r="H21" s="92">
        <f t="shared" si="2"/>
        <v>617804069</v>
      </c>
      <c r="I21" s="92">
        <f>SUM(I11:I20)</f>
        <v>629149976</v>
      </c>
      <c r="J21" s="92">
        <f>SUM(J11:J20)</f>
        <v>688965906.61000001</v>
      </c>
      <c r="K21" s="92">
        <f>SUM(K11:K20)</f>
        <v>798265023.38999999</v>
      </c>
      <c r="L21" s="92">
        <f>SUM(L11:L20)</f>
        <v>777250186.4599998</v>
      </c>
      <c r="M21" s="11">
        <f t="shared" si="0"/>
        <v>-21014836.930000186</v>
      </c>
    </row>
    <row r="22" spans="1:13" x14ac:dyDescent="0.3">
      <c r="A22" t="s">
        <v>253</v>
      </c>
      <c r="B22" s="26" t="s">
        <v>260</v>
      </c>
      <c r="C22" s="93">
        <v>6243098.5300000003</v>
      </c>
      <c r="D22" s="93">
        <v>17730112.940000001</v>
      </c>
      <c r="E22" s="1">
        <v>8680663.4700000007</v>
      </c>
      <c r="F22" s="1">
        <v>2004034</v>
      </c>
      <c r="G22" s="1">
        <v>1282709</v>
      </c>
      <c r="H22" s="1">
        <v>5860051</v>
      </c>
      <c r="I22" s="1">
        <v>1886292</v>
      </c>
      <c r="J22" s="1">
        <v>2254874.13</v>
      </c>
      <c r="K22" s="1">
        <v>4120308.93</v>
      </c>
      <c r="L22" s="1">
        <v>3030552.6</v>
      </c>
      <c r="M22" s="1">
        <f t="shared" si="0"/>
        <v>-1089756.33</v>
      </c>
    </row>
    <row r="23" spans="1:13" x14ac:dyDescent="0.3">
      <c r="A23" t="s">
        <v>254</v>
      </c>
      <c r="B23" s="26" t="s">
        <v>261</v>
      </c>
      <c r="C23" s="93">
        <v>23708570.289999999</v>
      </c>
      <c r="D23" s="93">
        <v>16540013.91</v>
      </c>
      <c r="E23" s="1">
        <v>17603688.969999999</v>
      </c>
      <c r="F23" s="1">
        <v>15899774</v>
      </c>
      <c r="G23" s="1">
        <v>15270718</v>
      </c>
      <c r="H23" s="1">
        <v>13428851</v>
      </c>
      <c r="I23" s="1">
        <v>12975667</v>
      </c>
      <c r="J23" s="1">
        <v>12772709.140000001</v>
      </c>
      <c r="K23" s="1">
        <v>9793385.4000000004</v>
      </c>
      <c r="L23" s="1">
        <v>13901318.050000001</v>
      </c>
      <c r="M23" s="1">
        <f t="shared" si="0"/>
        <v>4107932.6500000004</v>
      </c>
    </row>
    <row r="24" spans="1:13" x14ac:dyDescent="0.3">
      <c r="A24" t="s">
        <v>255</v>
      </c>
      <c r="B24" s="26" t="s">
        <v>260</v>
      </c>
      <c r="C24" s="93">
        <v>-8277146.2300000004</v>
      </c>
      <c r="D24" s="93">
        <v>-21613385.920000002</v>
      </c>
      <c r="E24" s="1">
        <v>-4251361.8099999996</v>
      </c>
      <c r="F24" s="1">
        <v>851789</v>
      </c>
      <c r="G24" s="1">
        <v>5662973</v>
      </c>
      <c r="H24" s="1">
        <v>6254535</v>
      </c>
      <c r="I24" s="1">
        <v>3149783</v>
      </c>
      <c r="J24" s="1">
        <v>2854051.16</v>
      </c>
      <c r="K24" s="1">
        <v>4239878.3600000003</v>
      </c>
      <c r="L24" s="1">
        <v>-387444.35</v>
      </c>
      <c r="M24" s="1">
        <f t="shared" si="0"/>
        <v>-4627322.71</v>
      </c>
    </row>
    <row r="25" spans="1:13" x14ac:dyDescent="0.3">
      <c r="A25" t="s">
        <v>256</v>
      </c>
      <c r="B25" s="26" t="s">
        <v>260</v>
      </c>
      <c r="C25" s="93">
        <v>15810155.99</v>
      </c>
      <c r="D25" s="93">
        <v>44953495.939999998</v>
      </c>
      <c r="E25" s="1">
        <v>35362697.57</v>
      </c>
      <c r="F25" s="1">
        <v>57201120</v>
      </c>
      <c r="G25" s="1">
        <v>41735884</v>
      </c>
      <c r="H25" s="1">
        <v>63861569</v>
      </c>
      <c r="I25" s="1">
        <v>33100691</v>
      </c>
      <c r="J25" s="1">
        <v>48497544.850000001</v>
      </c>
      <c r="K25" s="1">
        <v>48823167.109999999</v>
      </c>
      <c r="L25" s="1">
        <v>77051053.430000007</v>
      </c>
      <c r="M25" s="1">
        <f t="shared" si="0"/>
        <v>28227886.320000008</v>
      </c>
    </row>
    <row r="26" spans="1:13" x14ac:dyDescent="0.3">
      <c r="A26" t="s">
        <v>257</v>
      </c>
      <c r="B26" s="26" t="s">
        <v>261</v>
      </c>
      <c r="C26" s="93">
        <v>23395559.039999999</v>
      </c>
      <c r="D26" s="93">
        <v>38359168.68</v>
      </c>
      <c r="E26" s="1">
        <v>13980231.16</v>
      </c>
      <c r="F26" s="1">
        <v>13418945</v>
      </c>
      <c r="G26" s="1">
        <v>8725551</v>
      </c>
      <c r="H26" s="1">
        <v>5536271</v>
      </c>
      <c r="I26" s="1">
        <v>7700917</v>
      </c>
      <c r="J26" s="1">
        <v>7632907.0899999999</v>
      </c>
      <c r="K26" s="1">
        <v>4470115.26</v>
      </c>
      <c r="L26" s="1">
        <v>3059782.08</v>
      </c>
      <c r="M26" s="1">
        <f t="shared" si="0"/>
        <v>-1410333.1799999997</v>
      </c>
    </row>
    <row r="27" spans="1:13" x14ac:dyDescent="0.3">
      <c r="A27" t="s">
        <v>258</v>
      </c>
      <c r="B27" s="26" t="s">
        <v>261</v>
      </c>
      <c r="C27" s="93">
        <v>7989127.2599999998</v>
      </c>
      <c r="D27" s="93">
        <v>7052902.5599999996</v>
      </c>
      <c r="E27" s="1">
        <v>6831585.5899999999</v>
      </c>
      <c r="F27" s="1">
        <v>5399059</v>
      </c>
      <c r="G27" s="1">
        <v>6692169</v>
      </c>
      <c r="H27" s="1">
        <v>6759046</v>
      </c>
      <c r="I27" s="1">
        <v>6456215</v>
      </c>
      <c r="J27" s="1">
        <v>6221960.0499999998</v>
      </c>
      <c r="K27" s="1">
        <v>6257998.5</v>
      </c>
      <c r="L27" s="1">
        <v>6726439.9100000001</v>
      </c>
      <c r="M27" s="1">
        <f t="shared" si="0"/>
        <v>468441.41000000015</v>
      </c>
    </row>
    <row r="28" spans="1:13" x14ac:dyDescent="0.3">
      <c r="A28" s="10" t="s">
        <v>259</v>
      </c>
      <c r="B28" s="36" t="s">
        <v>262</v>
      </c>
      <c r="C28" s="95">
        <f>SUM(C2:C9)-SUM(C11:C20)+C22-C23+C24+C25-C26-C27</f>
        <v>-113307527.45000009</v>
      </c>
      <c r="D28" s="95">
        <f>SUM(D2:D9)-SUM(D11:D20)+D22-D23+D24+D25-D26-D27</f>
        <v>-22828677.100000087</v>
      </c>
      <c r="E28" s="37">
        <f t="shared" ref="E28:L28" si="3">E10-E21+E22-E23+E24+E25-E26-E27</f>
        <v>9946965.850000035</v>
      </c>
      <c r="F28" s="37">
        <f t="shared" si="3"/>
        <v>50647304</v>
      </c>
      <c r="G28" s="37">
        <f t="shared" si="3"/>
        <v>65195730</v>
      </c>
      <c r="H28" s="37">
        <f t="shared" si="3"/>
        <v>140144829</v>
      </c>
      <c r="I28" s="37">
        <f t="shared" si="3"/>
        <v>75063589</v>
      </c>
      <c r="J28" s="37">
        <f>J10-J21+J22-J23+J24+J25-J26-J27</f>
        <v>92503274.160000071</v>
      </c>
      <c r="K28" s="37">
        <f t="shared" ref="K28" si="4">K10-K21+K22-K23+K24+K25-K26-K27</f>
        <v>43600471.370000117</v>
      </c>
      <c r="L28" s="37">
        <f t="shared" si="3"/>
        <v>82792066.53000024</v>
      </c>
      <c r="M28" s="37">
        <f t="shared" si="0"/>
        <v>39191595.160000123</v>
      </c>
    </row>
    <row r="29" spans="1:13" x14ac:dyDescent="0.3">
      <c r="A29" s="72" t="s">
        <v>384</v>
      </c>
      <c r="B29" s="134"/>
      <c r="C29" s="135">
        <f>C10-SUM(C11:C15)+C17</f>
        <v>56869319.220000029</v>
      </c>
      <c r="D29" s="135">
        <f t="shared" ref="D29:L29" si="5">D10-SUM(D11:D15)+D17</f>
        <v>89553455.029999912</v>
      </c>
      <c r="E29" s="135">
        <f t="shared" si="5"/>
        <v>105687483.46000004</v>
      </c>
      <c r="F29" s="135">
        <f t="shared" si="5"/>
        <v>156442938</v>
      </c>
      <c r="G29" s="135">
        <f t="shared" si="5"/>
        <v>154623021</v>
      </c>
      <c r="H29" s="135">
        <f t="shared" si="5"/>
        <v>186805563</v>
      </c>
      <c r="I29" s="135">
        <f t="shared" si="5"/>
        <v>171433160</v>
      </c>
      <c r="J29" s="135">
        <f t="shared" si="5"/>
        <v>189655390.57000005</v>
      </c>
      <c r="K29" s="135">
        <f t="shared" ref="K29" si="6">K10-SUM(K11:K15)+K17</f>
        <v>122311131.3900001</v>
      </c>
      <c r="L29" s="135">
        <f t="shared" si="5"/>
        <v>155988022.0200001</v>
      </c>
      <c r="M29" s="135">
        <f t="shared" si="0"/>
        <v>33676890.629999995</v>
      </c>
    </row>
  </sheetData>
  <conditionalFormatting sqref="C28:H28 L28:M28">
    <cfRule type="cellIs" dxfId="94" priority="21" operator="greaterThan">
      <formula>0</formula>
    </cfRule>
  </conditionalFormatting>
  <conditionalFormatting sqref="I28">
    <cfRule type="cellIs" dxfId="93" priority="11" operator="greaterThan">
      <formula>0</formula>
    </cfRule>
  </conditionalFormatting>
  <conditionalFormatting sqref="J28">
    <cfRule type="cellIs" dxfId="92" priority="10" operator="greaterThan">
      <formula>0</formula>
    </cfRule>
  </conditionalFormatting>
  <conditionalFormatting sqref="C29:J29 L29:M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C29:J29 L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pane xSplit="1" topLeftCell="C1" activePane="topRight" state="frozen"/>
      <selection pane="topRight" activeCell="L3" sqref="L3"/>
    </sheetView>
  </sheetViews>
  <sheetFormatPr defaultRowHeight="14.4" x14ac:dyDescent="0.3"/>
  <cols>
    <col min="1" max="1" width="35.5546875" customWidth="1"/>
    <col min="2" max="2" width="12.33203125" bestFit="1" customWidth="1"/>
    <col min="3" max="12" width="11.5546875" bestFit="1" customWidth="1"/>
  </cols>
  <sheetData>
    <row r="1" spans="1:12" x14ac:dyDescent="0.3">
      <c r="A1" s="41"/>
      <c r="B1" s="42">
        <v>2014</v>
      </c>
      <c r="C1" s="42">
        <v>2015</v>
      </c>
      <c r="D1" s="42">
        <v>2016</v>
      </c>
      <c r="E1" s="42">
        <v>2017</v>
      </c>
      <c r="F1" s="42">
        <v>2018</v>
      </c>
      <c r="G1" s="42">
        <v>2019</v>
      </c>
      <c r="H1" s="42">
        <v>2020</v>
      </c>
      <c r="I1" s="42">
        <v>2021</v>
      </c>
      <c r="J1" s="42">
        <v>2022</v>
      </c>
      <c r="K1" s="42">
        <v>2023</v>
      </c>
      <c r="L1" s="42" t="s">
        <v>266</v>
      </c>
    </row>
    <row r="2" spans="1:12" x14ac:dyDescent="0.3">
      <c r="A2" s="71" t="s">
        <v>346</v>
      </c>
      <c r="B2" s="64">
        <f>Conto_economico!C10</f>
        <v>588322471.38</v>
      </c>
      <c r="C2" s="64">
        <f>Conto_economico!D10</f>
        <v>613036131.44999993</v>
      </c>
      <c r="D2" s="64">
        <f>Conto_economico!E10</f>
        <v>623171132.99000001</v>
      </c>
      <c r="E2" s="64">
        <f>Conto_economico!F10</f>
        <v>663009559</v>
      </c>
      <c r="F2" s="64">
        <f>Conto_economico!G10</f>
        <v>674649087</v>
      </c>
      <c r="G2" s="64">
        <f>Conto_economico!H10</f>
        <v>707696911</v>
      </c>
      <c r="H2" s="64">
        <f>Conto_economico!I10</f>
        <v>693209598</v>
      </c>
      <c r="I2" s="64">
        <f>Conto_economico!J10</f>
        <v>754490286.91000009</v>
      </c>
      <c r="J2" s="64">
        <f>Conto_economico!K10</f>
        <v>805203639.5200001</v>
      </c>
      <c r="K2" s="64">
        <f>Conto_economico!L10</f>
        <v>804035631.35000002</v>
      </c>
      <c r="L2" s="64">
        <f t="shared" ref="L2:L16" si="0">K2-J2</f>
        <v>-1168008.1700000763</v>
      </c>
    </row>
    <row r="3" spans="1:12" x14ac:dyDescent="0.3">
      <c r="A3" s="71" t="s">
        <v>341</v>
      </c>
      <c r="B3" s="64">
        <f>Conto_economico!C2</f>
        <v>352690963.50999999</v>
      </c>
      <c r="C3" s="64">
        <f>Conto_economico!D2</f>
        <v>354800497.83999997</v>
      </c>
      <c r="D3" s="64">
        <f>Conto_economico!E2</f>
        <v>349329409.70999998</v>
      </c>
      <c r="E3" s="64">
        <f>Conto_economico!F2</f>
        <v>355450133</v>
      </c>
      <c r="F3" s="64">
        <f>Conto_economico!G2</f>
        <v>361136717</v>
      </c>
      <c r="G3" s="64">
        <f>Conto_economico!H2</f>
        <v>371995195</v>
      </c>
      <c r="H3" s="64">
        <f>Conto_economico!I2</f>
        <v>273790109</v>
      </c>
      <c r="I3" s="64">
        <f>Conto_economico!J2</f>
        <v>319706101.32999998</v>
      </c>
      <c r="J3" s="64">
        <f>Conto_economico!K2</f>
        <v>373524281.13</v>
      </c>
      <c r="K3" s="64">
        <f>Conto_economico!L2</f>
        <v>401048331.16000003</v>
      </c>
      <c r="L3" s="64">
        <f t="shared" si="0"/>
        <v>27524050.030000031</v>
      </c>
    </row>
    <row r="4" spans="1:12" x14ac:dyDescent="0.3">
      <c r="A4" s="71" t="s">
        <v>342</v>
      </c>
      <c r="B4" s="64">
        <f>Conto_economico!C4</f>
        <v>104375033.61</v>
      </c>
      <c r="C4" s="64">
        <f>Conto_economico!D4</f>
        <v>103028598.63</v>
      </c>
      <c r="D4" s="64">
        <f>Conto_economico!E4</f>
        <v>105421632.18000001</v>
      </c>
      <c r="E4" s="64">
        <f>Conto_economico!F4</f>
        <v>124201909</v>
      </c>
      <c r="F4" s="64">
        <f>Conto_economico!G4</f>
        <v>131123195</v>
      </c>
      <c r="G4" s="64">
        <f>Conto_economico!H4</f>
        <v>150090626</v>
      </c>
      <c r="H4" s="64">
        <f>Conto_economico!I4</f>
        <v>305806666</v>
      </c>
      <c r="I4" s="64">
        <f>Conto_economico!J4</f>
        <v>303985100.56</v>
      </c>
      <c r="J4" s="64">
        <f>Conto_economico!K4</f>
        <v>271329383.5</v>
      </c>
      <c r="K4" s="64">
        <f>Conto_economico!L4</f>
        <v>207570801.24000001</v>
      </c>
      <c r="L4" s="64">
        <f t="shared" si="0"/>
        <v>-63758582.25999999</v>
      </c>
    </row>
    <row r="5" spans="1:12" x14ac:dyDescent="0.3">
      <c r="A5" s="71" t="s">
        <v>347</v>
      </c>
      <c r="B5" s="65">
        <f>Conto_economico!C21</f>
        <v>660312850.53000009</v>
      </c>
      <c r="C5" s="65">
        <f>Conto_economico!D21</f>
        <v>614982946.36000001</v>
      </c>
      <c r="D5" s="65">
        <f>Conto_economico!E21</f>
        <v>614600660.64999998</v>
      </c>
      <c r="E5" s="65">
        <f>Conto_economico!F21</f>
        <v>637701420</v>
      </c>
      <c r="F5" s="65">
        <f>Conto_economico!G21</f>
        <v>627446485</v>
      </c>
      <c r="G5" s="65">
        <f>Conto_economico!H21</f>
        <v>617804069</v>
      </c>
      <c r="H5" s="65">
        <f>Conto_economico!I21</f>
        <v>629149976</v>
      </c>
      <c r="I5" s="65">
        <f>Conto_economico!J21</f>
        <v>688965906.61000001</v>
      </c>
      <c r="J5" s="65">
        <f>Conto_economico!K21</f>
        <v>798265023.38999999</v>
      </c>
      <c r="K5" s="65">
        <f>Conto_economico!L21</f>
        <v>777250186.4599998</v>
      </c>
      <c r="L5" s="64">
        <f t="shared" si="0"/>
        <v>-21014836.930000186</v>
      </c>
    </row>
    <row r="6" spans="1:12" x14ac:dyDescent="0.3">
      <c r="A6" s="71" t="s">
        <v>343</v>
      </c>
      <c r="B6" s="64">
        <f>Conto_economico!C12</f>
        <v>356320649.81</v>
      </c>
      <c r="C6" s="64">
        <f>Conto_economico!D12</f>
        <v>361371182.63999999</v>
      </c>
      <c r="D6" s="64">
        <f>Conto_economico!E12</f>
        <v>358690338.81</v>
      </c>
      <c r="E6" s="64">
        <f>Conto_economico!F12</f>
        <v>356931704</v>
      </c>
      <c r="F6" s="64">
        <f>Conto_economico!G12</f>
        <v>366543811</v>
      </c>
      <c r="G6" s="64">
        <f>Conto_economico!H12</f>
        <v>361798630</v>
      </c>
      <c r="H6" s="64">
        <f>Conto_economico!I12</f>
        <v>332838302</v>
      </c>
      <c r="I6" s="64">
        <f>Conto_economico!J12</f>
        <v>359830167.16000003</v>
      </c>
      <c r="J6" s="64">
        <f>Conto_economico!K12</f>
        <v>432672752.88999999</v>
      </c>
      <c r="K6" s="64">
        <f>Conto_economico!L12</f>
        <v>449942392.64999998</v>
      </c>
      <c r="L6" s="64">
        <f t="shared" si="0"/>
        <v>17269639.75999999</v>
      </c>
    </row>
    <row r="7" spans="1:12" x14ac:dyDescent="0.3">
      <c r="A7" s="71" t="s">
        <v>344</v>
      </c>
      <c r="B7" s="64">
        <f>Conto_economico!C15</f>
        <v>128433915.83</v>
      </c>
      <c r="C7" s="64">
        <f>Conto_economico!D15</f>
        <v>120801072.31</v>
      </c>
      <c r="D7" s="64">
        <f>Conto_economico!E15</f>
        <v>113335309.91</v>
      </c>
      <c r="E7" s="64">
        <f>Conto_economico!F15</f>
        <v>112320036</v>
      </c>
      <c r="F7" s="64">
        <f>Conto_economico!G15</f>
        <v>109851792</v>
      </c>
      <c r="G7" s="64">
        <f>Conto_economico!H15</f>
        <v>113282678</v>
      </c>
      <c r="H7" s="64">
        <f>Conto_economico!I15</f>
        <v>108373563</v>
      </c>
      <c r="I7" s="64">
        <f>Conto_economico!J15</f>
        <v>107645784.48</v>
      </c>
      <c r="J7" s="64">
        <f>Conto_economico!K15</f>
        <v>110713223.51000001</v>
      </c>
      <c r="K7" s="64">
        <f>Conto_economico!L15</f>
        <v>111849410.67</v>
      </c>
      <c r="L7" s="64">
        <f t="shared" si="0"/>
        <v>1136187.1599999964</v>
      </c>
    </row>
    <row r="8" spans="1:12" x14ac:dyDescent="0.3">
      <c r="A8" s="71" t="s">
        <v>345</v>
      </c>
      <c r="B8" s="64">
        <f>Conto_economico!C16</f>
        <v>39488150.590000004</v>
      </c>
      <c r="C8" s="64">
        <f>Conto_economico!D16</f>
        <v>37981203.049999997</v>
      </c>
      <c r="D8" s="64">
        <f>Conto_economico!E16</f>
        <v>38729785.689999998</v>
      </c>
      <c r="E8" s="64">
        <f>Conto_economico!F16</f>
        <v>76896569</v>
      </c>
      <c r="F8" s="64">
        <f>Conto_economico!G16</f>
        <v>76397016</v>
      </c>
      <c r="G8" s="64">
        <f>Conto_economico!H16</f>
        <v>77773378</v>
      </c>
      <c r="H8" s="64">
        <f>Conto_economico!I16</f>
        <v>80665498</v>
      </c>
      <c r="I8" s="64">
        <f>Conto_economico!J16</f>
        <v>80225250.650000006</v>
      </c>
      <c r="J8" s="64">
        <f>Conto_economico!K16</f>
        <v>76603704.480000004</v>
      </c>
      <c r="K8" s="64">
        <f>Conto_economico!L16</f>
        <v>95586700.599999994</v>
      </c>
      <c r="L8" s="64">
        <f t="shared" si="0"/>
        <v>18982996.11999999</v>
      </c>
    </row>
    <row r="9" spans="1:12" x14ac:dyDescent="0.3">
      <c r="A9" s="47" t="s">
        <v>384</v>
      </c>
      <c r="B9" s="66">
        <f>Conto_economico!C29</f>
        <v>56869319.220000029</v>
      </c>
      <c r="C9" s="66">
        <f>Conto_economico!D29</f>
        <v>89553455.029999912</v>
      </c>
      <c r="D9" s="66">
        <f>Conto_economico!E29</f>
        <v>105687483.46000004</v>
      </c>
      <c r="E9" s="66">
        <f>Conto_economico!F29</f>
        <v>156442938</v>
      </c>
      <c r="F9" s="66">
        <f>Conto_economico!G29</f>
        <v>154623021</v>
      </c>
      <c r="G9" s="66">
        <f>Conto_economico!H29</f>
        <v>186805563</v>
      </c>
      <c r="H9" s="66">
        <f>Conto_economico!I29</f>
        <v>171433160</v>
      </c>
      <c r="I9" s="66">
        <f>Conto_economico!J29</f>
        <v>189655390.57000005</v>
      </c>
      <c r="J9" s="66">
        <f>Conto_economico!K29</f>
        <v>122311131.3900001</v>
      </c>
      <c r="K9" s="66">
        <f>Conto_economico!L29</f>
        <v>155988022.0200001</v>
      </c>
      <c r="L9" s="66">
        <f t="shared" si="0"/>
        <v>33676890.629999995</v>
      </c>
    </row>
    <row r="10" spans="1:12" x14ac:dyDescent="0.3">
      <c r="A10" s="47" t="s">
        <v>307</v>
      </c>
      <c r="B10" s="66">
        <f>B2-B5</f>
        <v>-71990379.150000095</v>
      </c>
      <c r="C10" s="66">
        <f>C2-C5</f>
        <v>-1946814.9100000858</v>
      </c>
      <c r="D10" s="66">
        <f>D2-D5</f>
        <v>8570472.3400000334</v>
      </c>
      <c r="E10" s="66">
        <f>E2-E5</f>
        <v>25308139</v>
      </c>
      <c r="F10" s="66">
        <f>F2-F5</f>
        <v>47202602</v>
      </c>
      <c r="G10" s="66">
        <f t="shared" ref="G10" si="1">G2-G5</f>
        <v>89892842</v>
      </c>
      <c r="H10" s="66">
        <f>H2-H5</f>
        <v>64059622</v>
      </c>
      <c r="I10" s="66">
        <f>I2-I5</f>
        <v>65524380.300000072</v>
      </c>
      <c r="J10" s="66">
        <f>J2-J5</f>
        <v>6938616.1300001144</v>
      </c>
      <c r="K10" s="66">
        <f>K2-K5</f>
        <v>26785444.890000224</v>
      </c>
      <c r="L10" s="66">
        <f t="shared" si="0"/>
        <v>19846828.76000011</v>
      </c>
    </row>
    <row r="11" spans="1:12" x14ac:dyDescent="0.3">
      <c r="A11" s="71" t="s">
        <v>308</v>
      </c>
      <c r="B11" s="64">
        <f>Conto_economico!C22-Conto_economico!C23</f>
        <v>-17465471.759999998</v>
      </c>
      <c r="C11" s="64">
        <f>Conto_economico!D22-Conto_economico!D23</f>
        <v>1190099.0300000012</v>
      </c>
      <c r="D11" s="64">
        <f>Conto_economico!E22-Conto_economico!E23</f>
        <v>-8923025.4999999981</v>
      </c>
      <c r="E11" s="64">
        <f>Conto_economico!F22-Conto_economico!F23</f>
        <v>-13895740</v>
      </c>
      <c r="F11" s="64">
        <f>Conto_economico!G22-Conto_economico!G23</f>
        <v>-13988009</v>
      </c>
      <c r="G11" s="64">
        <f>Conto_economico!H22-Conto_economico!H23</f>
        <v>-7568800</v>
      </c>
      <c r="H11" s="64">
        <f>Conto_economico!I22-Conto_economico!I23</f>
        <v>-11089375</v>
      </c>
      <c r="I11" s="64">
        <f>Conto_economico!J22-Conto_economico!J23</f>
        <v>-10517835.010000002</v>
      </c>
      <c r="J11" s="64">
        <f>Conto_economico!K22-Conto_economico!K23</f>
        <v>-5673076.4700000007</v>
      </c>
      <c r="K11" s="64">
        <f>Conto_economico!L22-Conto_economico!L23</f>
        <v>-10870765.450000001</v>
      </c>
      <c r="L11" s="64">
        <f t="shared" si="0"/>
        <v>-5197688.9800000004</v>
      </c>
    </row>
    <row r="12" spans="1:12" x14ac:dyDescent="0.3">
      <c r="A12" s="71" t="s">
        <v>309</v>
      </c>
      <c r="B12" s="65">
        <f>Conto_economico!C25-Conto_economico!C26</f>
        <v>-7585403.0499999989</v>
      </c>
      <c r="C12" s="65">
        <f>Conto_economico!D25-Conto_economico!D26</f>
        <v>6594327.2599999979</v>
      </c>
      <c r="D12" s="65">
        <f>Conto_economico!E25-Conto_economico!E26</f>
        <v>21382466.41</v>
      </c>
      <c r="E12" s="65">
        <f>Conto_economico!F25-Conto_economico!F26</f>
        <v>43782175</v>
      </c>
      <c r="F12" s="65">
        <f>Conto_economico!G25-Conto_economico!G26</f>
        <v>33010333</v>
      </c>
      <c r="G12" s="65">
        <f>Conto_economico!H25-Conto_economico!H26</f>
        <v>58325298</v>
      </c>
      <c r="H12" s="65">
        <f>Conto_economico!I25-Conto_economico!I26</f>
        <v>25399774</v>
      </c>
      <c r="I12" s="65">
        <f>Conto_economico!J25-Conto_economico!J26</f>
        <v>40864637.760000005</v>
      </c>
      <c r="J12" s="65">
        <f>Conto_economico!K25-Conto_economico!K26</f>
        <v>44353051.850000001</v>
      </c>
      <c r="K12" s="65">
        <f>Conto_economico!L25-Conto_economico!L26</f>
        <v>73991271.350000009</v>
      </c>
      <c r="L12" s="64">
        <f t="shared" si="0"/>
        <v>29638219.500000007</v>
      </c>
    </row>
    <row r="13" spans="1:12" x14ac:dyDescent="0.3">
      <c r="A13" s="71" t="s">
        <v>255</v>
      </c>
      <c r="B13" s="65">
        <f>Conto_economico!C24</f>
        <v>-8277146.2300000004</v>
      </c>
      <c r="C13" s="65">
        <f>Conto_economico!D24</f>
        <v>-21613385.920000002</v>
      </c>
      <c r="D13" s="65">
        <f>Conto_economico!E24</f>
        <v>-4251361.8099999996</v>
      </c>
      <c r="E13" s="65">
        <f>Conto_economico!F24</f>
        <v>851789</v>
      </c>
      <c r="F13" s="65">
        <f>Conto_economico!G24</f>
        <v>5662973</v>
      </c>
      <c r="G13" s="65">
        <f>Conto_economico!H24</f>
        <v>6254535</v>
      </c>
      <c r="H13" s="65">
        <f>Conto_economico!I24</f>
        <v>3149783</v>
      </c>
      <c r="I13" s="65">
        <f>Conto_economico!J24</f>
        <v>2854051.16</v>
      </c>
      <c r="J13" s="65">
        <f>Conto_economico!K24</f>
        <v>4239878.3600000003</v>
      </c>
      <c r="K13" s="65">
        <f>Conto_economico!L24</f>
        <v>-387444.35</v>
      </c>
      <c r="L13" s="64">
        <f t="shared" si="0"/>
        <v>-4627322.71</v>
      </c>
    </row>
    <row r="14" spans="1:12" x14ac:dyDescent="0.3">
      <c r="A14" s="47" t="s">
        <v>310</v>
      </c>
      <c r="B14" s="66">
        <f>SUM(B10:B13)</f>
        <v>-105318400.19000009</v>
      </c>
      <c r="C14" s="66">
        <f>SUM(C10:C13)</f>
        <v>-15775774.540000089</v>
      </c>
      <c r="D14" s="66">
        <f>SUM(D10:D13)</f>
        <v>16778551.440000039</v>
      </c>
      <c r="E14" s="66">
        <f>SUM(E10:E13)</f>
        <v>56046363</v>
      </c>
      <c r="F14" s="66">
        <f>SUM(F10:F13)</f>
        <v>71887899</v>
      </c>
      <c r="G14" s="66">
        <f t="shared" ref="G14" si="2">SUM(G10:G13)</f>
        <v>146903875</v>
      </c>
      <c r="H14" s="66">
        <f>SUM(H10:H13)</f>
        <v>81519804</v>
      </c>
      <c r="I14" s="66">
        <f>SUM(I10:I13)</f>
        <v>98725234.210000068</v>
      </c>
      <c r="J14" s="66">
        <f>SUM(J10:J13)</f>
        <v>49858469.870000117</v>
      </c>
      <c r="K14" s="66">
        <f>SUM(K10:K13)</f>
        <v>89518506.440000236</v>
      </c>
      <c r="L14" s="66">
        <f t="shared" si="0"/>
        <v>39660036.57000012</v>
      </c>
    </row>
    <row r="15" spans="1:12" x14ac:dyDescent="0.3">
      <c r="A15" s="71" t="s">
        <v>258</v>
      </c>
      <c r="B15" s="64">
        <f>Conto_economico!C27</f>
        <v>7989127.2599999998</v>
      </c>
      <c r="C15" s="64">
        <f>Conto_economico!D27</f>
        <v>7052902.5599999996</v>
      </c>
      <c r="D15" s="64">
        <f>Conto_economico!E27</f>
        <v>6831585.5899999999</v>
      </c>
      <c r="E15" s="64">
        <f>Conto_economico!F27</f>
        <v>5399059</v>
      </c>
      <c r="F15" s="64">
        <f>Conto_economico!G27</f>
        <v>6692169</v>
      </c>
      <c r="G15" s="64">
        <f>Conto_economico!H27</f>
        <v>6759046</v>
      </c>
      <c r="H15" s="64">
        <f>Conto_economico!I27</f>
        <v>6456215</v>
      </c>
      <c r="I15" s="64">
        <f>Conto_economico!J27</f>
        <v>6221960.0499999998</v>
      </c>
      <c r="J15" s="64">
        <f>Conto_economico!K27</f>
        <v>6257998.5</v>
      </c>
      <c r="K15" s="64">
        <f>Conto_economico!L27</f>
        <v>6726439.9100000001</v>
      </c>
      <c r="L15" s="64">
        <f t="shared" si="0"/>
        <v>468441.41000000015</v>
      </c>
    </row>
    <row r="16" spans="1:12" x14ac:dyDescent="0.3">
      <c r="A16" s="70" t="s">
        <v>259</v>
      </c>
      <c r="B16" s="67">
        <f>B14-B15</f>
        <v>-113307527.45000009</v>
      </c>
      <c r="C16" s="67">
        <f>C14-C15</f>
        <v>-22828677.100000087</v>
      </c>
      <c r="D16" s="67">
        <f>D14-D15</f>
        <v>9946965.8500000387</v>
      </c>
      <c r="E16" s="67">
        <f>E14-E15</f>
        <v>50647304</v>
      </c>
      <c r="F16" s="67">
        <f>F14-F15</f>
        <v>65195730</v>
      </c>
      <c r="G16" s="67">
        <f t="shared" ref="G16" si="3">G14-G15</f>
        <v>140144829</v>
      </c>
      <c r="H16" s="67">
        <f>H14-H15</f>
        <v>75063589</v>
      </c>
      <c r="I16" s="67">
        <f>I14-I15</f>
        <v>92503274.160000071</v>
      </c>
      <c r="J16" s="67">
        <f>J14-J15</f>
        <v>43600471.370000117</v>
      </c>
      <c r="K16" s="67">
        <f>K14-K15</f>
        <v>82792066.53000024</v>
      </c>
      <c r="L16" s="67">
        <f t="shared" si="0"/>
        <v>39191595.160000123</v>
      </c>
    </row>
    <row r="18" spans="2:3" x14ac:dyDescent="0.3">
      <c r="B18" s="96"/>
      <c r="C18" s="96"/>
    </row>
    <row r="19" spans="2:3" x14ac:dyDescent="0.3">
      <c r="B19" s="133"/>
      <c r="C19" s="133"/>
    </row>
    <row r="20" spans="2:3" x14ac:dyDescent="0.3">
      <c r="B20" s="96"/>
      <c r="C20" s="96"/>
    </row>
  </sheetData>
  <conditionalFormatting sqref="B16:G16 K16:L16">
    <cfRule type="cellIs" dxfId="82" priority="19" operator="greaterThan">
      <formula>0</formula>
    </cfRule>
  </conditionalFormatting>
  <conditionalFormatting sqref="B10:G10 B14:G14 K14:L14 K10:L10">
    <cfRule type="cellIs" dxfId="81" priority="18" operator="lessThan">
      <formula>0</formula>
    </cfRule>
  </conditionalFormatting>
  <conditionalFormatting sqref="H16">
    <cfRule type="cellIs" dxfId="80" priority="10" operator="greaterThan">
      <formula>0</formula>
    </cfRule>
  </conditionalFormatting>
  <conditionalFormatting sqref="H14 H10">
    <cfRule type="cellIs" dxfId="79" priority="9" operator="lessThan">
      <formula>0</formula>
    </cfRule>
  </conditionalFormatting>
  <conditionalFormatting sqref="I16">
    <cfRule type="cellIs" dxfId="78" priority="8" operator="greaterThan">
      <formula>0</formula>
    </cfRule>
  </conditionalFormatting>
  <conditionalFormatting sqref="I14 I10">
    <cfRule type="cellIs" dxfId="77" priority="7" operator="lessThan">
      <formula>0</formula>
    </cfRule>
  </conditionalFormatting>
  <conditionalFormatting sqref="B9:I9 K9:L9">
    <cfRule type="cellIs" dxfId="76" priority="6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2024-12-27T11:54:42Z</dcterms:modified>
</cp:coreProperties>
</file>