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J6" i="9"/>
  <c r="J5" i="9"/>
  <c r="J4" i="9"/>
  <c r="J3" i="9"/>
  <c r="J2" i="9"/>
  <c r="H6" i="9"/>
  <c r="H5" i="9"/>
  <c r="H4" i="9"/>
  <c r="H3" i="9"/>
  <c r="H2" i="9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H29" i="8"/>
  <c r="H28" i="8"/>
  <c r="H26" i="8"/>
  <c r="H25" i="8"/>
  <c r="H24" i="8"/>
  <c r="H27" i="8" s="1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5" i="7" s="1"/>
  <c r="H2" i="7"/>
  <c r="W53" i="2"/>
  <c r="X52" i="2"/>
  <c r="W52" i="2"/>
  <c r="X51" i="2"/>
  <c r="AA51" i="2" s="1"/>
  <c r="W51" i="2"/>
  <c r="X50" i="2"/>
  <c r="W50" i="2"/>
  <c r="X49" i="2"/>
  <c r="W49" i="2"/>
  <c r="X48" i="2"/>
  <c r="X54" i="2" s="1"/>
  <c r="W48" i="2"/>
  <c r="Z48" i="2" s="1"/>
  <c r="X16" i="2"/>
  <c r="W16" i="2"/>
  <c r="X15" i="2"/>
  <c r="W15" i="2"/>
  <c r="Z15" i="2" s="1"/>
  <c r="X14" i="2"/>
  <c r="X20" i="2" s="1"/>
  <c r="W14" i="2"/>
  <c r="W20" i="2" s="1"/>
  <c r="AA53" i="2"/>
  <c r="Z53" i="2"/>
  <c r="AA52" i="2"/>
  <c r="Z52" i="2"/>
  <c r="Z51" i="2"/>
  <c r="AA50" i="2"/>
  <c r="Z50" i="2"/>
  <c r="AA49" i="2"/>
  <c r="Z49" i="2"/>
  <c r="AA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AA15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15" i="8"/>
  <c r="H30" i="8" s="1"/>
  <c r="H31" i="8" s="1"/>
  <c r="H20" i="8"/>
  <c r="H21" i="8"/>
  <c r="H15" i="7"/>
  <c r="H11" i="7"/>
  <c r="H20" i="7"/>
  <c r="H21" i="7" s="1"/>
  <c r="H16" i="7"/>
  <c r="X55" i="2"/>
  <c r="AA55" i="2" s="1"/>
  <c r="AA54" i="2"/>
  <c r="AA20" i="2"/>
  <c r="X21" i="2"/>
  <c r="AA21" i="2" s="1"/>
  <c r="W21" i="2"/>
  <c r="Z21" i="2" s="1"/>
  <c r="Z20" i="2"/>
  <c r="W54" i="2"/>
  <c r="AA14" i="2"/>
  <c r="W55" i="2" l="1"/>
  <c r="Z55" i="2" s="1"/>
  <c r="Z54" i="2"/>
  <c r="T57" i="2" l="1"/>
  <c r="T53" i="2"/>
  <c r="V53" i="2" s="1"/>
  <c r="U52" i="2"/>
  <c r="T52" i="2"/>
  <c r="V52" i="2" s="1"/>
  <c r="U51" i="2"/>
  <c r="T51" i="2"/>
  <c r="T54" i="2" s="1"/>
  <c r="U50" i="2"/>
  <c r="T50" i="2"/>
  <c r="V50" i="2" s="1"/>
  <c r="U49" i="2"/>
  <c r="T49" i="2"/>
  <c r="V49" i="2" s="1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T20" i="2"/>
  <c r="T21" i="2" s="1"/>
  <c r="V19" i="2"/>
  <c r="V18" i="2"/>
  <c r="V17" i="2"/>
  <c r="U16" i="2"/>
  <c r="T16" i="2"/>
  <c r="V16" i="2" s="1"/>
  <c r="U15" i="2"/>
  <c r="U57" i="2" s="1"/>
  <c r="T15" i="2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I27" i="5"/>
  <c r="I28" i="5" s="1"/>
  <c r="I26" i="5"/>
  <c r="I13" i="5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J15" i="10"/>
  <c r="J13" i="10"/>
  <c r="J12" i="10"/>
  <c r="J11" i="10"/>
  <c r="J10" i="10"/>
  <c r="J14" i="10" s="1"/>
  <c r="J16" i="10" s="1"/>
  <c r="J9" i="10"/>
  <c r="J8" i="10"/>
  <c r="J7" i="10"/>
  <c r="J6" i="10"/>
  <c r="J5" i="10"/>
  <c r="J4" i="10"/>
  <c r="J3" i="10"/>
  <c r="J2" i="10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H23" i="1"/>
  <c r="H19" i="1"/>
  <c r="H13" i="1"/>
  <c r="H7" i="1"/>
  <c r="H21" i="1" s="1"/>
  <c r="T55" i="2" l="1"/>
  <c r="V15" i="2"/>
  <c r="U20" i="2"/>
  <c r="U21" i="2" s="1"/>
  <c r="U59" i="2" s="1"/>
  <c r="V48" i="2"/>
  <c r="U54" i="2"/>
  <c r="U55" i="2" s="1"/>
  <c r="V51" i="2"/>
  <c r="T58" i="2"/>
  <c r="U58" i="2"/>
  <c r="V14" i="2"/>
  <c r="U60" i="2"/>
  <c r="K28" i="6"/>
  <c r="G3" i="13"/>
  <c r="G4" i="13"/>
  <c r="V55" i="2" l="1"/>
  <c r="V54" i="2"/>
  <c r="T59" i="2"/>
  <c r="V20" i="2"/>
  <c r="V21" i="2"/>
  <c r="C9" i="10"/>
  <c r="D9" i="10"/>
  <c r="E9" i="10"/>
  <c r="F9" i="10"/>
  <c r="G9" i="10"/>
  <c r="H9" i="10"/>
  <c r="I9" i="10"/>
  <c r="B9" i="10"/>
  <c r="J29" i="6"/>
  <c r="I29" i="6"/>
  <c r="H29" i="6"/>
  <c r="G29" i="6"/>
  <c r="F29" i="6"/>
  <c r="E29" i="6"/>
  <c r="D29" i="6"/>
  <c r="C29" i="6"/>
  <c r="J9" i="12" l="1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5" i="7" l="1"/>
  <c r="G15" i="7"/>
  <c r="G10" i="8"/>
  <c r="G15" i="8"/>
  <c r="G20" i="8"/>
  <c r="G27" i="8"/>
  <c r="G11" i="7"/>
  <c r="G16" i="7" s="1"/>
  <c r="G21" i="8" l="1"/>
  <c r="G30" i="8"/>
  <c r="G20" i="7"/>
  <c r="Q53" i="2"/>
  <c r="S53" i="2" s="1"/>
  <c r="R52" i="2"/>
  <c r="Q52" i="2"/>
  <c r="S52" i="2" s="1"/>
  <c r="R51" i="2"/>
  <c r="Q51" i="2"/>
  <c r="S51" i="2" s="1"/>
  <c r="R50" i="2"/>
  <c r="Q50" i="2"/>
  <c r="S50" i="2" s="1"/>
  <c r="R49" i="2"/>
  <c r="Q49" i="2"/>
  <c r="R48" i="2"/>
  <c r="R61" i="2" s="1"/>
  <c r="Q48" i="2"/>
  <c r="S48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H27" i="5"/>
  <c r="H28" i="5" s="1"/>
  <c r="H26" i="5"/>
  <c r="H13" i="5"/>
  <c r="I15" i="10"/>
  <c r="I13" i="10"/>
  <c r="I12" i="10"/>
  <c r="I11" i="10"/>
  <c r="I8" i="10"/>
  <c r="I7" i="10"/>
  <c r="I6" i="10"/>
  <c r="I5" i="10"/>
  <c r="I4" i="10"/>
  <c r="I3" i="10"/>
  <c r="I2" i="10"/>
  <c r="I10" i="10" s="1"/>
  <c r="I14" i="10" s="1"/>
  <c r="I16" i="10" s="1"/>
  <c r="J21" i="6"/>
  <c r="J10" i="6"/>
  <c r="J28" i="6" s="1"/>
  <c r="G23" i="1"/>
  <c r="G19" i="1"/>
  <c r="G13" i="1"/>
  <c r="G7" i="1"/>
  <c r="G21" i="1" s="1"/>
  <c r="Q57" i="2" l="1"/>
  <c r="S16" i="2"/>
  <c r="G4" i="9"/>
  <c r="S15" i="2"/>
  <c r="G21" i="7"/>
  <c r="Q58" i="2"/>
  <c r="G5" i="9" s="1"/>
  <c r="R57" i="2"/>
  <c r="R58" i="2"/>
  <c r="G31" i="8"/>
  <c r="S14" i="2"/>
  <c r="Q20" i="2"/>
  <c r="S49" i="2"/>
  <c r="Q54" i="2"/>
  <c r="Q56" i="2"/>
  <c r="G2" i="9" s="1"/>
  <c r="R60" i="2"/>
  <c r="R20" i="2"/>
  <c r="R54" i="2"/>
  <c r="R55" i="2" s="1"/>
  <c r="R56" i="2"/>
  <c r="G5" i="13"/>
  <c r="R21" i="2" l="1"/>
  <c r="G3" i="9"/>
  <c r="Q55" i="2"/>
  <c r="S55" i="2" s="1"/>
  <c r="S54" i="2"/>
  <c r="Q21" i="2"/>
  <c r="S20" i="2"/>
  <c r="G11" i="13"/>
  <c r="G10" i="13"/>
  <c r="G9" i="13"/>
  <c r="G8" i="13"/>
  <c r="G7" i="13"/>
  <c r="G6" i="13"/>
  <c r="R59" i="2" l="1"/>
  <c r="S21" i="2"/>
  <c r="Q59" i="2"/>
  <c r="G6" i="9" s="1"/>
  <c r="D27" i="5"/>
  <c r="E27" i="5"/>
  <c r="F27" i="5"/>
  <c r="G27" i="5"/>
  <c r="J27" i="5"/>
  <c r="I9" i="12" l="1"/>
  <c r="I8" i="12"/>
  <c r="I7" i="12"/>
  <c r="I6" i="12"/>
  <c r="I5" i="12"/>
  <c r="I4" i="12"/>
  <c r="I3" i="12"/>
  <c r="I2" i="12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2" i="7"/>
  <c r="F10" i="7"/>
  <c r="F9" i="7"/>
  <c r="F8" i="7"/>
  <c r="F7" i="7"/>
  <c r="F6" i="7"/>
  <c r="F4" i="7"/>
  <c r="F3" i="7"/>
  <c r="F2" i="7"/>
  <c r="F5" i="7" l="1"/>
  <c r="F15" i="8"/>
  <c r="F27" i="8"/>
  <c r="F10" i="8"/>
  <c r="F20" i="8"/>
  <c r="F11" i="7"/>
  <c r="F21" i="8" l="1"/>
  <c r="N53" i="2"/>
  <c r="O52" i="2"/>
  <c r="N52" i="2"/>
  <c r="O51" i="2"/>
  <c r="N51" i="2"/>
  <c r="O50" i="2"/>
  <c r="N50" i="2"/>
  <c r="O49" i="2"/>
  <c r="N49" i="2"/>
  <c r="O48" i="2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5" i="2"/>
  <c r="N15" i="2"/>
  <c r="O14" i="2"/>
  <c r="N14" i="2"/>
  <c r="P13" i="2"/>
  <c r="O12" i="2"/>
  <c r="N12" i="2"/>
  <c r="P11" i="2"/>
  <c r="P10" i="2"/>
  <c r="P9" i="2"/>
  <c r="P8" i="2"/>
  <c r="P7" i="2"/>
  <c r="P6" i="2"/>
  <c r="P5" i="2"/>
  <c r="P4" i="2"/>
  <c r="P3" i="2"/>
  <c r="N16" i="2" l="1"/>
  <c r="F13" i="7"/>
  <c r="O54" i="2"/>
  <c r="O55" i="2" s="1"/>
  <c r="P51" i="2"/>
  <c r="P52" i="2"/>
  <c r="F28" i="8"/>
  <c r="F29" i="8"/>
  <c r="O56" i="2"/>
  <c r="O16" i="2"/>
  <c r="N56" i="2"/>
  <c r="F2" i="9" s="1"/>
  <c r="P15" i="2"/>
  <c r="P48" i="2"/>
  <c r="P49" i="2"/>
  <c r="P50" i="2"/>
  <c r="P53" i="2"/>
  <c r="P16" i="2"/>
  <c r="O61" i="2"/>
  <c r="N20" i="2"/>
  <c r="N54" i="2"/>
  <c r="N57" i="2"/>
  <c r="O57" i="2"/>
  <c r="P12" i="2"/>
  <c r="P14" i="2"/>
  <c r="G26" i="5"/>
  <c r="G28" i="5" s="1"/>
  <c r="G13" i="5"/>
  <c r="H15" i="10"/>
  <c r="H13" i="10"/>
  <c r="H12" i="10"/>
  <c r="H11" i="10"/>
  <c r="H8" i="10"/>
  <c r="H7" i="10"/>
  <c r="H6" i="10"/>
  <c r="H5" i="10"/>
  <c r="H4" i="10"/>
  <c r="H3" i="10"/>
  <c r="I21" i="6"/>
  <c r="I10" i="6"/>
  <c r="I28" i="6" s="1"/>
  <c r="F23" i="1"/>
  <c r="F19" i="1"/>
  <c r="F13" i="1"/>
  <c r="F7" i="1"/>
  <c r="O60" i="2" l="1"/>
  <c r="N58" i="2"/>
  <c r="F5" i="9" s="1"/>
  <c r="F3" i="9"/>
  <c r="O20" i="2"/>
  <c r="F30" i="8"/>
  <c r="F15" i="7"/>
  <c r="F21" i="1"/>
  <c r="O58" i="2"/>
  <c r="F4" i="9"/>
  <c r="H2" i="10"/>
  <c r="H10" i="10" s="1"/>
  <c r="H14" i="10" s="1"/>
  <c r="H16" i="10" s="1"/>
  <c r="N55" i="2"/>
  <c r="P55" i="2" s="1"/>
  <c r="P54" i="2"/>
  <c r="N21" i="2"/>
  <c r="P20" i="2"/>
  <c r="F16" i="7" l="1"/>
  <c r="F20" i="7"/>
  <c r="F31" i="8"/>
  <c r="O21" i="2"/>
  <c r="O59" i="2" s="1"/>
  <c r="N59" i="2"/>
  <c r="F6" i="9" s="1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2" i="7"/>
  <c r="E10" i="7"/>
  <c r="E9" i="7"/>
  <c r="E8" i="7"/>
  <c r="E7" i="7"/>
  <c r="E6" i="7"/>
  <c r="E4" i="7"/>
  <c r="E3" i="7"/>
  <c r="E2" i="7"/>
  <c r="P21" i="2" l="1"/>
  <c r="F21" i="7"/>
  <c r="E27" i="8"/>
  <c r="E5" i="7"/>
  <c r="E10" i="8"/>
  <c r="E15" i="8"/>
  <c r="E20" i="8"/>
  <c r="E11" i="7"/>
  <c r="E21" i="8" l="1"/>
  <c r="X61" i="2"/>
  <c r="X56" i="2"/>
  <c r="AA56" i="2" s="1"/>
  <c r="W56" i="2"/>
  <c r="Z56" i="2" s="1"/>
  <c r="M53" i="2"/>
  <c r="K53" i="2"/>
  <c r="L52" i="2"/>
  <c r="K52" i="2"/>
  <c r="L51" i="2"/>
  <c r="K51" i="2"/>
  <c r="M51" i="2" s="1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5" i="2"/>
  <c r="K15" i="2"/>
  <c r="L14" i="2"/>
  <c r="K14" i="2"/>
  <c r="M13" i="2"/>
  <c r="L12" i="2"/>
  <c r="K12" i="2"/>
  <c r="M11" i="2"/>
  <c r="M10" i="2"/>
  <c r="M9" i="2"/>
  <c r="M8" i="2"/>
  <c r="M7" i="2"/>
  <c r="M6" i="2"/>
  <c r="M5" i="2"/>
  <c r="M4" i="2"/>
  <c r="M3" i="2"/>
  <c r="J26" i="5"/>
  <c r="J28" i="5" s="1"/>
  <c r="J13" i="5"/>
  <c r="K15" i="10"/>
  <c r="K13" i="10"/>
  <c r="K12" i="10"/>
  <c r="K11" i="10"/>
  <c r="K8" i="10"/>
  <c r="K7" i="10"/>
  <c r="K6" i="10"/>
  <c r="K4" i="10"/>
  <c r="K3" i="10"/>
  <c r="L21" i="6"/>
  <c r="M21" i="6" s="1"/>
  <c r="L10" i="6"/>
  <c r="I23" i="1"/>
  <c r="I19" i="1"/>
  <c r="I13" i="1"/>
  <c r="I7" i="1"/>
  <c r="L9" i="12"/>
  <c r="L8" i="12"/>
  <c r="L7" i="12"/>
  <c r="L6" i="12"/>
  <c r="L5" i="12"/>
  <c r="L4" i="12"/>
  <c r="L3" i="12"/>
  <c r="L2" i="12"/>
  <c r="C23" i="1"/>
  <c r="D23" i="1"/>
  <c r="E23" i="1"/>
  <c r="B23" i="1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2" i="7"/>
  <c r="D10" i="7"/>
  <c r="D9" i="7"/>
  <c r="D8" i="7"/>
  <c r="D7" i="7"/>
  <c r="D6" i="7"/>
  <c r="D4" i="7"/>
  <c r="D3" i="7"/>
  <c r="D2" i="7"/>
  <c r="X57" i="2"/>
  <c r="W57" i="2"/>
  <c r="I3" i="9" l="1"/>
  <c r="Z57" i="2"/>
  <c r="K3" i="9"/>
  <c r="AA57" i="2"/>
  <c r="M10" i="6"/>
  <c r="L29" i="6"/>
  <c r="I2" i="9"/>
  <c r="K2" i="9"/>
  <c r="L28" i="6"/>
  <c r="M28" i="6" s="1"/>
  <c r="K2" i="10"/>
  <c r="E13" i="7"/>
  <c r="M49" i="2"/>
  <c r="M52" i="2"/>
  <c r="E28" i="8"/>
  <c r="L56" i="2"/>
  <c r="L16" i="2"/>
  <c r="L61" i="2"/>
  <c r="K5" i="10"/>
  <c r="L57" i="2"/>
  <c r="L54" i="2"/>
  <c r="K16" i="2"/>
  <c r="M50" i="2"/>
  <c r="M12" i="2"/>
  <c r="M14" i="2"/>
  <c r="K57" i="2"/>
  <c r="K54" i="2"/>
  <c r="K55" i="2" s="1"/>
  <c r="E29" i="8"/>
  <c r="X58" i="2"/>
  <c r="AA58" i="2" s="1"/>
  <c r="K4" i="9"/>
  <c r="X60" i="2"/>
  <c r="I4" i="9"/>
  <c r="W58" i="2"/>
  <c r="Z58" i="2" s="1"/>
  <c r="K56" i="2"/>
  <c r="D5" i="7"/>
  <c r="D10" i="8"/>
  <c r="D15" i="8"/>
  <c r="D20" i="8"/>
  <c r="M15" i="2"/>
  <c r="M48" i="2"/>
  <c r="I21" i="1"/>
  <c r="D27" i="8"/>
  <c r="D11" i="7"/>
  <c r="M29" i="6" l="1"/>
  <c r="K9" i="10"/>
  <c r="K5" i="9"/>
  <c r="I5" i="9"/>
  <c r="K10" i="10"/>
  <c r="E3" i="9"/>
  <c r="M16" i="2"/>
  <c r="E4" i="9"/>
  <c r="E15" i="7"/>
  <c r="L58" i="2"/>
  <c r="L20" i="2"/>
  <c r="L60" i="2"/>
  <c r="K58" i="2"/>
  <c r="E2" i="9"/>
  <c r="M54" i="2"/>
  <c r="L55" i="2"/>
  <c r="K20" i="2"/>
  <c r="E30" i="8"/>
  <c r="D21" i="8"/>
  <c r="K14" i="10" l="1"/>
  <c r="E16" i="7"/>
  <c r="E20" i="7"/>
  <c r="E31" i="8"/>
  <c r="K21" i="2"/>
  <c r="M20" i="2"/>
  <c r="E5" i="9"/>
  <c r="L21" i="2"/>
  <c r="M55" i="2"/>
  <c r="H53" i="2"/>
  <c r="I52" i="2"/>
  <c r="H52" i="2"/>
  <c r="I51" i="2"/>
  <c r="H51" i="2"/>
  <c r="I50" i="2"/>
  <c r="H50" i="2"/>
  <c r="I49" i="2"/>
  <c r="H49" i="2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5" i="2"/>
  <c r="I57" i="2" s="1"/>
  <c r="H15" i="2"/>
  <c r="I14" i="2"/>
  <c r="H14" i="2"/>
  <c r="J13" i="2"/>
  <c r="I12" i="2"/>
  <c r="I16" i="2" s="1"/>
  <c r="H12" i="2"/>
  <c r="D13" i="7" s="1"/>
  <c r="D15" i="7" s="1"/>
  <c r="J11" i="2"/>
  <c r="J10" i="2"/>
  <c r="J9" i="2"/>
  <c r="J8" i="2"/>
  <c r="J7" i="2"/>
  <c r="J6" i="2"/>
  <c r="J5" i="2"/>
  <c r="J4" i="2"/>
  <c r="J3" i="2"/>
  <c r="F26" i="5"/>
  <c r="F28" i="5" s="1"/>
  <c r="F13" i="5"/>
  <c r="G15" i="10"/>
  <c r="G13" i="10"/>
  <c r="G12" i="10"/>
  <c r="G11" i="10"/>
  <c r="G8" i="10"/>
  <c r="G7" i="10"/>
  <c r="G6" i="10"/>
  <c r="G4" i="10"/>
  <c r="G3" i="10"/>
  <c r="K16" i="10" l="1"/>
  <c r="J51" i="2"/>
  <c r="J15" i="2"/>
  <c r="H57" i="2"/>
  <c r="D3" i="9" s="1"/>
  <c r="L59" i="2"/>
  <c r="H54" i="2"/>
  <c r="M21" i="2"/>
  <c r="K59" i="2"/>
  <c r="E6" i="9" s="1"/>
  <c r="I58" i="2"/>
  <c r="I56" i="2"/>
  <c r="H16" i="2"/>
  <c r="D4" i="9" s="1"/>
  <c r="J53" i="2"/>
  <c r="D29" i="8"/>
  <c r="I54" i="2"/>
  <c r="I55" i="2" s="1"/>
  <c r="I61" i="2"/>
  <c r="J52" i="2"/>
  <c r="D28" i="8"/>
  <c r="D20" i="7"/>
  <c r="D21" i="7" s="1"/>
  <c r="D16" i="7"/>
  <c r="H56" i="2"/>
  <c r="D2" i="9" s="1"/>
  <c r="E21" i="7"/>
  <c r="J12" i="2"/>
  <c r="J14" i="2"/>
  <c r="J48" i="2"/>
  <c r="J50" i="2"/>
  <c r="J54" i="2"/>
  <c r="H55" i="2"/>
  <c r="J55" i="2" s="1"/>
  <c r="J49" i="2"/>
  <c r="I20" i="2"/>
  <c r="I21" i="2" s="1"/>
  <c r="I59" i="2" s="1"/>
  <c r="F10" i="6"/>
  <c r="G10" i="6"/>
  <c r="H21" i="6"/>
  <c r="H10" i="6"/>
  <c r="E19" i="1"/>
  <c r="E13" i="1"/>
  <c r="E7" i="1"/>
  <c r="B15" i="10"/>
  <c r="B13" i="10"/>
  <c r="B12" i="10"/>
  <c r="B8" i="10"/>
  <c r="B7" i="10"/>
  <c r="B6" i="10"/>
  <c r="B4" i="10"/>
  <c r="B3" i="10"/>
  <c r="C23" i="6"/>
  <c r="B11" i="10" s="1"/>
  <c r="C9" i="6"/>
  <c r="C10" i="6" s="1"/>
  <c r="B2" i="10" s="1"/>
  <c r="C21" i="6"/>
  <c r="B5" i="10" s="1"/>
  <c r="C28" i="6"/>
  <c r="D23" i="6"/>
  <c r="D9" i="6"/>
  <c r="B24" i="5"/>
  <c r="B21" i="5"/>
  <c r="B15" i="5"/>
  <c r="B27" i="5" s="1"/>
  <c r="C24" i="5"/>
  <c r="C23" i="5"/>
  <c r="C21" i="5"/>
  <c r="C15" i="5"/>
  <c r="C27" i="5" s="1"/>
  <c r="B5" i="5"/>
  <c r="C5" i="5"/>
  <c r="J16" i="2" l="1"/>
  <c r="H20" i="2"/>
  <c r="J20" i="2" s="1"/>
  <c r="H58" i="2"/>
  <c r="D5" i="9" s="1"/>
  <c r="D30" i="8"/>
  <c r="D31" i="8" s="1"/>
  <c r="I60" i="2"/>
  <c r="H28" i="6"/>
  <c r="G5" i="10"/>
  <c r="G2" i="10"/>
  <c r="B10" i="10"/>
  <c r="B14" i="10" s="1"/>
  <c r="B16" i="10" s="1"/>
  <c r="E21" i="1"/>
  <c r="E16" i="6"/>
  <c r="E14" i="6"/>
  <c r="E5" i="6"/>
  <c r="E4" i="6"/>
  <c r="E53" i="2"/>
  <c r="F52" i="2"/>
  <c r="E52" i="2"/>
  <c r="E51" i="2"/>
  <c r="F50" i="2"/>
  <c r="E50" i="2"/>
  <c r="F49" i="2"/>
  <c r="E49" i="2"/>
  <c r="F48" i="2"/>
  <c r="E48" i="2"/>
  <c r="F15" i="2"/>
  <c r="F57" i="2" s="1"/>
  <c r="E15" i="2"/>
  <c r="E57" i="2" s="1"/>
  <c r="C3" i="9" s="1"/>
  <c r="F14" i="2"/>
  <c r="E14" i="2"/>
  <c r="F12" i="2"/>
  <c r="F16" i="2" s="1"/>
  <c r="E12" i="2"/>
  <c r="E16" i="2" s="1"/>
  <c r="B53" i="2"/>
  <c r="C52" i="2"/>
  <c r="B52" i="2"/>
  <c r="B51" i="2"/>
  <c r="C50" i="2"/>
  <c r="B50" i="2"/>
  <c r="C49" i="2"/>
  <c r="B49" i="2"/>
  <c r="C48" i="2"/>
  <c r="B48" i="2"/>
  <c r="C15" i="2"/>
  <c r="C57" i="2" s="1"/>
  <c r="B15" i="2"/>
  <c r="B57" i="2" s="1"/>
  <c r="B3" i="9" s="1"/>
  <c r="C14" i="2"/>
  <c r="B14" i="2"/>
  <c r="C12" i="2"/>
  <c r="C16" i="2" s="1"/>
  <c r="B12" i="2"/>
  <c r="B16" i="2" s="1"/>
  <c r="B4" i="9" s="1"/>
  <c r="H21" i="2" l="1"/>
  <c r="H59" i="2" s="1"/>
  <c r="D6" i="9" s="1"/>
  <c r="C61" i="2"/>
  <c r="C58" i="2"/>
  <c r="C60" i="2"/>
  <c r="C56" i="2"/>
  <c r="F58" i="2"/>
  <c r="F56" i="2"/>
  <c r="F60" i="2"/>
  <c r="C4" i="9"/>
  <c r="F61" i="2"/>
  <c r="B58" i="2"/>
  <c r="B5" i="9" s="1"/>
  <c r="B56" i="2"/>
  <c r="B2" i="9" s="1"/>
  <c r="E58" i="2"/>
  <c r="C5" i="9" s="1"/>
  <c r="E56" i="2"/>
  <c r="C2" i="9" s="1"/>
  <c r="G10" i="10"/>
  <c r="J21" i="2"/>
  <c r="C20" i="2"/>
  <c r="C21" i="2" s="1"/>
  <c r="F20" i="2"/>
  <c r="F21" i="2" s="1"/>
  <c r="E20" i="2"/>
  <c r="E21" i="2" s="1"/>
  <c r="B20" i="2"/>
  <c r="B21" i="2" s="1"/>
  <c r="G14" i="10" l="1"/>
  <c r="G9" i="12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G4" i="12"/>
  <c r="F4" i="12"/>
  <c r="E4" i="12"/>
  <c r="G3" i="12"/>
  <c r="F3" i="12"/>
  <c r="E3" i="12"/>
  <c r="G2" i="12"/>
  <c r="F2" i="12"/>
  <c r="E2" i="12"/>
  <c r="E26" i="5"/>
  <c r="E28" i="5" s="1"/>
  <c r="D26" i="5"/>
  <c r="D28" i="5" s="1"/>
  <c r="C26" i="5"/>
  <c r="C28" i="5" s="1"/>
  <c r="B26" i="5"/>
  <c r="B28" i="5" s="1"/>
  <c r="E13" i="5"/>
  <c r="D13" i="5"/>
  <c r="C13" i="5"/>
  <c r="B13" i="5"/>
  <c r="F15" i="10"/>
  <c r="E15" i="10"/>
  <c r="D15" i="10"/>
  <c r="C15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8" i="10"/>
  <c r="E8" i="10"/>
  <c r="D8" i="10"/>
  <c r="C8" i="10"/>
  <c r="F7" i="10"/>
  <c r="E7" i="10"/>
  <c r="D7" i="10"/>
  <c r="C7" i="10"/>
  <c r="F6" i="10"/>
  <c r="E6" i="10"/>
  <c r="D6" i="10"/>
  <c r="C6" i="10"/>
  <c r="F4" i="10"/>
  <c r="E4" i="10"/>
  <c r="D4" i="10"/>
  <c r="C4" i="10"/>
  <c r="F3" i="10"/>
  <c r="E3" i="10"/>
  <c r="D3" i="10"/>
  <c r="C3" i="10"/>
  <c r="D28" i="6"/>
  <c r="G21" i="6"/>
  <c r="F5" i="10" s="1"/>
  <c r="F21" i="6"/>
  <c r="E5" i="10" s="1"/>
  <c r="E21" i="6"/>
  <c r="D5" i="10" s="1"/>
  <c r="D21" i="6"/>
  <c r="C5" i="10" s="1"/>
  <c r="E10" i="6"/>
  <c r="D2" i="10" s="1"/>
  <c r="D10" i="6"/>
  <c r="C2" i="10" s="1"/>
  <c r="D19" i="1"/>
  <c r="C19" i="1"/>
  <c r="B19" i="1"/>
  <c r="D13" i="1"/>
  <c r="C13" i="1"/>
  <c r="B13" i="1"/>
  <c r="D7" i="1"/>
  <c r="C7" i="1"/>
  <c r="B7" i="1"/>
  <c r="L29" i="8"/>
  <c r="I29" i="8"/>
  <c r="C29" i="8"/>
  <c r="B29" i="8"/>
  <c r="L28" i="8"/>
  <c r="I28" i="8"/>
  <c r="M28" i="8" s="1"/>
  <c r="C28" i="8"/>
  <c r="B28" i="8"/>
  <c r="L26" i="8"/>
  <c r="I26" i="8"/>
  <c r="M26" i="8" s="1"/>
  <c r="C26" i="8"/>
  <c r="B26" i="8"/>
  <c r="L25" i="8"/>
  <c r="I25" i="8"/>
  <c r="M25" i="8" s="1"/>
  <c r="C25" i="8"/>
  <c r="B25" i="8"/>
  <c r="L24" i="8"/>
  <c r="I24" i="8"/>
  <c r="C24" i="8"/>
  <c r="B24" i="8"/>
  <c r="L23" i="8"/>
  <c r="I23" i="8"/>
  <c r="C23" i="8"/>
  <c r="B23" i="8"/>
  <c r="L22" i="8"/>
  <c r="I22" i="8"/>
  <c r="C22" i="8"/>
  <c r="B22" i="8"/>
  <c r="L19" i="8"/>
  <c r="I19" i="8"/>
  <c r="C19" i="8"/>
  <c r="B19" i="8"/>
  <c r="L18" i="8"/>
  <c r="I18" i="8"/>
  <c r="M18" i="8" s="1"/>
  <c r="C18" i="8"/>
  <c r="B18" i="8"/>
  <c r="L17" i="8"/>
  <c r="I17" i="8"/>
  <c r="C17" i="8"/>
  <c r="B17" i="8"/>
  <c r="L16" i="8"/>
  <c r="I16" i="8"/>
  <c r="C16" i="8"/>
  <c r="B16" i="8"/>
  <c r="L14" i="8"/>
  <c r="I14" i="8"/>
  <c r="C14" i="8"/>
  <c r="B14" i="8"/>
  <c r="L13" i="8"/>
  <c r="I13" i="8"/>
  <c r="C13" i="8"/>
  <c r="B13" i="8"/>
  <c r="L12" i="8"/>
  <c r="I12" i="8"/>
  <c r="C12" i="8"/>
  <c r="B12" i="8"/>
  <c r="L11" i="8"/>
  <c r="I11" i="8"/>
  <c r="C11" i="8"/>
  <c r="B11" i="8"/>
  <c r="L9" i="8"/>
  <c r="I9" i="8"/>
  <c r="C9" i="8"/>
  <c r="B9" i="8"/>
  <c r="L8" i="8"/>
  <c r="I8" i="8"/>
  <c r="C8" i="8"/>
  <c r="B8" i="8"/>
  <c r="L7" i="8"/>
  <c r="I7" i="8"/>
  <c r="C7" i="8"/>
  <c r="B7" i="8"/>
  <c r="L6" i="8"/>
  <c r="I6" i="8"/>
  <c r="C6" i="8"/>
  <c r="B6" i="8"/>
  <c r="L5" i="8"/>
  <c r="I5" i="8"/>
  <c r="C5" i="8"/>
  <c r="B5" i="8"/>
  <c r="L4" i="8"/>
  <c r="I4" i="8"/>
  <c r="C4" i="8"/>
  <c r="B4" i="8"/>
  <c r="L3" i="8"/>
  <c r="I3" i="8"/>
  <c r="C3" i="8"/>
  <c r="B3" i="8"/>
  <c r="L2" i="8"/>
  <c r="I2" i="8"/>
  <c r="C2" i="8"/>
  <c r="B2" i="8"/>
  <c r="L19" i="7"/>
  <c r="I19" i="7"/>
  <c r="C19" i="7"/>
  <c r="B19" i="7"/>
  <c r="L18" i="7"/>
  <c r="I18" i="7"/>
  <c r="M18" i="7" s="1"/>
  <c r="C18" i="7"/>
  <c r="B18" i="7"/>
  <c r="L17" i="7"/>
  <c r="I17" i="7"/>
  <c r="C17" i="7"/>
  <c r="B17" i="7"/>
  <c r="L14" i="7"/>
  <c r="I14" i="7"/>
  <c r="C14" i="7"/>
  <c r="B14" i="7"/>
  <c r="L13" i="7"/>
  <c r="I13" i="7"/>
  <c r="C13" i="7"/>
  <c r="B13" i="7"/>
  <c r="L12" i="7"/>
  <c r="L15" i="7" s="1"/>
  <c r="I12" i="7"/>
  <c r="C12" i="7"/>
  <c r="C15" i="7" s="1"/>
  <c r="B12" i="7"/>
  <c r="L10" i="7"/>
  <c r="I10" i="7"/>
  <c r="C10" i="7"/>
  <c r="B10" i="7"/>
  <c r="L9" i="7"/>
  <c r="I9" i="7"/>
  <c r="C9" i="7"/>
  <c r="B9" i="7"/>
  <c r="L8" i="7"/>
  <c r="I8" i="7"/>
  <c r="M8" i="7" s="1"/>
  <c r="C8" i="7"/>
  <c r="B8" i="7"/>
  <c r="L7" i="7"/>
  <c r="I7" i="7"/>
  <c r="C7" i="7"/>
  <c r="B7" i="7"/>
  <c r="L6" i="7"/>
  <c r="I6" i="7"/>
  <c r="C6" i="7"/>
  <c r="B6" i="7"/>
  <c r="L4" i="7"/>
  <c r="I4" i="7"/>
  <c r="C4" i="7"/>
  <c r="B4" i="7"/>
  <c r="L3" i="7"/>
  <c r="I3" i="7"/>
  <c r="C3" i="7"/>
  <c r="B3" i="7"/>
  <c r="L2" i="7"/>
  <c r="I2" i="7"/>
  <c r="C2" i="7"/>
  <c r="B2" i="7"/>
  <c r="F54" i="2"/>
  <c r="E54" i="2"/>
  <c r="C54" i="2"/>
  <c r="C55" i="2" s="1"/>
  <c r="C59" i="2" s="1"/>
  <c r="B54" i="2"/>
  <c r="Y53" i="2"/>
  <c r="G53" i="2"/>
  <c r="D53" i="2"/>
  <c r="Y52" i="2"/>
  <c r="G52" i="2"/>
  <c r="D52" i="2"/>
  <c r="Y51" i="2"/>
  <c r="G51" i="2"/>
  <c r="D51" i="2"/>
  <c r="Y50" i="2"/>
  <c r="G50" i="2"/>
  <c r="D50" i="2"/>
  <c r="Y49" i="2"/>
  <c r="G49" i="2"/>
  <c r="D49" i="2"/>
  <c r="Y48" i="2"/>
  <c r="G48" i="2"/>
  <c r="D48" i="2"/>
  <c r="Y47" i="2"/>
  <c r="G47" i="2"/>
  <c r="D47" i="2"/>
  <c r="Y46" i="2"/>
  <c r="G46" i="2"/>
  <c r="D46" i="2"/>
  <c r="Y45" i="2"/>
  <c r="G45" i="2"/>
  <c r="D45" i="2"/>
  <c r="Y44" i="2"/>
  <c r="G44" i="2"/>
  <c r="D44" i="2"/>
  <c r="Y43" i="2"/>
  <c r="G43" i="2"/>
  <c r="D43" i="2"/>
  <c r="Y42" i="2"/>
  <c r="G42" i="2"/>
  <c r="D42" i="2"/>
  <c r="Y41" i="2"/>
  <c r="G41" i="2"/>
  <c r="D41" i="2"/>
  <c r="Y40" i="2"/>
  <c r="G40" i="2"/>
  <c r="D40" i="2"/>
  <c r="Y39" i="2"/>
  <c r="G39" i="2"/>
  <c r="D39" i="2"/>
  <c r="Y38" i="2"/>
  <c r="G38" i="2"/>
  <c r="D38" i="2"/>
  <c r="Y37" i="2"/>
  <c r="G37" i="2"/>
  <c r="D37" i="2"/>
  <c r="Y36" i="2"/>
  <c r="G36" i="2"/>
  <c r="D36" i="2"/>
  <c r="Y35" i="2"/>
  <c r="G35" i="2"/>
  <c r="D35" i="2"/>
  <c r="Y34" i="2"/>
  <c r="G34" i="2"/>
  <c r="D34" i="2"/>
  <c r="Y33" i="2"/>
  <c r="G33" i="2"/>
  <c r="D33" i="2"/>
  <c r="Y32" i="2"/>
  <c r="G32" i="2"/>
  <c r="D32" i="2"/>
  <c r="Y31" i="2"/>
  <c r="G31" i="2"/>
  <c r="D31" i="2"/>
  <c r="Y30" i="2"/>
  <c r="G30" i="2"/>
  <c r="D30" i="2"/>
  <c r="Y29" i="2"/>
  <c r="G29" i="2"/>
  <c r="D29" i="2"/>
  <c r="Y28" i="2"/>
  <c r="G28" i="2"/>
  <c r="D28" i="2"/>
  <c r="Y27" i="2"/>
  <c r="G27" i="2"/>
  <c r="D27" i="2"/>
  <c r="Y26" i="2"/>
  <c r="G26" i="2"/>
  <c r="D26" i="2"/>
  <c r="Y25" i="2"/>
  <c r="G25" i="2"/>
  <c r="D25" i="2"/>
  <c r="Y24" i="2"/>
  <c r="G24" i="2"/>
  <c r="D24" i="2"/>
  <c r="Y23" i="2"/>
  <c r="G23" i="2"/>
  <c r="D23" i="2"/>
  <c r="Y21" i="2"/>
  <c r="G21" i="2"/>
  <c r="D21" i="2"/>
  <c r="Y20" i="2"/>
  <c r="G20" i="2"/>
  <c r="D20" i="2"/>
  <c r="Y19" i="2"/>
  <c r="G19" i="2"/>
  <c r="D19" i="2"/>
  <c r="Y18" i="2"/>
  <c r="G18" i="2"/>
  <c r="D18" i="2"/>
  <c r="Y17" i="2"/>
  <c r="G17" i="2"/>
  <c r="D17" i="2"/>
  <c r="Y16" i="2"/>
  <c r="G16" i="2"/>
  <c r="D16" i="2"/>
  <c r="Y15" i="2"/>
  <c r="G15" i="2"/>
  <c r="D15" i="2"/>
  <c r="Y14" i="2"/>
  <c r="G14" i="2"/>
  <c r="D14" i="2"/>
  <c r="Y13" i="2"/>
  <c r="G13" i="2"/>
  <c r="D13" i="2"/>
  <c r="Y12" i="2"/>
  <c r="G12" i="2"/>
  <c r="D12" i="2"/>
  <c r="Y11" i="2"/>
  <c r="G11" i="2"/>
  <c r="D11" i="2"/>
  <c r="Y10" i="2"/>
  <c r="G10" i="2"/>
  <c r="D10" i="2"/>
  <c r="Y9" i="2"/>
  <c r="G9" i="2"/>
  <c r="D9" i="2"/>
  <c r="Y8" i="2"/>
  <c r="G8" i="2"/>
  <c r="D8" i="2"/>
  <c r="Y7" i="2"/>
  <c r="G7" i="2"/>
  <c r="D7" i="2"/>
  <c r="Y6" i="2"/>
  <c r="G6" i="2"/>
  <c r="D6" i="2"/>
  <c r="Y5" i="2"/>
  <c r="G5" i="2"/>
  <c r="D5" i="2"/>
  <c r="Y4" i="2"/>
  <c r="G4" i="2"/>
  <c r="D4" i="2"/>
  <c r="Y3" i="2"/>
  <c r="G3" i="2"/>
  <c r="D3" i="2"/>
  <c r="L10" i="8" l="1"/>
  <c r="L27" i="8"/>
  <c r="B15" i="7"/>
  <c r="L11" i="7"/>
  <c r="Y54" i="2"/>
  <c r="M14" i="7"/>
  <c r="I5" i="7"/>
  <c r="I10" i="8"/>
  <c r="G16" i="10"/>
  <c r="M7" i="7"/>
  <c r="M10" i="7"/>
  <c r="M12" i="7"/>
  <c r="M19" i="7"/>
  <c r="D54" i="2"/>
  <c r="E55" i="2"/>
  <c r="E59" i="2" s="1"/>
  <c r="C6" i="9" s="1"/>
  <c r="C5" i="7"/>
  <c r="B11" i="7"/>
  <c r="B15" i="8"/>
  <c r="M29" i="8"/>
  <c r="D10" i="10"/>
  <c r="D14" i="10" s="1"/>
  <c r="D16" i="10" s="1"/>
  <c r="E28" i="6"/>
  <c r="I11" i="7"/>
  <c r="M22" i="8"/>
  <c r="M24" i="8"/>
  <c r="M2" i="7"/>
  <c r="M3" i="7"/>
  <c r="M4" i="7"/>
  <c r="L15" i="8"/>
  <c r="M14" i="8"/>
  <c r="I20" i="8"/>
  <c r="M17" i="8"/>
  <c r="L5" i="7"/>
  <c r="L20" i="8"/>
  <c r="M4" i="8"/>
  <c r="M5" i="8"/>
  <c r="M6" i="8"/>
  <c r="M8" i="8"/>
  <c r="M9" i="8"/>
  <c r="M12" i="8"/>
  <c r="M13" i="8"/>
  <c r="G54" i="2"/>
  <c r="F55" i="2"/>
  <c r="C11" i="7"/>
  <c r="C27" i="8"/>
  <c r="B55" i="2"/>
  <c r="B59" i="2" s="1"/>
  <c r="B6" i="9" s="1"/>
  <c r="B27" i="8"/>
  <c r="B5" i="7"/>
  <c r="B20" i="8"/>
  <c r="B10" i="8"/>
  <c r="B21" i="1"/>
  <c r="C21" i="1"/>
  <c r="F28" i="6"/>
  <c r="G28" i="6"/>
  <c r="E2" i="10"/>
  <c r="E10" i="10" s="1"/>
  <c r="E14" i="10" s="1"/>
  <c r="E16" i="10" s="1"/>
  <c r="F2" i="10"/>
  <c r="D21" i="1"/>
  <c r="I27" i="8"/>
  <c r="M9" i="7"/>
  <c r="M13" i="7"/>
  <c r="M17" i="7"/>
  <c r="M3" i="8"/>
  <c r="M7" i="8"/>
  <c r="C10" i="8"/>
  <c r="M11" i="8"/>
  <c r="I15" i="8"/>
  <c r="M19" i="8"/>
  <c r="M23" i="8"/>
  <c r="M6" i="7"/>
  <c r="C15" i="8"/>
  <c r="M16" i="8"/>
  <c r="I15" i="7"/>
  <c r="C20" i="8"/>
  <c r="M2" i="8"/>
  <c r="C10" i="10"/>
  <c r="C14" i="10" s="1"/>
  <c r="C16" i="10" s="1"/>
  <c r="L16" i="7" l="1"/>
  <c r="G55" i="2"/>
  <c r="F59" i="2"/>
  <c r="X59" i="2"/>
  <c r="Y55" i="2"/>
  <c r="W59" i="2"/>
  <c r="M10" i="8"/>
  <c r="M11" i="7"/>
  <c r="F10" i="10"/>
  <c r="I21" i="8"/>
  <c r="M20" i="8"/>
  <c r="L20" i="7"/>
  <c r="L21" i="7" s="1"/>
  <c r="B20" i="7"/>
  <c r="B21" i="7" s="1"/>
  <c r="I16" i="7"/>
  <c r="B30" i="8"/>
  <c r="B31" i="8" s="1"/>
  <c r="B16" i="7"/>
  <c r="I20" i="7"/>
  <c r="C20" i="7"/>
  <c r="C21" i="7" s="1"/>
  <c r="B21" i="8"/>
  <c r="L30" i="8"/>
  <c r="L31" i="8" s="1"/>
  <c r="C16" i="7"/>
  <c r="M5" i="7"/>
  <c r="L21" i="8"/>
  <c r="D55" i="2"/>
  <c r="F14" i="10"/>
  <c r="M27" i="8"/>
  <c r="I30" i="8"/>
  <c r="M15" i="8"/>
  <c r="M15" i="7"/>
  <c r="C21" i="8"/>
  <c r="C30" i="8"/>
  <c r="I6" i="9" l="1"/>
  <c r="Z59" i="2"/>
  <c r="K6" i="9"/>
  <c r="AA59" i="2"/>
  <c r="M21" i="8"/>
  <c r="I21" i="7"/>
  <c r="M16" i="7"/>
  <c r="F16" i="10"/>
  <c r="M20" i="7"/>
  <c r="C31" i="8"/>
  <c r="I31" i="8"/>
  <c r="M30" i="8"/>
  <c r="J12" i="7" l="1"/>
  <c r="J7" i="7"/>
  <c r="J6" i="7"/>
  <c r="J9" i="7"/>
  <c r="J8" i="7"/>
  <c r="J11" i="7"/>
  <c r="J3" i="7"/>
  <c r="J10" i="7"/>
  <c r="J16" i="7"/>
  <c r="J17" i="7"/>
  <c r="J2" i="7"/>
  <c r="J18" i="7"/>
  <c r="J4" i="7"/>
  <c r="J15" i="7"/>
  <c r="J5" i="7"/>
  <c r="J13" i="7"/>
  <c r="J14" i="7"/>
  <c r="J21" i="7"/>
  <c r="M21" i="7"/>
  <c r="M31" i="8"/>
  <c r="J26" i="8"/>
  <c r="J22" i="8"/>
  <c r="J18" i="8"/>
  <c r="J14" i="8"/>
  <c r="J6" i="8"/>
  <c r="J2" i="8"/>
  <c r="J25" i="8"/>
  <c r="J17" i="8"/>
  <c r="J13" i="8"/>
  <c r="J9" i="8"/>
  <c r="J5" i="8"/>
  <c r="J24" i="8"/>
  <c r="J16" i="8"/>
  <c r="J31" i="8"/>
  <c r="J12" i="8"/>
  <c r="J8" i="8"/>
  <c r="J4" i="8"/>
  <c r="J19" i="8"/>
  <c r="J20" i="8"/>
  <c r="J3" i="8"/>
  <c r="J28" i="8"/>
  <c r="J10" i="8"/>
  <c r="J7" i="8"/>
  <c r="J23" i="8"/>
  <c r="J11" i="8"/>
  <c r="J15" i="8"/>
  <c r="J27" i="8"/>
  <c r="J21" i="8"/>
</calcChain>
</file>

<file path=xl/sharedStrings.xml><?xml version="1.0" encoding="utf-8"?>
<sst xmlns="http://schemas.openxmlformats.org/spreadsheetml/2006/main" count="499" uniqueCount="368">
  <si>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</si>
  <si>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</si>
  <si>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</si>
  <si>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</si>
  <si>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</si>
  <si>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</si>
  <si>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</si>
  <si>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</si>
  <si>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</si>
  <si>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</si>
  <si>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</si>
  <si>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</si>
  <si>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</si>
  <si>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</si>
  <si>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</si>
  <si>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</si>
  <si>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</si>
  <si>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</si>
  <si>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</si>
  <si>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</si>
  <si>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</si>
  <si>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</si>
  <si>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</si>
  <si>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</si>
  <si>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</si>
  <si>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</si>
  <si>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</si>
  <si>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</si>
  <si>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</si>
  <si>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</si>
  <si>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</si>
  <si>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</si>
  <si>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</si>
  <si>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</si>
  <si>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</si>
  <si>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</si>
  <si>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</si>
  <si>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</si>
  <si>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</si>
  <si>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</si>
  <si>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</si>
  <si>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</si>
  <si>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</si>
  <si>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</si>
  <si>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</si>
  <si>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</si>
  <si>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</si>
  <si>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</si>
  <si>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</si>
  <si>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</si>
  <si>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</si>
  <si>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</si>
  <si>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</si>
  <si>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</si>
  <si>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</si>
  <si>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</si>
  <si>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</si>
  <si>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</si>
  <si>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</si>
  <si>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</si>
  <si>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</si>
  <si>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</si>
  <si>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</si>
  <si>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</si>
  <si>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</si>
  <si>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</si>
  <si>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</si>
  <si>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</si>
  <si>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</si>
  <si>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</si>
  <si>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</si>
  <si>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</si>
  <si>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</si>
  <si>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</si>
  <si>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</si>
  <si>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</si>
  <si>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</si>
  <si>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</si>
  <si>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</si>
  <si>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</si>
  <si>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</si>
  <si>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</si>
  <si>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</si>
  <si>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</si>
  <si>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</si>
  <si>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</si>
  <si>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</si>
  <si>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</si>
  <si>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</si>
  <si>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</si>
  <si>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</si>
  <si>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</si>
  <si>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</si>
  <si>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</si>
  <si>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</si>
  <si>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</si>
  <si>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</si>
  <si>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</si>
  <si>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</si>
  <si>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</si>
  <si>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</si>
  <si>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</si>
  <si>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</si>
  <si>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</si>
  <si>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</si>
  <si>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</si>
  <si>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</si>
  <si>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</si>
  <si>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</si>
  <si>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</si>
  <si>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</si>
  <si>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</si>
  <si>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</si>
  <si>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</si>
  <si>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</si>
  <si>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</si>
  <si>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</si>
  <si>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</si>
  <si>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</si>
  <si>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</si>
  <si>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</si>
  <si>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</si>
  <si>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</si>
  <si>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</si>
  <si>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</si>
  <si>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</si>
  <si>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</si>
  <si>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</si>
  <si>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</si>
  <si>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</si>
  <si>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</si>
  <si>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</si>
  <si>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</si>
  <si>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</si>
  <si>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</si>
  <si>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</si>
  <si>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</si>
  <si>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</si>
  <si>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</si>
  <si>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</si>
  <si>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</si>
  <si>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</si>
  <si>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</si>
  <si>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</si>
  <si>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</si>
  <si>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</si>
  <si>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</si>
  <si>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</si>
  <si>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</si>
  <si>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</si>
  <si>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</si>
  <si>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</si>
  <si>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</si>
  <si>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</si>
  <si>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</si>
  <si>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</si>
  <si>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</si>
  <si>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</si>
  <si>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</si>
  <si>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</si>
  <si>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</si>
  <si>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</si>
  <si>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</si>
  <si>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</si>
  <si>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</si>
  <si>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</si>
  <si>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</si>
  <si>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</si>
  <si>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</si>
  <si>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</si>
  <si>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</si>
  <si>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</si>
  <si>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</si>
  <si>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</si>
  <si>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</si>
  <si>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</si>
  <si>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</si>
  <si>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</si>
  <si>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</si>
  <si>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</si>
  <si>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</si>
  <si>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</si>
  <si>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</si>
  <si>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</si>
  <si>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</si>
  <si>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</si>
  <si>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</si>
  <si>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</si>
  <si>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</si>
  <si>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</si>
  <si>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</si>
  <si>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</si>
  <si>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</si>
  <si>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</si>
  <si>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</si>
  <si>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</si>
  <si>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</si>
  <si>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</si>
  <si>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</si>
  <si>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</si>
  <si>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</si>
  <si>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</si>
  <si>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</si>
  <si>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</si>
  <si>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</si>
  <si>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</si>
  <si>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</si>
  <si>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</si>
  <si>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</si>
  <si>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</si>
  <si>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</si>
  <si>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</si>
  <si>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</si>
  <si>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</si>
  <si>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</si>
  <si>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</si>
  <si>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</si>
  <si>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</si>
  <si>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</si>
  <si>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</si>
  <si>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</si>
  <si>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</si>
  <si>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</si>
  <si>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</si>
  <si>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</si>
  <si>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</si>
  <si>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</si>
  <si>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</si>
  <si>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</si>
  <si>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</si>
  <si>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</si>
  <si>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</si>
  <si>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</si>
  <si>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</si>
  <si>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</si>
  <si>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</si>
  <si>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</si>
  <si>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</si>
  <si>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</si>
  <si>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</si>
  <si>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</si>
  <si>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</si>
  <si>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</si>
  <si>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</si>
  <si>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</si>
  <si>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</si>
  <si>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</si>
  <si>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</si>
  <si>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</si>
  <si>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</si>
  <si>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</si>
  <si>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</si>
  <si>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</si>
  <si>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</si>
  <si>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</si>
  <si>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</si>
  <si>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</si>
  <si>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</si>
  <si>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</si>
  <si>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</si>
  <si>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</si>
  <si>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</si>
  <si>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</si>
  <si>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</si>
  <si>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</si>
  <si>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</si>
  <si>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</si>
  <si>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</si>
  <si>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</si>
  <si>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</si>
  <si>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</si>
  <si>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</si>
  <si>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</si>
  <si>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</si>
  <si>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</si>
  <si>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</si>
  <si>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</si>
  <si>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</si>
  <si>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</si>
  <si>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</si>
  <si>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</si>
  <si>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</si>
  <si>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</si>
  <si>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</si>
  <si>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</si>
  <si>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</si>
  <si>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</si>
  <si>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</si>
  <si>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</si>
  <si>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</si>
  <si>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</si>
  <si>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</si>
  <si>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</si>
  <si>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</si>
  <si>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</si>
  <si>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</si>
  <si>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</si>
  <si>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</si>
  <si>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</si>
  <si>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</si>
  <si>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</si>
  <si>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</si>
  <si>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</si>
  <si>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</si>
  <si>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</si>
  <si>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</si>
  <si>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</si>
  <si>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</si>
  <si>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</si>
  <si>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</si>
  <si>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</si>
  <si>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</si>
  <si>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</si>
  <si>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</si>
  <si>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</si>
  <si>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</si>
  <si>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</si>
  <si>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</si>
  <si>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</si>
  <si>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</si>
  <si>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</si>
  <si>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</si>
  <si>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</si>
  <si>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</si>
  <si>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</si>
  <si>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</si>
  <si>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</si>
  <si>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</si>
  <si>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</si>
  <si>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</si>
  <si>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</si>
  <si>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</si>
  <si>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</si>
  <si>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</si>
  <si>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</si>
  <si>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</si>
  <si>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</si>
  <si>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</si>
  <si>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</si>
  <si>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</si>
  <si>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</si>
  <si>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</si>
  <si>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</si>
  <si>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</si>
  <si>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</si>
  <si>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</si>
  <si>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</si>
  <si>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</si>
  <si>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</si>
  <si>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</si>
  <si>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</si>
  <si>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</si>
  <si>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</si>
  <si>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</si>
  <si>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</si>
  <si>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</si>
  <si>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Saldo entrate/uscite finali</t>
  </si>
  <si>
    <t>Saldo entrate/uscite nette</t>
  </si>
  <si>
    <t>Capacità riscossione entrate finali</t>
  </si>
  <si>
    <t>Capacità pagamento uscite finali</t>
  </si>
  <si>
    <t>Riaccertamento residui attivi</t>
  </si>
  <si>
    <t>Rapporto Fcde/Residui attivi (scala dx)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</si>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</sst>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39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6" fontId="0" fillId="0" borderId="0" xfId="0" applyNumberFormat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1" applyNumberFormat="1" applyFont="1" applyFill="1"/>
    <xf numFmtId="166" fontId="3" fillId="0" borderId="0" xfId="1" applyNumberFormat="1" applyFont="1" applyFill="1"/>
    <xf numFmtId="0" fontId="1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07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206538791.81</c:v>
                </c:pt>
                <c:pt idx="1">
                  <c:v>182172403.37</c:v>
                </c:pt>
                <c:pt idx="2">
                  <c:v>201340525.21000001</c:v>
                </c:pt>
                <c:pt idx="3">
                  <c:v>128288614.47</c:v>
                </c:pt>
                <c:pt idx="4">
                  <c:v>110169250.25</c:v>
                </c:pt>
                <c:pt idx="5">
                  <c:v>101142325.78</c:v>
                </c:pt>
                <c:pt idx="6">
                  <c:v>108424236.43000001</c:v>
                </c:pt>
                <c:pt idx="7">
                  <c:v>126133612.76000001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Risultato_amministrazione!$B$4:$I$4</c:f>
              <c:numCache>
                <c:formatCode>#,##0</c:formatCode>
                <c:ptCount val="8"/>
                <c:pt idx="0">
                  <c:v>205087173.22</c:v>
                </c:pt>
                <c:pt idx="1">
                  <c:v>154052716.75999999</c:v>
                </c:pt>
                <c:pt idx="2">
                  <c:v>171492167.78</c:v>
                </c:pt>
                <c:pt idx="3">
                  <c:v>114128820.31</c:v>
                </c:pt>
                <c:pt idx="4">
                  <c:v>113472457.93000001</c:v>
                </c:pt>
                <c:pt idx="5">
                  <c:v>125493043.76000001</c:v>
                </c:pt>
                <c:pt idx="6">
                  <c:v>142064172.33000001</c:v>
                </c:pt>
                <c:pt idx="7">
                  <c:v>144147092.83000001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9136"/>
        <c:axId val="1064538048"/>
      </c:lineChart>
      <c:catAx>
        <c:axId val="10645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8048"/>
        <c:crosses val="autoZero"/>
        <c:auto val="1"/>
        <c:lblAlgn val="ctr"/>
        <c:lblOffset val="100"/>
        <c:noMultiLvlLbl val="0"/>
      </c:catAx>
      <c:valAx>
        <c:axId val="1064538048"/>
        <c:scaling>
          <c:orientation val="minMax"/>
          <c:max val="229999999.99999997"/>
          <c:min val="1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064539136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433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1.3360053440213761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135.89256</c:v>
                </c:pt>
                <c:pt idx="1">
                  <c:v>129.12</c:v>
                </c:pt>
                <c:pt idx="2">
                  <c:v>486.07799999999997</c:v>
                </c:pt>
                <c:pt idx="3">
                  <c:v>199.346</c:v>
                </c:pt>
                <c:pt idx="4">
                  <c:v>238.68700000000001</c:v>
                </c:pt>
                <c:pt idx="5">
                  <c:v>165.226</c:v>
                </c:pt>
                <c:pt idx="6">
                  <c:v>274.04000000000002</c:v>
                </c:pt>
                <c:pt idx="7">
                  <c:v>346.66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6"/>
              <c:layout>
                <c:manualLayout>
                  <c:x val="5.7257371886630408E-3"/>
                  <c:y val="-7.05255685614494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297808"/>
        <c:axId val="1831301072"/>
      </c:barChart>
      <c:catAx>
        <c:axId val="183129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1301072"/>
        <c:crosses val="autoZero"/>
        <c:auto val="1"/>
        <c:lblAlgn val="ctr"/>
        <c:lblOffset val="100"/>
        <c:noMultiLvlLbl val="0"/>
      </c:catAx>
      <c:valAx>
        <c:axId val="1831301072"/>
        <c:scaling>
          <c:orientation val="minMax"/>
          <c:max val="55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83129780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64064801178175E-2"/>
          <c:y val="3.8986354775828458E-2"/>
          <c:w val="0.95679921453118433"/>
          <c:h val="0.75980721708032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-8.65</c:v>
                </c:pt>
                <c:pt idx="1">
                  <c:v>2.79</c:v>
                </c:pt>
                <c:pt idx="2">
                  <c:v>-5.51</c:v>
                </c:pt>
                <c:pt idx="3">
                  <c:v>-6.47</c:v>
                </c:pt>
                <c:pt idx="4">
                  <c:v>-12.11</c:v>
                </c:pt>
                <c:pt idx="5">
                  <c:v>-13.55</c:v>
                </c:pt>
                <c:pt idx="6">
                  <c:v>-11.99</c:v>
                </c:pt>
                <c:pt idx="7">
                  <c:v>-14.09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296176"/>
        <c:axId val="1831301616"/>
      </c:barChart>
      <c:catAx>
        <c:axId val="183129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1301616"/>
        <c:crosses val="autoZero"/>
        <c:auto val="1"/>
        <c:lblAlgn val="ctr"/>
        <c:lblOffset val="100"/>
        <c:noMultiLvlLbl val="0"/>
      </c:catAx>
      <c:valAx>
        <c:axId val="1831301616"/>
        <c:scaling>
          <c:orientation val="minMax"/>
          <c:max val="40"/>
          <c:min val="-15"/>
        </c:scaling>
        <c:delete val="1"/>
        <c:axPos val="l"/>
        <c:numFmt formatCode="0" sourceLinked="0"/>
        <c:majorTickMark val="out"/>
        <c:minorTickMark val="none"/>
        <c:tickLblPos val="none"/>
        <c:crossAx val="183129617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37E-2"/>
          <c:y val="4.8014773776546685E-2"/>
          <c:w val="0.95679921453118433"/>
          <c:h val="0.75447233915705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1.145147437732601E-2"/>
                  <c:y val="7.6937872667820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343162515508604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60053440213761E-2"/>
                  <c:y val="-7.05255685614494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699.22199999999998</c:v>
                </c:pt>
                <c:pt idx="1">
                  <c:v>722.33</c:v>
                </c:pt>
                <c:pt idx="2">
                  <c:v>572.07399999999996</c:v>
                </c:pt>
                <c:pt idx="3">
                  <c:v>525.71299999999997</c:v>
                </c:pt>
                <c:pt idx="4">
                  <c:v>437.88</c:v>
                </c:pt>
                <c:pt idx="5">
                  <c:v>521.01599999999996</c:v>
                </c:pt>
                <c:pt idx="6">
                  <c:v>501.2</c:v>
                </c:pt>
                <c:pt idx="7">
                  <c:v>434.22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297264"/>
        <c:axId val="1831302160"/>
      </c:barChart>
      <c:catAx>
        <c:axId val="183129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1302160"/>
        <c:crosses val="autoZero"/>
        <c:auto val="1"/>
        <c:lblAlgn val="ctr"/>
        <c:lblOffset val="100"/>
        <c:noMultiLvlLbl val="0"/>
      </c:catAx>
      <c:valAx>
        <c:axId val="1831302160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31297264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31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199400</c:v>
                </c:pt>
                <c:pt idx="1">
                  <c:v>199032</c:v>
                </c:pt>
                <c:pt idx="2">
                  <c:v>199015</c:v>
                </c:pt>
                <c:pt idx="3">
                  <c:v>200609</c:v>
                </c:pt>
                <c:pt idx="4">
                  <c:v>201613</c:v>
                </c:pt>
                <c:pt idx="5">
                  <c:v>202351</c:v>
                </c:pt>
                <c:pt idx="6">
                  <c:v>202150</c:v>
                </c:pt>
                <c:pt idx="7">
                  <c:v>201636</c:v>
                </c:pt>
                <c:pt idx="8">
                  <c:v>201554</c:v>
                </c:pt>
                <c:pt idx="9">
                  <c:v>202244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296720"/>
        <c:axId val="1831299440"/>
      </c:barChart>
      <c:catAx>
        <c:axId val="1831296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831299440"/>
        <c:crosses val="autoZero"/>
        <c:auto val="1"/>
        <c:lblAlgn val="ctr"/>
        <c:lblOffset val="100"/>
        <c:noMultiLvlLbl val="0"/>
      </c:catAx>
      <c:valAx>
        <c:axId val="1831299440"/>
        <c:scaling>
          <c:orientation val="minMax"/>
          <c:max val="230000"/>
          <c:min val="0"/>
        </c:scaling>
        <c:delete val="1"/>
        <c:axPos val="b"/>
        <c:numFmt formatCode="#,##0" sourceLinked="1"/>
        <c:majorTickMark val="out"/>
        <c:minorTickMark val="none"/>
        <c:tickLblPos val="none"/>
        <c:crossAx val="183129672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206538791.81</c:v>
                </c:pt>
                <c:pt idx="1">
                  <c:v>182172403.37</c:v>
                </c:pt>
                <c:pt idx="2">
                  <c:v>201340525.21000001</c:v>
                </c:pt>
                <c:pt idx="3">
                  <c:v>128288614.47</c:v>
                </c:pt>
                <c:pt idx="4">
                  <c:v>110169250.25</c:v>
                </c:pt>
                <c:pt idx="5">
                  <c:v>101142325.78</c:v>
                </c:pt>
                <c:pt idx="6">
                  <c:v>108424236.43000001</c:v>
                </c:pt>
                <c:pt idx="7">
                  <c:v>126133612.76000001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Risultato_amministrazione!$B$8:$I$8</c:f>
              <c:numCache>
                <c:formatCode>#,##0</c:formatCode>
                <c:ptCount val="8"/>
                <c:pt idx="0">
                  <c:v>20362029.219999999</c:v>
                </c:pt>
                <c:pt idx="1">
                  <c:v>25798830.219999999</c:v>
                </c:pt>
                <c:pt idx="2">
                  <c:v>36404294.009999998</c:v>
                </c:pt>
                <c:pt idx="3">
                  <c:v>44635641.170000002</c:v>
                </c:pt>
                <c:pt idx="4">
                  <c:v>44376397.229999997</c:v>
                </c:pt>
                <c:pt idx="5">
                  <c:v>32967671.190000001</c:v>
                </c:pt>
                <c:pt idx="6">
                  <c:v>33503047.309999999</c:v>
                </c:pt>
                <c:pt idx="7">
                  <c:v>27500000.039999999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4032"/>
        <c:axId val="1064539680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Risultato_amministrazione!$B$23:$I$23</c:f>
              <c:numCache>
                <c:formatCode>0.0</c:formatCode>
                <c:ptCount val="8"/>
                <c:pt idx="0">
                  <c:v>9.8586948444685003</c:v>
                </c:pt>
                <c:pt idx="1">
                  <c:v>14.161766405201046</c:v>
                </c:pt>
                <c:pt idx="2">
                  <c:v>18.080957110859817</c:v>
                </c:pt>
                <c:pt idx="3">
                  <c:v>34.793143066049673</c:v>
                </c:pt>
                <c:pt idx="4">
                  <c:v>40.280202623962211</c:v>
                </c:pt>
                <c:pt idx="5">
                  <c:v>32.59532637375743</c:v>
                </c:pt>
                <c:pt idx="6">
                  <c:v>30.89996149673599</c:v>
                </c:pt>
                <c:pt idx="7">
                  <c:v>21.80227731391906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0224"/>
        <c:axId val="1064542400"/>
      </c:lineChart>
      <c:catAx>
        <c:axId val="10645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9680"/>
        <c:crosses val="autoZero"/>
        <c:auto val="1"/>
        <c:lblAlgn val="ctr"/>
        <c:lblOffset val="100"/>
        <c:noMultiLvlLbl val="0"/>
      </c:catAx>
      <c:valAx>
        <c:axId val="10645396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032"/>
        <c:crosses val="autoZero"/>
        <c:crossBetween val="between"/>
      </c:valAx>
      <c:valAx>
        <c:axId val="1064542400"/>
        <c:scaling>
          <c:orientation val="minMax"/>
          <c:max val="4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224"/>
        <c:crosses val="max"/>
        <c:crossBetween val="between"/>
        <c:majorUnit val="10"/>
      </c:valAx>
      <c:catAx>
        <c:axId val="106454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24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10376252897238E-2"/>
          <c:y val="0"/>
          <c:w val="0.86195438836907334"/>
          <c:h val="0.90814774240176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E06-4DEC-A245-773C9C410BA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839104990620823E-3"/>
                  <c:y val="3.8647342995169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E06-4DEC-A245-773C9C410BA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E06-4DEC-A245-773C9C410BA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14380339.469999893</c:v>
                </c:pt>
                <c:pt idx="1">
                  <c:v>18440106.930000037</c:v>
                </c:pt>
                <c:pt idx="2">
                  <c:v>37520168.949999906</c:v>
                </c:pt>
                <c:pt idx="3">
                  <c:v>118309235.32000001</c:v>
                </c:pt>
                <c:pt idx="4">
                  <c:v>65846036.949999958</c:v>
                </c:pt>
                <c:pt idx="5">
                  <c:v>111216931.06999996</c:v>
                </c:pt>
                <c:pt idx="6">
                  <c:v>41950198.959999926</c:v>
                </c:pt>
                <c:pt idx="7">
                  <c:v>73518936.660000041</c:v>
                </c:pt>
                <c:pt idx="8">
                  <c:v>43806684.930000044</c:v>
                </c:pt>
                <c:pt idx="9">
                  <c:v>42371630.039999999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44576"/>
        <c:axId val="1064541312"/>
      </c:barChart>
      <c:catAx>
        <c:axId val="106454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41312"/>
        <c:crosses val="autoZero"/>
        <c:auto val="1"/>
        <c:lblAlgn val="ctr"/>
        <c:lblOffset val="100"/>
        <c:noMultiLvlLbl val="0"/>
      </c:catAx>
      <c:valAx>
        <c:axId val="1064541312"/>
        <c:scaling>
          <c:orientation val="minMax"/>
          <c:max val="1300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0645445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183625637.73000002</c:v>
                </c:pt>
                <c:pt idx="1">
                  <c:v>169361322.85999998</c:v>
                </c:pt>
                <c:pt idx="2">
                  <c:v>147186752.38999999</c:v>
                </c:pt>
                <c:pt idx="3">
                  <c:v>116588745.51000001</c:v>
                </c:pt>
                <c:pt idx="4">
                  <c:v>107140327.61</c:v>
                </c:pt>
                <c:pt idx="5">
                  <c:v>109054095.8</c:v>
                </c:pt>
                <c:pt idx="6">
                  <c:v>104903227.15000001</c:v>
                </c:pt>
                <c:pt idx="7">
                  <c:v>98927856.859999999</c:v>
                </c:pt>
                <c:pt idx="8">
                  <c:v>87105376.079999998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73686179.019999996</c:v>
                </c:pt>
                <c:pt idx="1">
                  <c:v>51164788.619999997</c:v>
                </c:pt>
                <c:pt idx="2">
                  <c:v>40356663.789999999</c:v>
                </c:pt>
                <c:pt idx="3">
                  <c:v>39625058.659999996</c:v>
                </c:pt>
                <c:pt idx="4">
                  <c:v>55472005.219999999</c:v>
                </c:pt>
                <c:pt idx="5">
                  <c:v>46799549.359999999</c:v>
                </c:pt>
                <c:pt idx="6">
                  <c:v>50591591.979999997</c:v>
                </c:pt>
                <c:pt idx="7">
                  <c:v>84227754.109999999</c:v>
                </c:pt>
                <c:pt idx="8">
                  <c:v>82715239.5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0</c:v>
                </c:pt>
                <c:pt idx="1">
                  <c:v>16112463.539999999</c:v>
                </c:pt>
                <c:pt idx="2">
                  <c:v>16625000.560000001</c:v>
                </c:pt>
                <c:pt idx="3">
                  <c:v>12845628.43</c:v>
                </c:pt>
                <c:pt idx="4">
                  <c:v>6679185.21</c:v>
                </c:pt>
                <c:pt idx="5">
                  <c:v>9871304.3800000008</c:v>
                </c:pt>
                <c:pt idx="6">
                  <c:v>14444778.91</c:v>
                </c:pt>
                <c:pt idx="7">
                  <c:v>14456211.970000001</c:v>
                </c:pt>
                <c:pt idx="8">
                  <c:v>18077835.52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23915384.900000002</c:v>
                </c:pt>
                <c:pt idx="1">
                  <c:v>125638172.38</c:v>
                </c:pt>
                <c:pt idx="2">
                  <c:v>95326692.540000007</c:v>
                </c:pt>
                <c:pt idx="3">
                  <c:v>125099100.41</c:v>
                </c:pt>
                <c:pt idx="4">
                  <c:v>54852367.810000002</c:v>
                </c:pt>
                <c:pt idx="5">
                  <c:v>62097908.329999998</c:v>
                </c:pt>
                <c:pt idx="6">
                  <c:v>67257546.359999999</c:v>
                </c:pt>
                <c:pt idx="7">
                  <c:v>42878405.439999998</c:v>
                </c:pt>
                <c:pt idx="8">
                  <c:v>42354017.810000002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2944"/>
        <c:axId val="1064540768"/>
      </c:barChart>
      <c:catAx>
        <c:axId val="106454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0768"/>
        <c:crosses val="autoZero"/>
        <c:auto val="1"/>
        <c:lblAlgn val="ctr"/>
        <c:lblOffset val="100"/>
        <c:noMultiLvlLbl val="0"/>
      </c:catAx>
      <c:valAx>
        <c:axId val="1064540768"/>
        <c:scaling>
          <c:orientation val="minMax"/>
          <c:max val="4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2944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23384927358E-2"/>
          <c:y val="8.9646464646464651E-3"/>
          <c:w val="0.85667982447076418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978172160.25</c:v>
                </c:pt>
                <c:pt idx="1">
                  <c:v>978172160.25</c:v>
                </c:pt>
                <c:pt idx="2">
                  <c:v>813445037.74000001</c:v>
                </c:pt>
                <c:pt idx="3">
                  <c:v>455026925.95999998</c:v>
                </c:pt>
                <c:pt idx="4">
                  <c:v>410496886.80000001</c:v>
                </c:pt>
                <c:pt idx="5">
                  <c:v>262023058.91999999</c:v>
                </c:pt>
                <c:pt idx="6">
                  <c:v>349099848.31999999</c:v>
                </c:pt>
                <c:pt idx="7">
                  <c:v>349099848.31999999</c:v>
                </c:pt>
                <c:pt idx="8">
                  <c:v>349099848.31999999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821253345.12</c:v>
                </c:pt>
                <c:pt idx="1">
                  <c:v>482621562.21000004</c:v>
                </c:pt>
                <c:pt idx="2">
                  <c:v>685935958.51999998</c:v>
                </c:pt>
                <c:pt idx="3">
                  <c:v>1165728480.9300001</c:v>
                </c:pt>
                <c:pt idx="4">
                  <c:v>1275351503.48</c:v>
                </c:pt>
                <c:pt idx="5">
                  <c:v>1514222752.53</c:v>
                </c:pt>
                <c:pt idx="6">
                  <c:v>1452108061.95</c:v>
                </c:pt>
                <c:pt idx="7">
                  <c:v>1462333275.5</c:v>
                </c:pt>
                <c:pt idx="8">
                  <c:v>1463675110.75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37520168.950000003</c:v>
                </c:pt>
                <c:pt idx="2">
                  <c:v>118309235.31999999</c:v>
                </c:pt>
                <c:pt idx="3">
                  <c:v>65846036.950000003</c:v>
                </c:pt>
                <c:pt idx="4">
                  <c:v>111216931.06999999</c:v>
                </c:pt>
                <c:pt idx="5">
                  <c:v>41950198.960000001</c:v>
                </c:pt>
                <c:pt idx="6">
                  <c:v>73518936.659999996</c:v>
                </c:pt>
                <c:pt idx="7">
                  <c:v>43806684.93</c:v>
                </c:pt>
                <c:pt idx="8">
                  <c:v>42371630.039999999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22553588.370000001</c:v>
                </c:pt>
                <c:pt idx="6">
                  <c:v>41950198.960000001</c:v>
                </c:pt>
                <c:pt idx="7">
                  <c:v>99806691.849999994</c:v>
                </c:pt>
                <c:pt idx="8">
                  <c:v>135584952.06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DA-4464-A6B2-33C5FDFD2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3488"/>
        <c:axId val="1446372800"/>
      </c:barChart>
      <c:catAx>
        <c:axId val="106454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2800"/>
        <c:crosses val="autoZero"/>
        <c:auto val="1"/>
        <c:lblAlgn val="ctr"/>
        <c:lblOffset val="100"/>
        <c:noMultiLvlLbl val="0"/>
      </c:catAx>
      <c:valAx>
        <c:axId val="1446372800"/>
        <c:scaling>
          <c:orientation val="minMax"/>
          <c:max val="2000000000"/>
          <c:min val="0"/>
        </c:scaling>
        <c:delete val="0"/>
        <c:axPos val="b"/>
        <c:numFmt formatCode="#,##0" sourceLinked="0"/>
        <c:majorTickMark val="none"/>
        <c:minorTickMark val="none"/>
        <c:tickLblPos val="nextTo"/>
        <c:crossAx val="1064543488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27E-2"/>
          <c:w val="0.91226637907374597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75.607460272791783</c:v>
                </c:pt>
                <c:pt idx="1">
                  <c:v>72.743870000000001</c:v>
                </c:pt>
                <c:pt idx="2">
                  <c:v>70.998000000000005</c:v>
                </c:pt>
                <c:pt idx="3">
                  <c:v>73.882103587373592</c:v>
                </c:pt>
                <c:pt idx="4">
                  <c:v>73.68957487131749</c:v>
                </c:pt>
                <c:pt idx="5">
                  <c:v>75.199771309561854</c:v>
                </c:pt>
                <c:pt idx="6">
                  <c:v>74.496079330969451</c:v>
                </c:pt>
                <c:pt idx="7">
                  <c:v>76.402769728554503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67.971143913634819</c:v>
                </c:pt>
                <c:pt idx="1">
                  <c:v>74.11782745420588</c:v>
                </c:pt>
                <c:pt idx="2">
                  <c:v>69.827760061014345</c:v>
                </c:pt>
                <c:pt idx="3">
                  <c:v>79.800603137667466</c:v>
                </c:pt>
                <c:pt idx="4">
                  <c:v>79.794414445538791</c:v>
                </c:pt>
                <c:pt idx="5">
                  <c:v>80.405628051663641</c:v>
                </c:pt>
                <c:pt idx="6">
                  <c:v>81.012290015273535</c:v>
                </c:pt>
                <c:pt idx="7">
                  <c:v>78.661094743019035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66.057330411359004</c:v>
                </c:pt>
                <c:pt idx="1">
                  <c:v>70.954572301689737</c:v>
                </c:pt>
                <c:pt idx="2">
                  <c:v>68.408194967402039</c:v>
                </c:pt>
                <c:pt idx="3">
                  <c:v>79.581643178454911</c:v>
                </c:pt>
                <c:pt idx="4">
                  <c:v>78.339828042205724</c:v>
                </c:pt>
                <c:pt idx="5">
                  <c:v>79.095590179482997</c:v>
                </c:pt>
                <c:pt idx="6">
                  <c:v>79.937388454694556</c:v>
                </c:pt>
                <c:pt idx="7">
                  <c:v>76.864729979759204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1168"/>
        <c:axId val="1446371712"/>
      </c:lineChart>
      <c:catAx>
        <c:axId val="14463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82"/>
          <c:min val="6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116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877"/>
          <c:w val="0.96177967444791435"/>
          <c:h val="0.1795680460155256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87E-2"/>
          <c:w val="0.9029842635309353"/>
          <c:h val="0.708268034271450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9.4355266772810253</c:v>
                </c:pt>
                <c:pt idx="1">
                  <c:v>9.5250391287726064</c:v>
                </c:pt>
                <c:pt idx="2">
                  <c:v>7.6027225153769669</c:v>
                </c:pt>
                <c:pt idx="3">
                  <c:v>9.1074189650565902</c:v>
                </c:pt>
                <c:pt idx="4">
                  <c:v>9.0315168295622446</c:v>
                </c:pt>
                <c:pt idx="5">
                  <c:v>11.568152111983734</c:v>
                </c:pt>
                <c:pt idx="6">
                  <c:v>10.972237584338016</c:v>
                </c:pt>
                <c:pt idx="7">
                  <c:v>11.210812008419186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9.1197697489301213</c:v>
                </c:pt>
                <c:pt idx="1">
                  <c:v>9.9196447634447136</c:v>
                </c:pt>
                <c:pt idx="2">
                  <c:v>8.7902723607879132</c:v>
                </c:pt>
                <c:pt idx="3">
                  <c:v>10.210680665378101</c:v>
                </c:pt>
                <c:pt idx="4">
                  <c:v>10.808637397324594</c:v>
                </c:pt>
                <c:pt idx="5">
                  <c:v>11.153687173930043</c:v>
                </c:pt>
                <c:pt idx="6">
                  <c:v>10.485565756000444</c:v>
                </c:pt>
                <c:pt idx="7">
                  <c:v>9.4272737343524984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5.6569824183757618</c:v>
                </c:pt>
                <c:pt idx="1">
                  <c:v>6.2813743692269206</c:v>
                </c:pt>
                <c:pt idx="2">
                  <c:v>5.0113073973321089</c:v>
                </c:pt>
                <c:pt idx="3">
                  <c:v>7.6934451409128979</c:v>
                </c:pt>
                <c:pt idx="4">
                  <c:v>7.3832165937327154</c:v>
                </c:pt>
                <c:pt idx="5">
                  <c:v>7.5408041290091932</c:v>
                </c:pt>
                <c:pt idx="6">
                  <c:v>9.5896471629244555</c:v>
                </c:pt>
                <c:pt idx="7">
                  <c:v>9.5602082640966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26.005273776649666</c:v>
                </c:pt>
                <c:pt idx="1">
                  <c:v>25.015587727887173</c:v>
                </c:pt>
                <c:pt idx="2">
                  <c:v>20.614423213485846</c:v>
                </c:pt>
                <c:pt idx="3">
                  <c:v>25.9666885189014</c:v>
                </c:pt>
                <c:pt idx="4">
                  <c:v>28.268241002510429</c:v>
                </c:pt>
                <c:pt idx="5">
                  <c:v>30.407873716666849</c:v>
                </c:pt>
                <c:pt idx="6">
                  <c:v>28.536666297975888</c:v>
                </c:pt>
                <c:pt idx="7">
                  <c:v>26.420737786640082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2256"/>
        <c:axId val="1446369536"/>
      </c:barChart>
      <c:catAx>
        <c:axId val="144637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69536"/>
        <c:crosses val="autoZero"/>
        <c:auto val="1"/>
        <c:lblAlgn val="ctr"/>
        <c:lblOffset val="100"/>
        <c:noMultiLvlLbl val="0"/>
      </c:catAx>
      <c:valAx>
        <c:axId val="1446369536"/>
        <c:scaling>
          <c:orientation val="minMax"/>
          <c:max val="5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7225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298533234485461"/>
          <c:w val="0.95561111111111163"/>
          <c:h val="0.139237150552265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37E-2"/>
          <c:w val="0.9122665336936"/>
          <c:h val="0.7262500698051042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81.845160000000007</c:v>
                </c:pt>
                <c:pt idx="1">
                  <c:v>83.08564461988945</c:v>
                </c:pt>
                <c:pt idx="2">
                  <c:v>86.924130190168199</c:v>
                </c:pt>
                <c:pt idx="3">
                  <c:v>79.231869332064591</c:v>
                </c:pt>
                <c:pt idx="4">
                  <c:v>80.879919802856577</c:v>
                </c:pt>
                <c:pt idx="5">
                  <c:v>78.509</c:v>
                </c:pt>
                <c:pt idx="6">
                  <c:v>76.293509686619217</c:v>
                </c:pt>
                <c:pt idx="7">
                  <c:v>80.438412141448666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79.761110000000002</c:v>
                </c:pt>
                <c:pt idx="1">
                  <c:v>81.78045184260256</c:v>
                </c:pt>
                <c:pt idx="2">
                  <c:v>85.249042133718248</c:v>
                </c:pt>
                <c:pt idx="3">
                  <c:v>79.462430691908281</c:v>
                </c:pt>
                <c:pt idx="4">
                  <c:v>85.359700366262814</c:v>
                </c:pt>
                <c:pt idx="5">
                  <c:v>83.918999999999997</c:v>
                </c:pt>
                <c:pt idx="6">
                  <c:v>86.985671318027514</c:v>
                </c:pt>
                <c:pt idx="7">
                  <c:v>86.248725970592218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64.935789999999997</c:v>
                </c:pt>
                <c:pt idx="1">
                  <c:v>77.824430608878444</c:v>
                </c:pt>
                <c:pt idx="2">
                  <c:v>74.490301710304749</c:v>
                </c:pt>
                <c:pt idx="3">
                  <c:v>60.047567641780105</c:v>
                </c:pt>
                <c:pt idx="4">
                  <c:v>60.663778177582969</c:v>
                </c:pt>
                <c:pt idx="5">
                  <c:v>63.58</c:v>
                </c:pt>
                <c:pt idx="6">
                  <c:v>75.402167358008015</c:v>
                </c:pt>
                <c:pt idx="7">
                  <c:v>68.315862967905858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82.789959999999994</c:v>
                </c:pt>
                <c:pt idx="1">
                  <c:v>83.099250999625866</c:v>
                </c:pt>
                <c:pt idx="2">
                  <c:v>86.926808872693627</c:v>
                </c:pt>
                <c:pt idx="3">
                  <c:v>86.516822375492907</c:v>
                </c:pt>
                <c:pt idx="4">
                  <c:v>82.609090601610902</c:v>
                </c:pt>
                <c:pt idx="5">
                  <c:v>78.367999999999995</c:v>
                </c:pt>
                <c:pt idx="6">
                  <c:v>79.804029695045259</c:v>
                </c:pt>
                <c:pt idx="7">
                  <c:v>80.913729652809764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298896"/>
        <c:axId val="1831299984"/>
      </c:lineChart>
      <c:catAx>
        <c:axId val="183129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31299984"/>
        <c:crosses val="autoZero"/>
        <c:auto val="1"/>
        <c:lblAlgn val="ctr"/>
        <c:lblOffset val="100"/>
        <c:noMultiLvlLbl val="0"/>
      </c:catAx>
      <c:valAx>
        <c:axId val="1831299984"/>
        <c:scaling>
          <c:orientation val="minMax"/>
          <c:max val="9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1298896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7007734405539761"/>
          <c:w val="0.9843888070692195"/>
          <c:h val="0.1025252694477022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2E-2"/>
          <c:y val="5.0735679635726401E-2"/>
          <c:w val="0.95679921453118366"/>
          <c:h val="0.75469504524291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511.51728000000003</c:v>
                </c:pt>
                <c:pt idx="1">
                  <c:v>494.81</c:v>
                </c:pt>
                <c:pt idx="2">
                  <c:v>524.03599999999994</c:v>
                </c:pt>
                <c:pt idx="3">
                  <c:v>506.75</c:v>
                </c:pt>
                <c:pt idx="4">
                  <c:v>505.327</c:v>
                </c:pt>
                <c:pt idx="5">
                  <c:v>522.91700000000003</c:v>
                </c:pt>
                <c:pt idx="6">
                  <c:v>534.28</c:v>
                </c:pt>
                <c:pt idx="7">
                  <c:v>548.09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300528"/>
        <c:axId val="1831295632"/>
      </c:barChart>
      <c:catAx>
        <c:axId val="183130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1295632"/>
        <c:crosses val="autoZero"/>
        <c:auto val="1"/>
        <c:lblAlgn val="ctr"/>
        <c:lblOffset val="100"/>
        <c:noMultiLvlLbl val="0"/>
      </c:catAx>
      <c:valAx>
        <c:axId val="1831295632"/>
        <c:scaling>
          <c:orientation val="minMax"/>
          <c:max val="56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83130052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899160</xdr:colOff>
      <xdr:row>23</xdr:row>
      <xdr:rowOff>171450</xdr:rowOff>
    </xdr:from>
    <xdr:to>
      <xdr:col>9</xdr:col>
      <xdr:colOff>114300</xdr:colOff>
      <xdr:row>47</xdr:row>
      <xdr:rowOff>114300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8</xdr:col>
      <xdr:colOff>876300</xdr:colOff>
      <xdr:row>73</xdr:row>
      <xdr:rowOff>91440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548641</xdr:colOff>
      <xdr:row>30</xdr:row>
      <xdr:rowOff>171449</xdr:rowOff>
    </xdr:from>
    <xdr:to>
      <xdr:col>11</xdr:col>
      <xdr:colOff>624841</xdr:colOff>
      <xdr:row>49</xdr:row>
      <xdr:rowOff>144780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6</xdr:col>
      <xdr:colOff>632460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6</xdr:col>
      <xdr:colOff>800100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95</xdr:row>
      <xdr:rowOff>104774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152400</xdr:rowOff>
    </xdr:from>
    <xdr:to>
      <xdr:col>3</xdr:col>
      <xdr:colOff>123825</xdr:colOff>
      <xdr:row>153</xdr:row>
      <xdr:rowOff>171450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19048</xdr:rowOff>
    </xdr:from>
    <xdr:to>
      <xdr:col>11</xdr:col>
      <xdr:colOff>180974</xdr:colOff>
      <xdr:row>29</xdr:row>
      <xdr:rowOff>171449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33">
        <v>2016</v>
      </c>
      <c r="C1" s="133"/>
      <c r="D1" s="134"/>
      <c r="E1" s="135">
        <v>2017</v>
      </c>
      <c r="F1" s="136"/>
      <c r="G1" s="137"/>
      <c r="H1" s="135">
        <v>2018</v>
      </c>
      <c r="I1" s="136"/>
      <c r="J1" s="137"/>
      <c r="K1" s="135">
        <v>2019</v>
      </c>
      <c r="L1" s="136"/>
      <c r="M1" s="137"/>
      <c r="N1" s="135">
        <v>2020</v>
      </c>
      <c r="O1" s="136"/>
      <c r="P1" s="137"/>
      <c r="Q1" s="135">
        <v>2021</v>
      </c>
      <c r="R1" s="136"/>
      <c r="S1" s="137"/>
      <c r="T1" s="135">
        <v>2022</v>
      </c>
      <c r="U1" s="136"/>
      <c r="V1" s="137"/>
      <c r="W1" s="135">
        <v>2023</v>
      </c>
      <c r="X1" s="136"/>
      <c r="Y1" s="137"/>
      <c r="Z1" s="132" t="s">
        <v>233</v>
      </c>
      <c r="AA1" s="132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05" t="s">
        <v>74</v>
      </c>
      <c r="J2" s="106" t="s">
        <v>234</v>
      </c>
      <c r="K2" s="23" t="s">
        <v>73</v>
      </c>
      <c r="L2" s="109" t="s">
        <v>74</v>
      </c>
      <c r="M2" s="110" t="s">
        <v>234</v>
      </c>
      <c r="N2" s="23" t="s">
        <v>73</v>
      </c>
      <c r="O2" s="119" t="s">
        <v>74</v>
      </c>
      <c r="P2" s="120" t="s">
        <v>234</v>
      </c>
      <c r="Q2" s="23" t="s">
        <v>73</v>
      </c>
      <c r="R2" s="123" t="s">
        <v>74</v>
      </c>
      <c r="S2" s="124" t="s">
        <v>234</v>
      </c>
      <c r="T2" s="23" t="s">
        <v>73</v>
      </c>
      <c r="U2" s="129" t="s">
        <v>74</v>
      </c>
      <c r="V2" s="130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114100648.05</v>
      </c>
      <c r="C3" s="28">
        <v>88865782.730000004</v>
      </c>
      <c r="D3" s="20">
        <f>IF(B3&gt;0,C3/B3*100,"-")</f>
        <v>77.88367923296822</v>
      </c>
      <c r="E3" s="28">
        <v>114469848.06</v>
      </c>
      <c r="F3" s="28">
        <v>85938205.5</v>
      </c>
      <c r="G3" s="20">
        <f>IF(E3&gt;0,F3/E3*100,"-")</f>
        <v>75.074971231686277</v>
      </c>
      <c r="H3" s="28">
        <v>114601619.64</v>
      </c>
      <c r="I3" s="28">
        <v>87720386.359999999</v>
      </c>
      <c r="J3" s="20">
        <f>IF(H3&gt;0,I3/H3*100,"-")</f>
        <v>76.543757963942866</v>
      </c>
      <c r="K3" s="28">
        <v>114615174.8</v>
      </c>
      <c r="L3" s="28">
        <v>89020864.519999996</v>
      </c>
      <c r="M3" s="20">
        <f>IF(K3&gt;0,L3/K3*100,"-")</f>
        <v>77.669352836863624</v>
      </c>
      <c r="N3" s="28">
        <v>110852794.52</v>
      </c>
      <c r="O3" s="28">
        <v>86437652.680000007</v>
      </c>
      <c r="P3" s="20">
        <f>IF(N3&gt;0,O3/N3*100,"-")</f>
        <v>77.97516792813461</v>
      </c>
      <c r="Q3" s="28">
        <v>118040781.01000001</v>
      </c>
      <c r="R3" s="28">
        <v>90466597.060000002</v>
      </c>
      <c r="S3" s="20">
        <f>IF(Q3&gt;0,R3/Q3*100,"-")</f>
        <v>76.640120715853271</v>
      </c>
      <c r="T3" s="28">
        <v>122366171.18000001</v>
      </c>
      <c r="U3" s="28">
        <v>93989695.670000002</v>
      </c>
      <c r="V3" s="20">
        <f>IF(T3&gt;0,U3/T3*100,"-")</f>
        <v>76.810195794834215</v>
      </c>
      <c r="W3" s="1">
        <v>134055529.98999999</v>
      </c>
      <c r="X3" s="1">
        <v>107513266.2</v>
      </c>
      <c r="Y3" s="20">
        <f>IF(W3&gt;0,X3/W3*100,"-")</f>
        <v>80.200545406832575</v>
      </c>
      <c r="Z3" s="13">
        <f>IF(T3&gt;0,W3/T3*100-100,"-")</f>
        <v>9.5527699341062089</v>
      </c>
      <c r="AA3" s="13">
        <f>IF(U3&gt;0,X3/U3*100-100,"-")</f>
        <v>14.38835441863921</v>
      </c>
    </row>
    <row r="4" spans="1:27" x14ac:dyDescent="0.3">
      <c r="A4" t="s">
        <v>21</v>
      </c>
      <c r="B4" s="28">
        <v>184574695.49000001</v>
      </c>
      <c r="C4" s="28">
        <v>136446699.84999999</v>
      </c>
      <c r="D4" s="20">
        <f t="shared" ref="D4:D21" si="0">IF(B4&gt;0,C4/B4*100,"-")</f>
        <v>73.924922096047823</v>
      </c>
      <c r="E4" s="28">
        <v>174716901.09999999</v>
      </c>
      <c r="F4" s="28">
        <v>150862797.41</v>
      </c>
      <c r="G4" s="20">
        <f t="shared" ref="G4:G21" si="1">IF(E4&gt;0,F4/E4*100,"-")</f>
        <v>86.346997033591492</v>
      </c>
      <c r="H4" s="28">
        <v>169690117.56999999</v>
      </c>
      <c r="I4" s="28">
        <v>129047806.09</v>
      </c>
      <c r="J4" s="20">
        <f t="shared" ref="J4:J13" si="2">IF(H4&gt;0,I4/H4*100,"-")</f>
        <v>76.049099345320244</v>
      </c>
      <c r="K4" s="28">
        <v>178086953.16999999</v>
      </c>
      <c r="L4" s="28">
        <v>170815096.00999999</v>
      </c>
      <c r="M4" s="20">
        <f t="shared" ref="M4:M13" si="3">IF(K4&gt;0,L4/K4*100,"-")</f>
        <v>95.916681693656486</v>
      </c>
      <c r="N4" s="28">
        <v>186467836.93000001</v>
      </c>
      <c r="O4" s="28">
        <v>181258667.71000001</v>
      </c>
      <c r="P4" s="20">
        <f t="shared" ref="P4:P13" si="4">IF(N4&gt;0,O4/N4*100,"-")</f>
        <v>97.206398000983128</v>
      </c>
      <c r="Q4" s="28">
        <v>174680229.22999999</v>
      </c>
      <c r="R4" s="28">
        <v>167835877.47999999</v>
      </c>
      <c r="S4" s="20">
        <f t="shared" ref="S4:S13" si="5">IF(Q4&gt;0,R4/Q4*100,"-")</f>
        <v>96.081782248529052</v>
      </c>
      <c r="T4" s="28">
        <v>174992033.06</v>
      </c>
      <c r="U4" s="28">
        <v>167291568.86000001</v>
      </c>
      <c r="V4" s="20">
        <f t="shared" ref="V4:V13" si="6">IF(T4&gt;0,U4/T4*100,"-")</f>
        <v>95.599534410026706</v>
      </c>
      <c r="W4" s="1">
        <v>175944333.55000001</v>
      </c>
      <c r="X4" s="1">
        <v>160547589.55000001</v>
      </c>
      <c r="Y4" s="20">
        <f t="shared" ref="Y4:Y21" si="7">IF(W4&gt;0,X4/W4*100,"-")</f>
        <v>91.249082201544994</v>
      </c>
      <c r="Z4" s="13">
        <f t="shared" ref="Z4:AA55" si="8">IF(T4&gt;0,W4/T4*100-100,"-")</f>
        <v>0.5441964833184727</v>
      </c>
      <c r="AA4" s="13">
        <f t="shared" si="8"/>
        <v>-4.0312726791651841</v>
      </c>
    </row>
    <row r="5" spans="1:27" x14ac:dyDescent="0.3">
      <c r="A5" t="s">
        <v>22</v>
      </c>
      <c r="B5" s="28">
        <v>61500911.469999999</v>
      </c>
      <c r="C5" s="28">
        <v>46337395.689999998</v>
      </c>
      <c r="D5" s="20">
        <f t="shared" si="0"/>
        <v>75.344242194854743</v>
      </c>
      <c r="E5" s="28">
        <v>65284636.920000002</v>
      </c>
      <c r="F5" s="28">
        <v>44637898.780000001</v>
      </c>
      <c r="G5" s="20">
        <f t="shared" si="1"/>
        <v>68.374277450144078</v>
      </c>
      <c r="H5" s="28">
        <v>61150950.670000002</v>
      </c>
      <c r="I5" s="28">
        <v>42707097.310000002</v>
      </c>
      <c r="J5" s="20">
        <f t="shared" si="2"/>
        <v>69.838811730774367</v>
      </c>
      <c r="K5" s="28">
        <v>59705003.780000001</v>
      </c>
      <c r="L5" s="28">
        <v>43593605.479999997</v>
      </c>
      <c r="M5" s="20">
        <f t="shared" si="3"/>
        <v>73.014994925103736</v>
      </c>
      <c r="N5" s="28">
        <v>44420359.329999998</v>
      </c>
      <c r="O5" s="28">
        <v>38086321.049999997</v>
      </c>
      <c r="P5" s="20">
        <f t="shared" si="4"/>
        <v>85.740686533073116</v>
      </c>
      <c r="Q5" s="28">
        <v>47433090.799999997</v>
      </c>
      <c r="R5" s="28">
        <v>42640215.5</v>
      </c>
      <c r="S5" s="20">
        <f t="shared" si="5"/>
        <v>89.895502866956335</v>
      </c>
      <c r="T5" s="28">
        <v>61038423.810000002</v>
      </c>
      <c r="U5" s="28">
        <v>50812263.090000004</v>
      </c>
      <c r="V5" s="20">
        <f t="shared" si="6"/>
        <v>83.246355194505156</v>
      </c>
      <c r="W5" s="1">
        <v>72330039.129999995</v>
      </c>
      <c r="X5" s="1">
        <v>57804675.43</v>
      </c>
      <c r="Y5" s="20">
        <f t="shared" si="7"/>
        <v>79.917937450727322</v>
      </c>
      <c r="Z5" s="13">
        <f t="shared" si="8"/>
        <v>18.499192173029329</v>
      </c>
      <c r="AA5" s="13">
        <f t="shared" si="8"/>
        <v>13.76126925820023</v>
      </c>
    </row>
    <row r="6" spans="1:27" x14ac:dyDescent="0.3">
      <c r="A6" t="s">
        <v>23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28">
        <v>0</v>
      </c>
      <c r="J6" s="20" t="str">
        <f t="shared" si="2"/>
        <v>-</v>
      </c>
      <c r="K6" s="28">
        <v>0</v>
      </c>
      <c r="L6" s="28">
        <v>0</v>
      </c>
      <c r="M6" s="20" t="str">
        <f t="shared" si="3"/>
        <v>-</v>
      </c>
      <c r="N6" s="28">
        <v>0</v>
      </c>
      <c r="O6" s="28">
        <v>0</v>
      </c>
      <c r="P6" s="20" t="str">
        <f t="shared" si="4"/>
        <v>-</v>
      </c>
      <c r="Q6" s="28">
        <v>0</v>
      </c>
      <c r="R6" s="28">
        <v>0</v>
      </c>
      <c r="S6" s="20" t="str">
        <f t="shared" si="5"/>
        <v>-</v>
      </c>
      <c r="T6" s="28">
        <v>0</v>
      </c>
      <c r="U6" s="28">
        <v>0</v>
      </c>
      <c r="V6" s="20" t="str">
        <f t="shared" si="6"/>
        <v>-</v>
      </c>
      <c r="W6" s="28">
        <v>0</v>
      </c>
      <c r="X6" s="28">
        <v>0</v>
      </c>
      <c r="Y6" s="20" t="str">
        <f t="shared" si="7"/>
        <v>-</v>
      </c>
      <c r="Z6" s="13" t="str">
        <f t="shared" si="8"/>
        <v>-</v>
      </c>
      <c r="AA6" s="13" t="str">
        <f t="shared" si="8"/>
        <v>-</v>
      </c>
    </row>
    <row r="7" spans="1:27" x14ac:dyDescent="0.3">
      <c r="A7" t="s">
        <v>24</v>
      </c>
      <c r="B7" s="28">
        <v>10288049.390000001</v>
      </c>
      <c r="C7" s="28">
        <v>5936563.9000000004</v>
      </c>
      <c r="D7" s="20">
        <f t="shared" si="0"/>
        <v>57.703493392735353</v>
      </c>
      <c r="E7" s="28">
        <v>10962999.98</v>
      </c>
      <c r="F7" s="28">
        <v>8412345.9100000001</v>
      </c>
      <c r="G7" s="20">
        <f t="shared" si="1"/>
        <v>76.733977244794261</v>
      </c>
      <c r="H7" s="28">
        <v>85360707.930000007</v>
      </c>
      <c r="I7" s="28">
        <v>81017275.730000004</v>
      </c>
      <c r="J7" s="20">
        <f t="shared" si="2"/>
        <v>94.91167270594589</v>
      </c>
      <c r="K7" s="28">
        <v>23972887.469999999</v>
      </c>
      <c r="L7" s="28">
        <v>13162560.73</v>
      </c>
      <c r="M7" s="20">
        <f t="shared" si="3"/>
        <v>54.906029765800255</v>
      </c>
      <c r="N7" s="28">
        <v>32169381.989999998</v>
      </c>
      <c r="O7" s="28">
        <v>17637029.530000001</v>
      </c>
      <c r="P7" s="20">
        <f t="shared" si="4"/>
        <v>54.825515564714777</v>
      </c>
      <c r="Q7" s="28">
        <v>16286173.560000001</v>
      </c>
      <c r="R7" s="28">
        <v>9817449.5700000003</v>
      </c>
      <c r="S7" s="20">
        <f t="shared" si="5"/>
        <v>60.280885094534142</v>
      </c>
      <c r="T7" s="28">
        <v>46561034.439999998</v>
      </c>
      <c r="U7" s="28">
        <v>35362082.149999999</v>
      </c>
      <c r="V7" s="20">
        <f t="shared" si="6"/>
        <v>75.947801794585729</v>
      </c>
      <c r="W7" s="1">
        <v>37619085.119999997</v>
      </c>
      <c r="X7" s="1">
        <v>20351617.32</v>
      </c>
      <c r="Y7" s="20">
        <f t="shared" si="7"/>
        <v>54.099181984572411</v>
      </c>
      <c r="Z7" s="13">
        <f t="shared" si="8"/>
        <v>-19.204790932046151</v>
      </c>
      <c r="AA7" s="13">
        <f t="shared" si="8"/>
        <v>-42.447910070250202</v>
      </c>
    </row>
    <row r="8" spans="1:27" x14ac:dyDescent="0.3">
      <c r="A8" t="s">
        <v>25</v>
      </c>
      <c r="B8" s="28">
        <v>0</v>
      </c>
      <c r="C8" s="28">
        <v>0</v>
      </c>
      <c r="D8" s="20" t="str">
        <f t="shared" si="0"/>
        <v>-</v>
      </c>
      <c r="E8" s="28">
        <v>0</v>
      </c>
      <c r="F8" s="28">
        <v>0</v>
      </c>
      <c r="G8" s="20" t="str">
        <f t="shared" si="1"/>
        <v>-</v>
      </c>
      <c r="H8" s="28">
        <v>0</v>
      </c>
      <c r="I8" s="28">
        <v>0</v>
      </c>
      <c r="J8" s="20" t="str">
        <f t="shared" si="2"/>
        <v>-</v>
      </c>
      <c r="K8" s="28">
        <v>0</v>
      </c>
      <c r="L8" s="28">
        <v>0</v>
      </c>
      <c r="M8" s="20" t="str">
        <f t="shared" si="3"/>
        <v>-</v>
      </c>
      <c r="N8" s="28">
        <v>0</v>
      </c>
      <c r="O8" s="28">
        <v>0</v>
      </c>
      <c r="P8" s="20" t="str">
        <f t="shared" si="4"/>
        <v>-</v>
      </c>
      <c r="Q8" s="28">
        <v>0</v>
      </c>
      <c r="R8" s="28">
        <v>0</v>
      </c>
      <c r="S8" s="20" t="str">
        <f t="shared" si="5"/>
        <v>-</v>
      </c>
      <c r="T8" s="28">
        <v>0</v>
      </c>
      <c r="U8" s="28">
        <v>0</v>
      </c>
      <c r="V8" s="20" t="str">
        <f t="shared" si="6"/>
        <v>-</v>
      </c>
      <c r="W8" s="28">
        <v>0</v>
      </c>
      <c r="X8" s="28">
        <v>0</v>
      </c>
      <c r="Y8" s="20" t="str">
        <f t="shared" si="7"/>
        <v>-</v>
      </c>
      <c r="Z8" s="13" t="str">
        <f t="shared" si="8"/>
        <v>-</v>
      </c>
      <c r="AA8" s="13" t="str">
        <f t="shared" si="8"/>
        <v>-</v>
      </c>
    </row>
    <row r="9" spans="1:27" x14ac:dyDescent="0.3">
      <c r="A9" t="s">
        <v>26</v>
      </c>
      <c r="B9" s="28">
        <v>3127734.96</v>
      </c>
      <c r="C9" s="28">
        <v>1937734.96</v>
      </c>
      <c r="D9" s="20">
        <f t="shared" si="0"/>
        <v>61.953297986604341</v>
      </c>
      <c r="E9" s="28">
        <v>4322922.46</v>
      </c>
      <c r="F9" s="28">
        <v>4322922.46</v>
      </c>
      <c r="G9" s="20">
        <f t="shared" si="1"/>
        <v>100</v>
      </c>
      <c r="H9" s="28">
        <v>3616271.31</v>
      </c>
      <c r="I9" s="28">
        <v>422059.53</v>
      </c>
      <c r="J9" s="20">
        <f t="shared" si="2"/>
        <v>11.671124587164893</v>
      </c>
      <c r="K9" s="28">
        <v>910073.43</v>
      </c>
      <c r="L9" s="28">
        <v>792921.43</v>
      </c>
      <c r="M9" s="20">
        <f t="shared" si="3"/>
        <v>87.127192582690824</v>
      </c>
      <c r="N9" s="28">
        <v>7371888.5</v>
      </c>
      <c r="O9" s="28">
        <v>3851888.5</v>
      </c>
      <c r="P9" s="20">
        <f t="shared" si="4"/>
        <v>52.251041235905838</v>
      </c>
      <c r="Q9" s="28">
        <v>840308.49</v>
      </c>
      <c r="R9" s="28">
        <v>833348.49</v>
      </c>
      <c r="S9" s="20">
        <f t="shared" si="5"/>
        <v>99.171732752575195</v>
      </c>
      <c r="T9" s="28">
        <v>10329806.85</v>
      </c>
      <c r="U9" s="28">
        <v>10209873.1</v>
      </c>
      <c r="V9" s="20">
        <f t="shared" si="6"/>
        <v>98.838954573482667</v>
      </c>
      <c r="W9" s="1">
        <v>2995674.34</v>
      </c>
      <c r="X9" s="1">
        <v>2727475.48</v>
      </c>
      <c r="Y9" s="20">
        <f t="shared" si="7"/>
        <v>91.047128974640145</v>
      </c>
      <c r="Z9" s="13">
        <f t="shared" si="8"/>
        <v>-70.999706156170774</v>
      </c>
      <c r="AA9" s="13">
        <f t="shared" si="8"/>
        <v>-73.285902250832081</v>
      </c>
    </row>
    <row r="10" spans="1:27" x14ac:dyDescent="0.3">
      <c r="A10" t="s">
        <v>27</v>
      </c>
      <c r="B10" s="28">
        <v>2288071.19</v>
      </c>
      <c r="C10" s="28">
        <v>2192253.7000000002</v>
      </c>
      <c r="D10" s="20">
        <f t="shared" si="0"/>
        <v>95.812302938004308</v>
      </c>
      <c r="E10" s="28">
        <v>3553924.59</v>
      </c>
      <c r="F10" s="28">
        <v>3465641.07</v>
      </c>
      <c r="G10" s="20">
        <f t="shared" si="1"/>
        <v>97.515886514631973</v>
      </c>
      <c r="H10" s="28">
        <v>2036075.31</v>
      </c>
      <c r="I10" s="28">
        <v>2036075.31</v>
      </c>
      <c r="J10" s="20">
        <f t="shared" si="2"/>
        <v>100</v>
      </c>
      <c r="K10" s="28">
        <v>2388445.71</v>
      </c>
      <c r="L10" s="28">
        <v>2388445.71</v>
      </c>
      <c r="M10" s="20">
        <f t="shared" si="3"/>
        <v>100</v>
      </c>
      <c r="N10" s="28">
        <v>1642309.44</v>
      </c>
      <c r="O10" s="28">
        <v>1642309.44</v>
      </c>
      <c r="P10" s="20">
        <f t="shared" si="4"/>
        <v>100</v>
      </c>
      <c r="Q10" s="28">
        <v>1331464.4099999999</v>
      </c>
      <c r="R10" s="28">
        <v>1230654.1200000001</v>
      </c>
      <c r="S10" s="20">
        <f t="shared" si="5"/>
        <v>92.428615497127723</v>
      </c>
      <c r="T10" s="28">
        <v>1977511.17</v>
      </c>
      <c r="U10" s="28">
        <v>1927511.17</v>
      </c>
      <c r="V10" s="20">
        <f t="shared" si="6"/>
        <v>97.471569275636512</v>
      </c>
      <c r="W10" s="1">
        <v>2877738.82</v>
      </c>
      <c r="X10" s="1">
        <v>2876003.82</v>
      </c>
      <c r="Y10" s="20">
        <f t="shared" si="7"/>
        <v>99.939709608532155</v>
      </c>
      <c r="Z10" s="13">
        <f t="shared" si="8"/>
        <v>45.523264983630895</v>
      </c>
      <c r="AA10" s="13">
        <f t="shared" si="8"/>
        <v>49.208153226940823</v>
      </c>
    </row>
    <row r="11" spans="1:27" x14ac:dyDescent="0.3">
      <c r="A11" t="s">
        <v>28</v>
      </c>
      <c r="B11" s="28">
        <v>0</v>
      </c>
      <c r="C11" s="28">
        <v>0</v>
      </c>
      <c r="D11" s="20" t="str">
        <f t="shared" si="0"/>
        <v>-</v>
      </c>
      <c r="E11" s="28">
        <v>15314200</v>
      </c>
      <c r="F11" s="28">
        <v>15314200</v>
      </c>
      <c r="G11" s="20">
        <f t="shared" si="1"/>
        <v>100</v>
      </c>
      <c r="H11" s="28">
        <v>9481527.8200000003</v>
      </c>
      <c r="I11" s="28">
        <v>9481527.8200000003</v>
      </c>
      <c r="J11" s="20">
        <f t="shared" si="2"/>
        <v>100</v>
      </c>
      <c r="K11" s="28">
        <v>12963116.5</v>
      </c>
      <c r="L11" s="28">
        <v>12701148.5</v>
      </c>
      <c r="M11" s="20">
        <f t="shared" si="3"/>
        <v>97.979127935786124</v>
      </c>
      <c r="N11" s="28">
        <v>537200</v>
      </c>
      <c r="O11" s="28">
        <v>537200</v>
      </c>
      <c r="P11" s="20">
        <f t="shared" si="4"/>
        <v>100</v>
      </c>
      <c r="Q11" s="28">
        <v>0</v>
      </c>
      <c r="R11" s="28">
        <v>0</v>
      </c>
      <c r="S11" s="20" t="str">
        <f t="shared" si="5"/>
        <v>-</v>
      </c>
      <c r="T11" s="28">
        <v>4444860.8</v>
      </c>
      <c r="U11" s="28">
        <v>4444860.8</v>
      </c>
      <c r="V11" s="20">
        <f t="shared" si="6"/>
        <v>100</v>
      </c>
      <c r="W11" s="1">
        <v>3656606.91</v>
      </c>
      <c r="X11" s="1">
        <v>2206606.91</v>
      </c>
      <c r="Y11" s="20">
        <f t="shared" si="7"/>
        <v>60.345751247294999</v>
      </c>
      <c r="Z11" s="13">
        <f t="shared" si="8"/>
        <v>-17.734051199083666</v>
      </c>
      <c r="AA11" s="13">
        <f t="shared" si="8"/>
        <v>-50.355995175371966</v>
      </c>
    </row>
    <row r="12" spans="1:27" x14ac:dyDescent="0.3">
      <c r="A12" t="s">
        <v>29</v>
      </c>
      <c r="B12" s="28">
        <f>74585.41+166666.66</f>
        <v>241252.07</v>
      </c>
      <c r="C12" s="28">
        <f>46205.44+166666.66</f>
        <v>212872.1</v>
      </c>
      <c r="D12" s="20">
        <f t="shared" si="0"/>
        <v>88.236382800777619</v>
      </c>
      <c r="E12" s="28">
        <f>85497.17+166666.66</f>
        <v>252163.83000000002</v>
      </c>
      <c r="F12" s="28">
        <f>63323.83+166666.66</f>
        <v>229990.49</v>
      </c>
      <c r="G12" s="20">
        <f t="shared" si="1"/>
        <v>91.206772200438095</v>
      </c>
      <c r="H12" s="28">
        <f>70209.82+166666.66</f>
        <v>236876.48</v>
      </c>
      <c r="I12" s="28">
        <f>38590.11+166666.66</f>
        <v>205256.77000000002</v>
      </c>
      <c r="J12" s="20">
        <f t="shared" si="2"/>
        <v>86.651393164910246</v>
      </c>
      <c r="K12" s="28">
        <f>50818.1+166666.66</f>
        <v>217484.76</v>
      </c>
      <c r="L12" s="28">
        <f>44746.47+166666.66</f>
        <v>211413.13</v>
      </c>
      <c r="M12" s="20">
        <f t="shared" si="3"/>
        <v>97.208250362002374</v>
      </c>
      <c r="N12" s="28">
        <f>66983.76+20831.6</f>
        <v>87815.359999999986</v>
      </c>
      <c r="O12" s="28">
        <f>58961.55+20831.6</f>
        <v>79793.149999999994</v>
      </c>
      <c r="P12" s="20">
        <f t="shared" si="4"/>
        <v>90.864684720304069</v>
      </c>
      <c r="Q12" s="28">
        <v>28049</v>
      </c>
      <c r="R12" s="28">
        <v>19390.98</v>
      </c>
      <c r="S12" s="20">
        <f t="shared" si="5"/>
        <v>69.132518093336657</v>
      </c>
      <c r="T12" s="28">
        <v>110596.27</v>
      </c>
      <c r="U12" s="28">
        <v>88962.05</v>
      </c>
      <c r="V12" s="20">
        <f t="shared" si="6"/>
        <v>80.438562711020893</v>
      </c>
      <c r="W12" s="1">
        <v>64596.63</v>
      </c>
      <c r="X12" s="1">
        <v>30343.3</v>
      </c>
      <c r="Y12" s="20">
        <f t="shared" si="7"/>
        <v>46.973503106895826</v>
      </c>
      <c r="Z12" s="13">
        <f t="shared" si="8"/>
        <v>-41.592397284284544</v>
      </c>
      <c r="AA12" s="13">
        <f t="shared" si="8"/>
        <v>-65.891860630459846</v>
      </c>
    </row>
    <row r="13" spans="1:27" x14ac:dyDescent="0.3">
      <c r="A13" t="s">
        <v>30</v>
      </c>
      <c r="B13" s="28">
        <v>21389111.23</v>
      </c>
      <c r="C13" s="28">
        <v>3935150.29</v>
      </c>
      <c r="D13" s="20">
        <f t="shared" si="0"/>
        <v>18.397914002525852</v>
      </c>
      <c r="E13" s="28">
        <v>0</v>
      </c>
      <c r="F13" s="28">
        <v>0</v>
      </c>
      <c r="G13" s="20" t="str">
        <f t="shared" si="1"/>
        <v>-</v>
      </c>
      <c r="H13" s="28">
        <v>0</v>
      </c>
      <c r="I13" s="28">
        <v>0</v>
      </c>
      <c r="J13" s="20" t="str">
        <f t="shared" si="2"/>
        <v>-</v>
      </c>
      <c r="K13" s="28">
        <v>0</v>
      </c>
      <c r="L13" s="28">
        <v>0</v>
      </c>
      <c r="M13" s="20" t="str">
        <f t="shared" si="3"/>
        <v>-</v>
      </c>
      <c r="N13" s="28">
        <v>5000000</v>
      </c>
      <c r="O13" s="28">
        <v>0</v>
      </c>
      <c r="P13" s="20">
        <f t="shared" si="4"/>
        <v>0</v>
      </c>
      <c r="Q13" s="28">
        <v>0</v>
      </c>
      <c r="R13" s="28">
        <v>0</v>
      </c>
      <c r="S13" s="20" t="str">
        <f t="shared" si="5"/>
        <v>-</v>
      </c>
      <c r="T13" s="28">
        <v>0</v>
      </c>
      <c r="U13" s="28">
        <v>0</v>
      </c>
      <c r="V13" s="20" t="str">
        <f t="shared" si="6"/>
        <v>-</v>
      </c>
      <c r="W13" s="28">
        <v>0</v>
      </c>
      <c r="X13" s="28">
        <v>0</v>
      </c>
      <c r="Y13" s="20" t="str">
        <f t="shared" si="7"/>
        <v>-</v>
      </c>
      <c r="Z13" s="13" t="str">
        <f t="shared" si="8"/>
        <v>-</v>
      </c>
      <c r="AA13" s="13" t="str">
        <f t="shared" si="8"/>
        <v>-</v>
      </c>
    </row>
    <row r="14" spans="1:27" x14ac:dyDescent="0.3">
      <c r="A14" t="s">
        <v>31</v>
      </c>
      <c r="B14" s="28">
        <f t="shared" ref="B14:C14" si="9">SUM(B3:B5)</f>
        <v>360176255.00999999</v>
      </c>
      <c r="C14" s="28">
        <f t="shared" si="9"/>
        <v>271649878.26999998</v>
      </c>
      <c r="D14" s="20">
        <f>IF(B14&gt;0,C14/B14*100,"-")</f>
        <v>75.421373422425603</v>
      </c>
      <c r="E14" s="28">
        <f t="shared" ref="E14:F14" si="10">SUM(E3:E5)</f>
        <v>354471386.07999998</v>
      </c>
      <c r="F14" s="28">
        <f t="shared" si="10"/>
        <v>281438901.69</v>
      </c>
      <c r="G14" s="20">
        <f>IF(E14&gt;0,F14/E14*100,"-")</f>
        <v>79.396789908024502</v>
      </c>
      <c r="H14" s="28">
        <f t="shared" ref="H14:I14" si="11">SUM(H3:H5)</f>
        <v>345442687.88</v>
      </c>
      <c r="I14" s="28">
        <f t="shared" si="11"/>
        <v>259475289.75999999</v>
      </c>
      <c r="J14" s="20">
        <f>IF(H14&gt;0,I14/H14*100,"-")</f>
        <v>75.113846337988377</v>
      </c>
      <c r="K14" s="28">
        <f t="shared" ref="K14:L14" si="12">SUM(K3:K5)</f>
        <v>352407131.75</v>
      </c>
      <c r="L14" s="28">
        <f t="shared" si="12"/>
        <v>303429566.00999999</v>
      </c>
      <c r="M14" s="20">
        <f>IF(K14&gt;0,L14/K14*100,"-")</f>
        <v>86.101993595650313</v>
      </c>
      <c r="N14" s="28">
        <f t="shared" ref="N14:O14" si="13">SUM(N3:N5)</f>
        <v>341740990.77999997</v>
      </c>
      <c r="O14" s="28">
        <f t="shared" si="13"/>
        <v>305782641.44</v>
      </c>
      <c r="P14" s="20">
        <f>IF(N14&gt;0,O14/N14*100,"-")</f>
        <v>89.477893986926318</v>
      </c>
      <c r="Q14" s="28">
        <f t="shared" ref="Q14:R14" si="14">SUM(Q3:Q5)</f>
        <v>340154101.04000002</v>
      </c>
      <c r="R14" s="28">
        <f t="shared" si="14"/>
        <v>300942690.03999996</v>
      </c>
      <c r="S14" s="20">
        <f>IF(Q14&gt;0,R14/Q14*100,"-")</f>
        <v>88.472456783524407</v>
      </c>
      <c r="T14" s="28">
        <f t="shared" ref="T14:U14" si="15">SUM(T3:T5)</f>
        <v>358396628.05000001</v>
      </c>
      <c r="U14" s="28">
        <f t="shared" si="15"/>
        <v>312093527.62</v>
      </c>
      <c r="V14" s="20">
        <f>IF(T14&gt;0,U14/T14*100,"-")</f>
        <v>87.080486587742044</v>
      </c>
      <c r="W14" s="28">
        <f t="shared" ref="W14:X14" si="16">SUM(W3:W5)</f>
        <v>382329902.67000002</v>
      </c>
      <c r="X14" s="28">
        <f t="shared" si="16"/>
        <v>325865531.18000001</v>
      </c>
      <c r="Y14" s="20">
        <f>IF(W14&gt;0,X14/W14*100,"-")</f>
        <v>85.231505279686161</v>
      </c>
      <c r="Z14" s="13">
        <f t="shared" si="8"/>
        <v>6.677873826608959</v>
      </c>
      <c r="AA14" s="13">
        <f t="shared" si="8"/>
        <v>4.4127808945684279</v>
      </c>
    </row>
    <row r="15" spans="1:27" x14ac:dyDescent="0.3">
      <c r="A15" t="s">
        <v>32</v>
      </c>
      <c r="B15" s="27">
        <f t="shared" ref="B15:C15" si="17">SUM(B6:B10)</f>
        <v>15703855.540000001</v>
      </c>
      <c r="C15" s="27">
        <f t="shared" si="17"/>
        <v>10066552.560000001</v>
      </c>
      <c r="D15" s="20">
        <f>IF(B15&gt;0,C15/B15*100,"-")</f>
        <v>64.102427167385926</v>
      </c>
      <c r="E15" s="27">
        <f t="shared" ref="E15:F15" si="18">SUM(E6:E10)</f>
        <v>18839847.030000001</v>
      </c>
      <c r="F15" s="27">
        <f t="shared" si="18"/>
        <v>16200909.440000001</v>
      </c>
      <c r="G15" s="20">
        <f>IF(E15&gt;0,F15/E15*100,"-")</f>
        <v>85.99278653484906</v>
      </c>
      <c r="H15" s="27">
        <f t="shared" ref="H15:I15" si="19">SUM(H6:H10)</f>
        <v>91013054.550000012</v>
      </c>
      <c r="I15" s="27">
        <f t="shared" si="19"/>
        <v>83475410.570000008</v>
      </c>
      <c r="J15" s="20">
        <f>IF(H15&gt;0,I15/H15*100,"-")</f>
        <v>91.718062845743702</v>
      </c>
      <c r="K15" s="27">
        <f t="shared" ref="K15:L15" si="20">SUM(K6:K10)</f>
        <v>27271406.609999999</v>
      </c>
      <c r="L15" s="27">
        <f t="shared" si="20"/>
        <v>16343927.870000001</v>
      </c>
      <c r="M15" s="20">
        <f>IF(K15&gt;0,L15/K15*100,"-")</f>
        <v>59.930637622508762</v>
      </c>
      <c r="N15" s="27">
        <f t="shared" ref="N15:O15" si="21">SUM(N6:N10)</f>
        <v>41183579.929999992</v>
      </c>
      <c r="O15" s="27">
        <f t="shared" si="21"/>
        <v>23131227.470000003</v>
      </c>
      <c r="P15" s="20">
        <f>IF(N15&gt;0,O15/N15*100,"-")</f>
        <v>56.16614075152355</v>
      </c>
      <c r="Q15" s="27">
        <f t="shared" ref="Q15:R15" si="22">SUM(Q6:Q10)</f>
        <v>18457946.460000001</v>
      </c>
      <c r="R15" s="27">
        <f t="shared" si="22"/>
        <v>11881452.18</v>
      </c>
      <c r="S15" s="20">
        <f>IF(Q15&gt;0,R15/Q15*100,"-")</f>
        <v>64.370390312639358</v>
      </c>
      <c r="T15" s="27">
        <f t="shared" ref="T15:U15" si="23">SUM(T6:T10)</f>
        <v>58868352.460000001</v>
      </c>
      <c r="U15" s="27">
        <f t="shared" si="23"/>
        <v>47499466.420000002</v>
      </c>
      <c r="V15" s="20">
        <f>IF(T15&gt;0,U15/T15*100,"-")</f>
        <v>80.687609615497635</v>
      </c>
      <c r="W15" s="27">
        <f t="shared" ref="W15:X15" si="24">SUM(W6:W10)</f>
        <v>43492498.279999994</v>
      </c>
      <c r="X15" s="27">
        <f t="shared" si="24"/>
        <v>25955096.620000001</v>
      </c>
      <c r="Y15" s="20">
        <f>IF(W15&gt;0,X15/W15*100,"-")</f>
        <v>59.677180310277642</v>
      </c>
      <c r="Z15" s="13">
        <f t="shared" si="8"/>
        <v>-26.1190496038557</v>
      </c>
      <c r="AA15" s="13">
        <f t="shared" si="8"/>
        <v>-45.357077507987718</v>
      </c>
    </row>
    <row r="16" spans="1:27" x14ac:dyDescent="0.3">
      <c r="A16" t="s">
        <v>33</v>
      </c>
      <c r="B16" s="28">
        <f t="shared" ref="B16:C16" si="25">SUM(B11:B13)</f>
        <v>21630363.300000001</v>
      </c>
      <c r="C16" s="28">
        <f t="shared" si="25"/>
        <v>4148022.39</v>
      </c>
      <c r="D16" s="20">
        <f t="shared" si="0"/>
        <v>19.17685030283333</v>
      </c>
      <c r="E16" s="28">
        <f t="shared" ref="E16:F16" si="26">SUM(E11:E13)</f>
        <v>15566363.83</v>
      </c>
      <c r="F16" s="28">
        <f t="shared" si="26"/>
        <v>15544190.49</v>
      </c>
      <c r="G16" s="20">
        <f t="shared" si="1"/>
        <v>99.857556072553905</v>
      </c>
      <c r="H16" s="28">
        <f t="shared" ref="H16:I16" si="27">SUM(H11:H13)</f>
        <v>9718404.3000000007</v>
      </c>
      <c r="I16" s="28">
        <f t="shared" si="27"/>
        <v>9686784.5899999999</v>
      </c>
      <c r="J16" s="20">
        <f t="shared" ref="J16:J21" si="28">IF(H16&gt;0,I16/H16*100,"-")</f>
        <v>99.674640928449534</v>
      </c>
      <c r="K16" s="28">
        <f t="shared" ref="K16:L16" si="29">SUM(K11:K13)</f>
        <v>13180601.26</v>
      </c>
      <c r="L16" s="28">
        <f t="shared" si="29"/>
        <v>12912561.630000001</v>
      </c>
      <c r="M16" s="20">
        <f t="shared" ref="M16:M21" si="30">IF(K16&gt;0,L16/K16*100,"-")</f>
        <v>97.966408172793791</v>
      </c>
      <c r="N16" s="28">
        <f t="shared" ref="N16:O16" si="31">SUM(N11:N13)</f>
        <v>5625015.3600000003</v>
      </c>
      <c r="O16" s="28">
        <f t="shared" si="31"/>
        <v>616993.15</v>
      </c>
      <c r="P16" s="20">
        <f t="shared" ref="P16:P21" si="32">IF(N16&gt;0,O16/N16*100,"-")</f>
        <v>10.968737159146174</v>
      </c>
      <c r="Q16" s="28">
        <f t="shared" ref="Q16:R16" si="33">SUM(Q11:Q13)</f>
        <v>28049</v>
      </c>
      <c r="R16" s="28">
        <f t="shared" si="33"/>
        <v>19390.98</v>
      </c>
      <c r="S16" s="20">
        <f t="shared" ref="S16:S21" si="34">IF(Q16&gt;0,R16/Q16*100,"-")</f>
        <v>69.132518093336657</v>
      </c>
      <c r="T16" s="28">
        <f t="shared" ref="T16:U16" si="35">SUM(T11:T13)</f>
        <v>4555457.0699999994</v>
      </c>
      <c r="U16" s="28">
        <f t="shared" si="35"/>
        <v>4533822.8499999996</v>
      </c>
      <c r="V16" s="20">
        <f t="shared" ref="V16:V21" si="36">IF(T16&gt;0,U16/T16*100,"-")</f>
        <v>99.525092220877852</v>
      </c>
      <c r="W16" s="28">
        <f t="shared" ref="W16:X16" si="37">SUM(W11:W13)</f>
        <v>3721203.54</v>
      </c>
      <c r="X16" s="28">
        <f t="shared" si="37"/>
        <v>2236950.21</v>
      </c>
      <c r="Y16" s="20">
        <f t="shared" si="7"/>
        <v>60.11362146559712</v>
      </c>
      <c r="Z16" s="13">
        <f t="shared" si="8"/>
        <v>-18.313278276596719</v>
      </c>
      <c r="AA16" s="13">
        <f t="shared" si="8"/>
        <v>-50.660837796077537</v>
      </c>
    </row>
    <row r="17" spans="1:27" x14ac:dyDescent="0.3">
      <c r="A17" t="s">
        <v>34</v>
      </c>
      <c r="B17" s="28">
        <v>904660</v>
      </c>
      <c r="C17" s="28">
        <v>904660</v>
      </c>
      <c r="D17" s="20">
        <f t="shared" si="0"/>
        <v>100</v>
      </c>
      <c r="E17" s="28">
        <v>2400000</v>
      </c>
      <c r="F17" s="28">
        <v>0</v>
      </c>
      <c r="G17" s="20">
        <f t="shared" si="1"/>
        <v>0</v>
      </c>
      <c r="H17" s="28">
        <v>450000</v>
      </c>
      <c r="I17" s="28">
        <v>0</v>
      </c>
      <c r="J17" s="20">
        <f t="shared" si="28"/>
        <v>0</v>
      </c>
      <c r="K17" s="28">
        <v>1400000</v>
      </c>
      <c r="L17" s="28">
        <v>0</v>
      </c>
      <c r="M17" s="20">
        <f t="shared" si="30"/>
        <v>0</v>
      </c>
      <c r="N17" s="28">
        <v>5700000</v>
      </c>
      <c r="O17" s="28">
        <v>5000000</v>
      </c>
      <c r="P17" s="20">
        <f t="shared" si="32"/>
        <v>87.719298245614027</v>
      </c>
      <c r="Q17" s="28">
        <v>0</v>
      </c>
      <c r="R17" s="28">
        <v>0</v>
      </c>
      <c r="S17" s="20" t="str">
        <f t="shared" si="34"/>
        <v>-</v>
      </c>
      <c r="T17" s="28">
        <v>0</v>
      </c>
      <c r="U17" s="28">
        <v>0</v>
      </c>
      <c r="V17" s="20" t="str">
        <f t="shared" si="36"/>
        <v>-</v>
      </c>
      <c r="W17" s="28">
        <v>0</v>
      </c>
      <c r="X17" s="28">
        <v>0</v>
      </c>
      <c r="Y17" s="20" t="str">
        <f t="shared" si="7"/>
        <v>-</v>
      </c>
      <c r="Z17" s="13" t="str">
        <f t="shared" si="8"/>
        <v>-</v>
      </c>
      <c r="AA17" s="13" t="str">
        <f t="shared" si="8"/>
        <v>-</v>
      </c>
    </row>
    <row r="18" spans="1:27" x14ac:dyDescent="0.3">
      <c r="A18" t="s">
        <v>35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28"/>
        <v>-</v>
      </c>
      <c r="K18" s="28">
        <v>0</v>
      </c>
      <c r="L18" s="28">
        <v>0</v>
      </c>
      <c r="M18" s="20" t="str">
        <f t="shared" si="30"/>
        <v>-</v>
      </c>
      <c r="N18" s="28">
        <v>0</v>
      </c>
      <c r="O18" s="28">
        <v>0</v>
      </c>
      <c r="P18" s="20" t="str">
        <f t="shared" si="32"/>
        <v>-</v>
      </c>
      <c r="Q18" s="28">
        <v>0</v>
      </c>
      <c r="R18" s="28">
        <v>0</v>
      </c>
      <c r="S18" s="20" t="str">
        <f t="shared" si="34"/>
        <v>-</v>
      </c>
      <c r="T18" s="28">
        <v>0</v>
      </c>
      <c r="U18" s="28">
        <v>0</v>
      </c>
      <c r="V18" s="20" t="str">
        <f t="shared" si="36"/>
        <v>-</v>
      </c>
      <c r="W18" s="28">
        <v>0</v>
      </c>
      <c r="X18" s="28">
        <v>0</v>
      </c>
      <c r="Y18" s="20" t="str">
        <f t="shared" si="7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28">
        <v>94179331.629999995</v>
      </c>
      <c r="C19" s="28">
        <v>82632980.569999993</v>
      </c>
      <c r="D19" s="20">
        <f t="shared" si="0"/>
        <v>87.740037160847706</v>
      </c>
      <c r="E19" s="28">
        <v>125704973.87</v>
      </c>
      <c r="F19" s="28">
        <v>113518793.55</v>
      </c>
      <c r="G19" s="20">
        <f t="shared" si="1"/>
        <v>90.305729403672956</v>
      </c>
      <c r="H19" s="28">
        <v>46710695.700000003</v>
      </c>
      <c r="I19" s="28">
        <v>44547808.759999998</v>
      </c>
      <c r="J19" s="20">
        <f t="shared" si="28"/>
        <v>95.36961094758432</v>
      </c>
      <c r="K19" s="28">
        <v>51471673.600000001</v>
      </c>
      <c r="L19" s="28">
        <v>47592460.350000001</v>
      </c>
      <c r="M19" s="20">
        <f t="shared" si="30"/>
        <v>92.463401753464652</v>
      </c>
      <c r="N19" s="28">
        <v>48077289.909999996</v>
      </c>
      <c r="O19" s="28">
        <v>46921627.060000002</v>
      </c>
      <c r="P19" s="20">
        <f t="shared" si="32"/>
        <v>97.59623961299944</v>
      </c>
      <c r="Q19" s="28">
        <v>49192902.409999996</v>
      </c>
      <c r="R19" s="28">
        <v>46899461.229999997</v>
      </c>
      <c r="S19" s="20">
        <f t="shared" si="34"/>
        <v>95.337861627099713</v>
      </c>
      <c r="T19" s="28">
        <v>49508266</v>
      </c>
      <c r="U19" s="28">
        <v>47515902.18</v>
      </c>
      <c r="V19" s="20">
        <f t="shared" si="36"/>
        <v>95.975694604210133</v>
      </c>
      <c r="W19" s="1">
        <v>55328272.009999998</v>
      </c>
      <c r="X19" s="1">
        <v>54447439.890000001</v>
      </c>
      <c r="Y19" s="20">
        <f t="shared" si="7"/>
        <v>98.407989102134266</v>
      </c>
      <c r="Z19" s="13">
        <f t="shared" si="8"/>
        <v>11.755624828387241</v>
      </c>
      <c r="AA19" s="13">
        <f t="shared" si="8"/>
        <v>14.587827215701196</v>
      </c>
    </row>
    <row r="20" spans="1:27" x14ac:dyDescent="0.3">
      <c r="A20" t="s">
        <v>37</v>
      </c>
      <c r="B20" s="28">
        <f t="shared" ref="B20:C20" si="38">B14+B15+B16+B17+B18+B19</f>
        <v>492594465.48000002</v>
      </c>
      <c r="C20" s="28">
        <f t="shared" si="38"/>
        <v>369402093.78999996</v>
      </c>
      <c r="D20" s="20">
        <f t="shared" si="0"/>
        <v>74.991117374825265</v>
      </c>
      <c r="E20" s="28">
        <f t="shared" ref="E20:F20" si="39">E14+E15+E16+E17+E18+E19</f>
        <v>516982570.81</v>
      </c>
      <c r="F20" s="28">
        <f t="shared" si="39"/>
        <v>426702795.17000002</v>
      </c>
      <c r="G20" s="20">
        <f t="shared" si="1"/>
        <v>82.537172288313116</v>
      </c>
      <c r="H20" s="28">
        <f t="shared" ref="H20:I20" si="40">H14+H15+H16+H17+H18+H19</f>
        <v>493334842.43000001</v>
      </c>
      <c r="I20" s="28">
        <f t="shared" si="40"/>
        <v>397185293.67999995</v>
      </c>
      <c r="J20" s="20">
        <f t="shared" si="28"/>
        <v>80.510286223369093</v>
      </c>
      <c r="K20" s="28">
        <f t="shared" ref="K20:L20" si="41">K14+K15+K16+K17+K18+K19</f>
        <v>445730813.22000003</v>
      </c>
      <c r="L20" s="28">
        <f t="shared" si="41"/>
        <v>380278515.86000001</v>
      </c>
      <c r="M20" s="20">
        <f t="shared" si="30"/>
        <v>85.315734201284712</v>
      </c>
      <c r="N20" s="28">
        <f t="shared" ref="N20:O20" si="42">N14+N15+N16+N17+N18+N19</f>
        <v>442326875.98000002</v>
      </c>
      <c r="O20" s="28">
        <f t="shared" si="42"/>
        <v>381452489.12</v>
      </c>
      <c r="P20" s="20">
        <f t="shared" si="32"/>
        <v>86.237692040500718</v>
      </c>
      <c r="Q20" s="28">
        <f t="shared" ref="Q20:R20" si="43">Q14+Q15+Q16+Q17+Q18+Q19</f>
        <v>407832998.90999997</v>
      </c>
      <c r="R20" s="28">
        <f t="shared" si="43"/>
        <v>359742994.43000001</v>
      </c>
      <c r="S20" s="20">
        <f t="shared" si="34"/>
        <v>88.208407704004259</v>
      </c>
      <c r="T20" s="28">
        <f t="shared" ref="T20:U20" si="44">T14+T15+T16+T17+T18+T19</f>
        <v>471328703.57999998</v>
      </c>
      <c r="U20" s="28">
        <f t="shared" si="44"/>
        <v>411642719.07000005</v>
      </c>
      <c r="V20" s="20">
        <f t="shared" si="36"/>
        <v>87.336654004593356</v>
      </c>
      <c r="W20" s="28">
        <f t="shared" ref="W20:X20" si="45">W14+W15+W16+W17+W18+W19</f>
        <v>484871876.5</v>
      </c>
      <c r="X20" s="28">
        <f t="shared" si="45"/>
        <v>408505017.89999998</v>
      </c>
      <c r="Y20" s="20">
        <f t="shared" si="7"/>
        <v>84.250095272333255</v>
      </c>
      <c r="Z20" s="13">
        <f t="shared" si="8"/>
        <v>2.8734029600005613</v>
      </c>
      <c r="AA20" s="13">
        <f t="shared" si="8"/>
        <v>-0.76223895738733916</v>
      </c>
    </row>
    <row r="21" spans="1:27" x14ac:dyDescent="0.3">
      <c r="A21" t="s">
        <v>38</v>
      </c>
      <c r="B21" s="28">
        <f t="shared" ref="B21:C21" si="46">B20-B19</f>
        <v>398415133.85000002</v>
      </c>
      <c r="C21" s="28">
        <f t="shared" si="46"/>
        <v>286769113.21999997</v>
      </c>
      <c r="D21" s="20">
        <f t="shared" si="0"/>
        <v>71.977464924303334</v>
      </c>
      <c r="E21" s="28">
        <f t="shared" ref="E21:F21" si="47">E20-E19</f>
        <v>391277596.94</v>
      </c>
      <c r="F21" s="28">
        <f t="shared" si="47"/>
        <v>313184001.62</v>
      </c>
      <c r="G21" s="20">
        <f t="shared" si="1"/>
        <v>80.04138342426613</v>
      </c>
      <c r="H21" s="28">
        <f t="shared" ref="H21:I21" si="48">H20-H19</f>
        <v>446624146.73000002</v>
      </c>
      <c r="I21" s="28">
        <f t="shared" si="48"/>
        <v>352637484.91999996</v>
      </c>
      <c r="J21" s="20">
        <f t="shared" si="28"/>
        <v>78.956206802043255</v>
      </c>
      <c r="K21" s="28">
        <f t="shared" ref="K21:L21" si="49">K20-K19</f>
        <v>394259139.62</v>
      </c>
      <c r="L21" s="28">
        <f t="shared" si="49"/>
        <v>332686055.50999999</v>
      </c>
      <c r="M21" s="20">
        <f t="shared" si="30"/>
        <v>84.382585481887318</v>
      </c>
      <c r="N21" s="28">
        <f t="shared" ref="N21:O21" si="50">N20-N19</f>
        <v>394249586.07000005</v>
      </c>
      <c r="O21" s="28">
        <f t="shared" si="50"/>
        <v>334530862.06</v>
      </c>
      <c r="P21" s="20">
        <f t="shared" si="32"/>
        <v>84.85255885610573</v>
      </c>
      <c r="Q21" s="28">
        <f t="shared" ref="Q21:R21" si="51">Q20-Q19</f>
        <v>358640096.5</v>
      </c>
      <c r="R21" s="28">
        <f t="shared" si="51"/>
        <v>312843533.19999999</v>
      </c>
      <c r="S21" s="20">
        <f t="shared" si="34"/>
        <v>87.23049548922927</v>
      </c>
      <c r="T21" s="28">
        <f t="shared" ref="T21:U21" si="52">T20-T19</f>
        <v>421820437.57999998</v>
      </c>
      <c r="U21" s="28">
        <f t="shared" si="52"/>
        <v>364126816.89000005</v>
      </c>
      <c r="V21" s="20">
        <f t="shared" si="36"/>
        <v>86.322706168295099</v>
      </c>
      <c r="W21" s="28">
        <f t="shared" ref="W21:X21" si="53">W20-W19</f>
        <v>429543604.49000001</v>
      </c>
      <c r="X21" s="28">
        <f t="shared" si="53"/>
        <v>354057578.00999999</v>
      </c>
      <c r="Y21" s="20">
        <f t="shared" si="7"/>
        <v>82.426457828507282</v>
      </c>
      <c r="Z21" s="13">
        <f t="shared" si="8"/>
        <v>1.8309133986746104</v>
      </c>
      <c r="AA21" s="13">
        <f t="shared" si="8"/>
        <v>-2.7653109886278742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06"/>
      <c r="K22" s="12" t="s">
        <v>75</v>
      </c>
      <c r="L22" s="12" t="s">
        <v>76</v>
      </c>
      <c r="M22" s="110"/>
      <c r="N22" s="12" t="s">
        <v>75</v>
      </c>
      <c r="O22" s="12" t="s">
        <v>76</v>
      </c>
      <c r="P22" s="120"/>
      <c r="Q22" s="12" t="s">
        <v>75</v>
      </c>
      <c r="R22" s="12" t="s">
        <v>76</v>
      </c>
      <c r="S22" s="124"/>
      <c r="T22" s="12" t="s">
        <v>75</v>
      </c>
      <c r="U22" s="12" t="s">
        <v>76</v>
      </c>
      <c r="V22" s="130"/>
      <c r="W22" s="12" t="s">
        <v>75</v>
      </c>
      <c r="X22" s="12" t="s">
        <v>76</v>
      </c>
      <c r="Y22" s="18"/>
    </row>
    <row r="23" spans="1:27" x14ac:dyDescent="0.3">
      <c r="A23" s="5" t="s">
        <v>39</v>
      </c>
      <c r="B23" s="27">
        <v>98662095.790000007</v>
      </c>
      <c r="C23" s="27">
        <v>96817703.150000006</v>
      </c>
      <c r="D23" s="20">
        <f>IF(B23&gt;0,C23/B23*100,"-")</f>
        <v>98.130596532303798</v>
      </c>
      <c r="E23" s="27">
        <v>98760056.489999995</v>
      </c>
      <c r="F23" s="27">
        <v>96042830.519999996</v>
      </c>
      <c r="G23" s="20">
        <f>IF(E23&gt;0,F23/E23*100,"-")</f>
        <v>97.248658955278003</v>
      </c>
      <c r="H23" s="27">
        <v>98047168.269999996</v>
      </c>
      <c r="I23" s="27">
        <v>96861889.469999999</v>
      </c>
      <c r="J23" s="20">
        <f>IF(H23&gt;0,I23/H23*100,"-")</f>
        <v>98.791113684450309</v>
      </c>
      <c r="K23" s="27">
        <v>99376418.909999996</v>
      </c>
      <c r="L23" s="27">
        <v>98464724.370000005</v>
      </c>
      <c r="M23" s="20">
        <f>IF(K23&gt;0,L23/K23*100,"-")</f>
        <v>99.082584631243691</v>
      </c>
      <c r="N23" s="27">
        <v>96338755.650000006</v>
      </c>
      <c r="O23" s="27">
        <v>94423109.340000004</v>
      </c>
      <c r="P23" s="20">
        <f>IF(N23&gt;0,O23/N23*100,"-")</f>
        <v>98.011551740444347</v>
      </c>
      <c r="Q23" s="1">
        <v>101639728.86</v>
      </c>
      <c r="R23" s="1">
        <v>94490004.849999994</v>
      </c>
      <c r="S23" s="20">
        <f>IF(Q23&gt;0,R23/Q23*100,"-")</f>
        <v>92.965620736898913</v>
      </c>
      <c r="T23" s="1">
        <v>103137145.26000001</v>
      </c>
      <c r="U23" s="1">
        <v>93071740.819999993</v>
      </c>
      <c r="V23" s="20">
        <f>IF(T23&gt;0,U23/T23*100,"-")</f>
        <v>90.240757183431839</v>
      </c>
      <c r="W23" s="1">
        <v>109531274.23</v>
      </c>
      <c r="X23" s="1">
        <v>100766677.01000001</v>
      </c>
      <c r="Y23" s="20">
        <f>IF(W23&gt;0,X23/W23*100,"-")</f>
        <v>91.99808704717924</v>
      </c>
      <c r="Z23" s="13">
        <f t="shared" si="8"/>
        <v>6.1996373410190273</v>
      </c>
      <c r="AA23" s="13">
        <f t="shared" si="8"/>
        <v>8.2677471402216014</v>
      </c>
    </row>
    <row r="24" spans="1:27" x14ac:dyDescent="0.3">
      <c r="A24" s="5" t="s">
        <v>40</v>
      </c>
      <c r="B24" s="27">
        <v>4502874.8899999997</v>
      </c>
      <c r="C24" s="27">
        <v>3914718.03</v>
      </c>
      <c r="D24" s="20">
        <f t="shared" ref="D24:D55" si="54">IF(B24&gt;0,C24/B24*100,"-")</f>
        <v>86.938192280087975</v>
      </c>
      <c r="E24" s="27">
        <v>4430283.25</v>
      </c>
      <c r="F24" s="27">
        <v>3669096.38</v>
      </c>
      <c r="G24" s="20">
        <f t="shared" ref="G24:G55" si="55">IF(E24&gt;0,F24/E24*100,"-")</f>
        <v>82.818550710047717</v>
      </c>
      <c r="H24" s="27">
        <v>4961194.51</v>
      </c>
      <c r="I24" s="27">
        <v>3789318.9</v>
      </c>
      <c r="J24" s="20">
        <f t="shared" ref="J24:J55" si="56">IF(H24&gt;0,I24/H24*100,"-")</f>
        <v>76.379164178346244</v>
      </c>
      <c r="K24" s="27">
        <v>4964358.1900000004</v>
      </c>
      <c r="L24" s="27">
        <v>3189492.36</v>
      </c>
      <c r="M24" s="20">
        <f t="shared" ref="M24:M55" si="57">IF(K24&gt;0,L24/K24*100,"-")</f>
        <v>64.247828982702799</v>
      </c>
      <c r="N24" s="27">
        <v>4941523.0999999996</v>
      </c>
      <c r="O24" s="27">
        <v>3445766.46</v>
      </c>
      <c r="P24" s="20">
        <f t="shared" ref="P24:P55" si="58">IF(N24&gt;0,O24/N24*100,"-")</f>
        <v>69.730858083006837</v>
      </c>
      <c r="Q24" s="1">
        <v>4229405</v>
      </c>
      <c r="R24" s="1">
        <v>3585111.92</v>
      </c>
      <c r="S24" s="20">
        <f t="shared" ref="S24:S55" si="59">IF(Q24&gt;0,R24/Q24*100,"-")</f>
        <v>84.766342310561413</v>
      </c>
      <c r="T24" s="1">
        <v>4633590.04</v>
      </c>
      <c r="U24" s="1">
        <v>3649240.46</v>
      </c>
      <c r="V24" s="20">
        <f t="shared" ref="V24:V55" si="60">IF(T24&gt;0,U24/T24*100,"-")</f>
        <v>78.756222032970356</v>
      </c>
      <c r="W24" s="1">
        <v>6744623.1900000004</v>
      </c>
      <c r="X24" s="1">
        <v>4554386.13</v>
      </c>
      <c r="Y24" s="20">
        <f t="shared" ref="Y24:Y55" si="61">IF(W24&gt;0,X24/W24*100,"-")</f>
        <v>67.526176062031425</v>
      </c>
      <c r="Z24" s="13">
        <f t="shared" si="8"/>
        <v>45.559342362536682</v>
      </c>
      <c r="AA24" s="13">
        <f t="shared" si="8"/>
        <v>24.803672981308551</v>
      </c>
    </row>
    <row r="25" spans="1:27" x14ac:dyDescent="0.3">
      <c r="A25" s="5" t="s">
        <v>41</v>
      </c>
      <c r="B25" s="27">
        <v>141372652.31</v>
      </c>
      <c r="C25" s="27">
        <v>106909656.33</v>
      </c>
      <c r="D25" s="20">
        <f t="shared" si="54"/>
        <v>75.622586535032227</v>
      </c>
      <c r="E25" s="27">
        <v>134341196.97</v>
      </c>
      <c r="F25" s="27">
        <v>99197429.200000003</v>
      </c>
      <c r="G25" s="20">
        <f t="shared" si="55"/>
        <v>73.839917640567094</v>
      </c>
      <c r="H25" s="27">
        <v>139375868.55000001</v>
      </c>
      <c r="I25" s="27">
        <v>108400095.48</v>
      </c>
      <c r="J25" s="20">
        <f t="shared" si="56"/>
        <v>77.775368582626854</v>
      </c>
      <c r="K25" s="27">
        <v>147179731.33000001</v>
      </c>
      <c r="L25" s="27">
        <v>104969104.09</v>
      </c>
      <c r="M25" s="20">
        <f t="shared" si="57"/>
        <v>71.320353109384897</v>
      </c>
      <c r="N25" s="27">
        <v>145706248.72</v>
      </c>
      <c r="O25" s="27">
        <v>106768279.15000001</v>
      </c>
      <c r="P25" s="20">
        <f t="shared" si="58"/>
        <v>73.276390057350184</v>
      </c>
      <c r="Q25" s="1">
        <v>155745033.18000001</v>
      </c>
      <c r="R25" s="1">
        <v>119227610.56</v>
      </c>
      <c r="S25" s="20">
        <f t="shared" si="59"/>
        <v>76.553074037490788</v>
      </c>
      <c r="T25" s="1">
        <v>167612251.34999999</v>
      </c>
      <c r="U25" s="1">
        <v>125171629.45</v>
      </c>
      <c r="V25" s="20">
        <f t="shared" si="60"/>
        <v>74.679284146492677</v>
      </c>
      <c r="W25" s="1">
        <v>175454878.97999999</v>
      </c>
      <c r="X25" s="1">
        <v>138699979.78999999</v>
      </c>
      <c r="Y25" s="20">
        <f t="shared" si="61"/>
        <v>79.051651681803804</v>
      </c>
      <c r="Z25" s="13">
        <f t="shared" si="8"/>
        <v>4.679030063037203</v>
      </c>
      <c r="AA25" s="13">
        <f t="shared" si="8"/>
        <v>10.807840721929665</v>
      </c>
    </row>
    <row r="26" spans="1:27" x14ac:dyDescent="0.3">
      <c r="A26" s="5" t="s">
        <v>42</v>
      </c>
      <c r="B26" s="27">
        <v>45068901.859999999</v>
      </c>
      <c r="C26" s="27">
        <v>35714802.280000001</v>
      </c>
      <c r="D26" s="20">
        <f t="shared" si="54"/>
        <v>79.244891279895953</v>
      </c>
      <c r="E26" s="27">
        <v>42524584.18</v>
      </c>
      <c r="F26" s="27">
        <v>30611479.039999999</v>
      </c>
      <c r="G26" s="20">
        <f t="shared" si="55"/>
        <v>71.985369475751568</v>
      </c>
      <c r="H26" s="27">
        <v>33237716.859999999</v>
      </c>
      <c r="I26" s="27">
        <v>25902978.23</v>
      </c>
      <c r="J26" s="20">
        <f t="shared" si="56"/>
        <v>77.932483567103844</v>
      </c>
      <c r="K26" s="27">
        <v>34096220.710000001</v>
      </c>
      <c r="L26" s="27">
        <v>28951948.5</v>
      </c>
      <c r="M26" s="20">
        <f t="shared" si="57"/>
        <v>84.912485598466205</v>
      </c>
      <c r="N26" s="27">
        <v>37246134.840000004</v>
      </c>
      <c r="O26" s="27">
        <v>28627044.609999999</v>
      </c>
      <c r="P26" s="20">
        <f t="shared" si="58"/>
        <v>76.859101576511392</v>
      </c>
      <c r="Q26" s="1">
        <v>36156246.850000001</v>
      </c>
      <c r="R26" s="1">
        <v>24259102.350000001</v>
      </c>
      <c r="S26" s="20">
        <f t="shared" si="59"/>
        <v>67.095189527394211</v>
      </c>
      <c r="T26" s="1">
        <v>38013824.100000001</v>
      </c>
      <c r="U26" s="1">
        <v>27214698.010000002</v>
      </c>
      <c r="V26" s="20">
        <f t="shared" si="60"/>
        <v>71.591581889810456</v>
      </c>
      <c r="W26" s="1">
        <v>38545663.359999999</v>
      </c>
      <c r="X26" s="1">
        <v>29462872.920000002</v>
      </c>
      <c r="Y26" s="20">
        <f t="shared" si="61"/>
        <v>76.436284530452568</v>
      </c>
      <c r="Z26" s="13">
        <f t="shared" si="8"/>
        <v>1.3990680300959326</v>
      </c>
      <c r="AA26" s="13">
        <f t="shared" si="8"/>
        <v>8.2608850157878351</v>
      </c>
    </row>
    <row r="27" spans="1:27" x14ac:dyDescent="0.3">
      <c r="A27" s="5" t="s">
        <v>43</v>
      </c>
      <c r="B27" s="27">
        <v>5947228.7800000003</v>
      </c>
      <c r="C27" s="27">
        <v>3729704.39</v>
      </c>
      <c r="D27" s="20">
        <f t="shared" si="54"/>
        <v>62.713316201029009</v>
      </c>
      <c r="E27" s="27">
        <v>5486793.5999999996</v>
      </c>
      <c r="F27" s="27">
        <v>5340240.0599999996</v>
      </c>
      <c r="G27" s="20">
        <f t="shared" si="55"/>
        <v>97.328976617600489</v>
      </c>
      <c r="H27" s="27">
        <v>4808314.83</v>
      </c>
      <c r="I27" s="27">
        <v>4793337.4000000004</v>
      </c>
      <c r="J27" s="20">
        <f t="shared" si="56"/>
        <v>99.688509789197809</v>
      </c>
      <c r="K27" s="27">
        <v>4498722.24</v>
      </c>
      <c r="L27" s="27">
        <v>4483763.37</v>
      </c>
      <c r="M27" s="20">
        <f t="shared" si="57"/>
        <v>99.66748625049587</v>
      </c>
      <c r="N27" s="27">
        <v>4217456.4800000004</v>
      </c>
      <c r="O27" s="27">
        <v>4083469.55</v>
      </c>
      <c r="P27" s="20">
        <f t="shared" si="58"/>
        <v>96.823039416401983</v>
      </c>
      <c r="Q27" s="1">
        <v>3863291.25</v>
      </c>
      <c r="R27" s="1">
        <v>3847954.41</v>
      </c>
      <c r="S27" s="20">
        <f t="shared" si="59"/>
        <v>99.603011033662042</v>
      </c>
      <c r="T27" s="1">
        <v>3733952.48</v>
      </c>
      <c r="U27" s="1">
        <v>3719187.47</v>
      </c>
      <c r="V27" s="20">
        <f t="shared" si="60"/>
        <v>99.604574239252244</v>
      </c>
      <c r="W27" s="1">
        <v>3667424.2</v>
      </c>
      <c r="X27" s="1">
        <v>3667424.2</v>
      </c>
      <c r="Y27" s="20">
        <f t="shared" si="61"/>
        <v>100</v>
      </c>
      <c r="Z27" s="13">
        <f t="shared" si="8"/>
        <v>-1.781712015788699</v>
      </c>
      <c r="AA27" s="13">
        <f t="shared" si="8"/>
        <v>-1.3917897502488614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54"/>
        <v>-</v>
      </c>
      <c r="E28" s="27">
        <v>777831.87</v>
      </c>
      <c r="F28" s="27">
        <v>777831.87</v>
      </c>
      <c r="G28" s="20">
        <f t="shared" si="55"/>
        <v>100</v>
      </c>
      <c r="H28" s="27">
        <v>0</v>
      </c>
      <c r="I28" s="27">
        <v>0</v>
      </c>
      <c r="J28" s="20" t="str">
        <f t="shared" si="56"/>
        <v>-</v>
      </c>
      <c r="K28" s="27">
        <v>81830.28</v>
      </c>
      <c r="L28" s="27">
        <v>81830.28</v>
      </c>
      <c r="M28" s="20">
        <f t="shared" si="57"/>
        <v>100</v>
      </c>
      <c r="N28" s="27">
        <v>0</v>
      </c>
      <c r="O28" s="27">
        <v>0</v>
      </c>
      <c r="P28" s="20" t="str">
        <f t="shared" si="58"/>
        <v>-</v>
      </c>
      <c r="Q28" s="28">
        <v>0</v>
      </c>
      <c r="R28" s="28">
        <v>0</v>
      </c>
      <c r="S28" s="20" t="str">
        <f t="shared" si="59"/>
        <v>-</v>
      </c>
      <c r="T28" s="28">
        <v>0</v>
      </c>
      <c r="U28" s="28">
        <v>0</v>
      </c>
      <c r="V28" s="20" t="str">
        <f t="shared" si="60"/>
        <v>-</v>
      </c>
      <c r="W28" s="1">
        <v>63344.38</v>
      </c>
      <c r="X28" s="1">
        <v>63344.38</v>
      </c>
      <c r="Y28" s="20">
        <f t="shared" si="61"/>
        <v>100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38162910.280000001</v>
      </c>
      <c r="C29" s="27">
        <v>466511.34</v>
      </c>
      <c r="D29" s="20">
        <f t="shared" si="54"/>
        <v>1.2224207655475483</v>
      </c>
      <c r="E29" s="27">
        <v>36894768.600000001</v>
      </c>
      <c r="F29" s="27">
        <v>36441092.18</v>
      </c>
      <c r="G29" s="20">
        <f t="shared" si="55"/>
        <v>98.770350276705614</v>
      </c>
      <c r="H29" s="27">
        <v>37079240.560000002</v>
      </c>
      <c r="I29" s="27">
        <v>404684.42</v>
      </c>
      <c r="J29" s="20">
        <f t="shared" si="56"/>
        <v>1.0914042841442704</v>
      </c>
      <c r="K29" s="27">
        <v>35515476.299999997</v>
      </c>
      <c r="L29" s="27">
        <v>34379270.640000001</v>
      </c>
      <c r="M29" s="20">
        <f t="shared" si="57"/>
        <v>96.800815367355781</v>
      </c>
      <c r="N29" s="27">
        <v>10828392.689999999</v>
      </c>
      <c r="O29" s="27">
        <v>6458585.75</v>
      </c>
      <c r="P29" s="20">
        <f t="shared" si="58"/>
        <v>59.644916239180091</v>
      </c>
      <c r="Q29" s="1">
        <v>10191452.970000001</v>
      </c>
      <c r="R29" s="1">
        <v>7278985.2400000002</v>
      </c>
      <c r="S29" s="20">
        <f t="shared" si="59"/>
        <v>71.42244841267221</v>
      </c>
      <c r="T29" s="1">
        <v>10807254.41</v>
      </c>
      <c r="U29" s="1">
        <v>7971241.5999999996</v>
      </c>
      <c r="V29" s="20">
        <f t="shared" si="60"/>
        <v>73.758248835376492</v>
      </c>
      <c r="W29" s="1">
        <v>16892815.52</v>
      </c>
      <c r="X29" s="1">
        <v>10356839.529999999</v>
      </c>
      <c r="Y29" s="20">
        <f t="shared" si="61"/>
        <v>61.309137708502007</v>
      </c>
      <c r="Z29" s="13">
        <f t="shared" si="8"/>
        <v>56.309964391779317</v>
      </c>
      <c r="AA29" s="13">
        <f t="shared" si="8"/>
        <v>29.927557709453936</v>
      </c>
    </row>
    <row r="30" spans="1:27" x14ac:dyDescent="0.3">
      <c r="A30" s="5" t="s">
        <v>46</v>
      </c>
      <c r="B30" s="27">
        <v>8065311.0800000001</v>
      </c>
      <c r="C30" s="27">
        <v>6691825.2699999996</v>
      </c>
      <c r="D30" s="20">
        <f t="shared" si="54"/>
        <v>82.970454625043416</v>
      </c>
      <c r="E30" s="27">
        <v>7848565.8499999996</v>
      </c>
      <c r="F30" s="27">
        <v>5770764.4800000004</v>
      </c>
      <c r="G30" s="20">
        <f t="shared" si="55"/>
        <v>73.526356155882937</v>
      </c>
      <c r="H30" s="27">
        <v>2904449.17</v>
      </c>
      <c r="I30" s="27">
        <v>2093199.5</v>
      </c>
      <c r="J30" s="20">
        <f t="shared" si="56"/>
        <v>72.06872551327865</v>
      </c>
      <c r="K30" s="27">
        <v>3572613.71</v>
      </c>
      <c r="L30" s="27">
        <v>2498161.33</v>
      </c>
      <c r="M30" s="20">
        <f t="shared" si="57"/>
        <v>69.925313307942275</v>
      </c>
      <c r="N30" s="27">
        <v>3922665.44</v>
      </c>
      <c r="O30" s="27">
        <v>1922785.22</v>
      </c>
      <c r="P30" s="20">
        <f t="shared" si="58"/>
        <v>49.017313594809146</v>
      </c>
      <c r="Q30" s="1">
        <v>2035697.76</v>
      </c>
      <c r="R30" s="1">
        <v>1567182.07</v>
      </c>
      <c r="S30" s="20">
        <f t="shared" si="59"/>
        <v>76.985007342150837</v>
      </c>
      <c r="T30" s="1">
        <v>2894698.92</v>
      </c>
      <c r="U30" s="1">
        <v>1625071.31</v>
      </c>
      <c r="V30" s="20">
        <f t="shared" si="60"/>
        <v>56.139562521410689</v>
      </c>
      <c r="W30" s="1">
        <v>4060470.58</v>
      </c>
      <c r="X30" s="1">
        <v>2774666.79</v>
      </c>
      <c r="Y30" s="20">
        <f t="shared" si="61"/>
        <v>68.333626246837625</v>
      </c>
      <c r="Z30" s="13">
        <f t="shared" si="8"/>
        <v>40.272639477130838</v>
      </c>
      <c r="AA30" s="13">
        <f t="shared" si="8"/>
        <v>70.741232887804784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54"/>
        <v>-</v>
      </c>
      <c r="E31" s="28">
        <v>0</v>
      </c>
      <c r="F31" s="28">
        <v>0</v>
      </c>
      <c r="G31" s="20" t="str">
        <f t="shared" si="55"/>
        <v>-</v>
      </c>
      <c r="H31" s="28">
        <v>0</v>
      </c>
      <c r="I31" s="28">
        <v>0</v>
      </c>
      <c r="J31" s="20" t="str">
        <f t="shared" si="56"/>
        <v>-</v>
      </c>
      <c r="K31" s="28">
        <v>0</v>
      </c>
      <c r="L31" s="28">
        <v>0</v>
      </c>
      <c r="M31" s="20" t="str">
        <f t="shared" si="57"/>
        <v>-</v>
      </c>
      <c r="N31" s="28">
        <v>0</v>
      </c>
      <c r="O31" s="28">
        <v>0</v>
      </c>
      <c r="P31" s="20" t="str">
        <f t="shared" si="58"/>
        <v>-</v>
      </c>
      <c r="Q31" s="28">
        <v>0</v>
      </c>
      <c r="R31" s="28">
        <v>0</v>
      </c>
      <c r="S31" s="20" t="str">
        <f t="shared" si="59"/>
        <v>-</v>
      </c>
      <c r="T31" s="28">
        <v>0</v>
      </c>
      <c r="U31" s="28">
        <v>0</v>
      </c>
      <c r="V31" s="20" t="str">
        <f t="shared" si="60"/>
        <v>-</v>
      </c>
      <c r="W31" s="28">
        <v>0</v>
      </c>
      <c r="X31" s="28">
        <v>0</v>
      </c>
      <c r="Y31" s="20" t="str">
        <f t="shared" si="6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27338594.879999999</v>
      </c>
      <c r="C32" s="27">
        <v>16815814.289999999</v>
      </c>
      <c r="D32" s="20">
        <f t="shared" si="54"/>
        <v>61.509431497161124</v>
      </c>
      <c r="E32" s="27">
        <v>25658242.93</v>
      </c>
      <c r="F32" s="27">
        <v>15428184.18</v>
      </c>
      <c r="G32" s="20">
        <f t="shared" si="55"/>
        <v>60.129542861101903</v>
      </c>
      <c r="H32" s="27">
        <v>98863699.489999995</v>
      </c>
      <c r="I32" s="27">
        <v>86631570.290000007</v>
      </c>
      <c r="J32" s="20">
        <f t="shared" si="56"/>
        <v>87.627279514016905</v>
      </c>
      <c r="K32" s="27">
        <v>40413531.280000001</v>
      </c>
      <c r="L32" s="27">
        <v>24196372.149999999</v>
      </c>
      <c r="M32" s="20">
        <f t="shared" si="57"/>
        <v>59.871957197599279</v>
      </c>
      <c r="N32" s="27">
        <v>48644485.149999999</v>
      </c>
      <c r="O32" s="27">
        <v>30424356.920000002</v>
      </c>
      <c r="P32" s="20">
        <f t="shared" si="58"/>
        <v>62.54430862241329</v>
      </c>
      <c r="Q32" s="1">
        <v>31616538.57</v>
      </c>
      <c r="R32" s="1">
        <v>22009545.91</v>
      </c>
      <c r="S32" s="20">
        <f t="shared" si="59"/>
        <v>69.614027675009964</v>
      </c>
      <c r="T32" s="1">
        <v>51871502.759999998</v>
      </c>
      <c r="U32" s="1">
        <v>39122044.229999997</v>
      </c>
      <c r="V32" s="20">
        <f t="shared" si="60"/>
        <v>75.421073515087031</v>
      </c>
      <c r="W32" s="1">
        <v>51719047.619999997</v>
      </c>
      <c r="X32" s="1">
        <v>35465501.369999997</v>
      </c>
      <c r="Y32" s="20">
        <f t="shared" si="61"/>
        <v>68.573384472542614</v>
      </c>
      <c r="Z32" s="13">
        <f t="shared" si="8"/>
        <v>-0.29390924088971815</v>
      </c>
      <c r="AA32" s="13">
        <f t="shared" si="8"/>
        <v>-9.3465025459892814</v>
      </c>
    </row>
    <row r="33" spans="1:27" x14ac:dyDescent="0.3">
      <c r="A33" s="5" t="s">
        <v>49</v>
      </c>
      <c r="B33" s="27">
        <v>351824.67</v>
      </c>
      <c r="C33" s="27">
        <v>242046.67</v>
      </c>
      <c r="D33" s="20">
        <f t="shared" si="54"/>
        <v>68.79752633605824</v>
      </c>
      <c r="E33" s="27">
        <v>652744.55000000005</v>
      </c>
      <c r="F33" s="27">
        <v>297198.84000000003</v>
      </c>
      <c r="G33" s="20">
        <f t="shared" si="55"/>
        <v>45.53065054315659</v>
      </c>
      <c r="H33" s="27">
        <v>199040</v>
      </c>
      <c r="I33" s="27">
        <v>123000</v>
      </c>
      <c r="J33" s="20">
        <f t="shared" si="56"/>
        <v>61.796623794212216</v>
      </c>
      <c r="K33" s="27">
        <v>213154</v>
      </c>
      <c r="L33" s="27">
        <v>122154</v>
      </c>
      <c r="M33" s="20">
        <f t="shared" si="57"/>
        <v>57.307861921427708</v>
      </c>
      <c r="N33" s="27">
        <v>0</v>
      </c>
      <c r="O33" s="27">
        <v>0</v>
      </c>
      <c r="P33" s="20" t="str">
        <f t="shared" si="58"/>
        <v>-</v>
      </c>
      <c r="Q33" s="1">
        <v>1428639.28</v>
      </c>
      <c r="R33" s="1">
        <v>353419.69</v>
      </c>
      <c r="S33" s="20">
        <f t="shared" si="59"/>
        <v>24.738203334294433</v>
      </c>
      <c r="T33" s="1">
        <v>2933801.95</v>
      </c>
      <c r="U33" s="1">
        <v>648224.4</v>
      </c>
      <c r="V33" s="20">
        <f t="shared" si="60"/>
        <v>22.095029284440962</v>
      </c>
      <c r="W33" s="1">
        <v>17821205.170000002</v>
      </c>
      <c r="X33" s="1">
        <v>11097328.119999999</v>
      </c>
      <c r="Y33" s="20">
        <f t="shared" si="61"/>
        <v>62.270357218495555</v>
      </c>
      <c r="Z33" s="13">
        <f t="shared" si="8"/>
        <v>507.44404270370057</v>
      </c>
      <c r="AA33" s="13">
        <f t="shared" si="8"/>
        <v>1611.9577911599749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54"/>
        <v>-</v>
      </c>
      <c r="E34" s="27">
        <v>0</v>
      </c>
      <c r="F34" s="27">
        <v>0</v>
      </c>
      <c r="G34" s="20" t="str">
        <f t="shared" si="55"/>
        <v>-</v>
      </c>
      <c r="H34" s="27">
        <v>20050</v>
      </c>
      <c r="I34" s="27">
        <v>20050</v>
      </c>
      <c r="J34" s="20">
        <f t="shared" si="56"/>
        <v>100</v>
      </c>
      <c r="K34" s="27">
        <v>0</v>
      </c>
      <c r="L34" s="27">
        <v>0</v>
      </c>
      <c r="M34" s="20" t="str">
        <f t="shared" si="57"/>
        <v>-</v>
      </c>
      <c r="N34" s="27">
        <v>0</v>
      </c>
      <c r="O34" s="27">
        <v>0</v>
      </c>
      <c r="P34" s="20" t="str">
        <f t="shared" si="58"/>
        <v>-</v>
      </c>
      <c r="Q34" s="28">
        <v>0</v>
      </c>
      <c r="R34" s="28">
        <v>0</v>
      </c>
      <c r="S34" s="20" t="str">
        <f t="shared" si="59"/>
        <v>-</v>
      </c>
      <c r="T34" s="28">
        <v>0</v>
      </c>
      <c r="U34" s="28">
        <v>0</v>
      </c>
      <c r="V34" s="20" t="str">
        <f t="shared" si="60"/>
        <v>-</v>
      </c>
      <c r="W34" s="28">
        <v>0</v>
      </c>
      <c r="X34" s="28">
        <v>0</v>
      </c>
      <c r="Y34" s="20" t="str">
        <f t="shared" si="61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0</v>
      </c>
      <c r="C35" s="27">
        <v>0</v>
      </c>
      <c r="D35" s="20" t="str">
        <f t="shared" si="54"/>
        <v>-</v>
      </c>
      <c r="E35" s="27">
        <v>209778.76</v>
      </c>
      <c r="F35" s="27">
        <v>187999.76</v>
      </c>
      <c r="G35" s="20">
        <f t="shared" si="55"/>
        <v>89.618110050798279</v>
      </c>
      <c r="H35" s="27">
        <v>1111400.44</v>
      </c>
      <c r="I35" s="27">
        <v>985079.93</v>
      </c>
      <c r="J35" s="20">
        <f t="shared" si="56"/>
        <v>88.634113731320824</v>
      </c>
      <c r="K35" s="27">
        <v>277346.90000000002</v>
      </c>
      <c r="L35" s="27">
        <v>229244.58</v>
      </c>
      <c r="M35" s="20">
        <f t="shared" si="57"/>
        <v>82.656261887188919</v>
      </c>
      <c r="N35" s="27">
        <v>228511.96</v>
      </c>
      <c r="O35" s="27">
        <v>147566.29</v>
      </c>
      <c r="P35" s="20">
        <f t="shared" si="58"/>
        <v>64.577053209818871</v>
      </c>
      <c r="Q35" s="1">
        <v>54822.13</v>
      </c>
      <c r="R35" s="1">
        <v>54822.13</v>
      </c>
      <c r="S35" s="20">
        <f t="shared" si="59"/>
        <v>100</v>
      </c>
      <c r="T35" s="1">
        <v>1680041.54</v>
      </c>
      <c r="U35" s="1">
        <v>1673905.83</v>
      </c>
      <c r="V35" s="20">
        <f t="shared" si="60"/>
        <v>99.634788196963271</v>
      </c>
      <c r="W35" s="1">
        <v>1420573.76</v>
      </c>
      <c r="X35" s="1">
        <v>1365990.19</v>
      </c>
      <c r="Y35" s="20">
        <f t="shared" si="61"/>
        <v>96.157639149972752</v>
      </c>
      <c r="Z35" s="13">
        <f t="shared" si="8"/>
        <v>-15.444128839814283</v>
      </c>
      <c r="AA35" s="13">
        <f t="shared" si="8"/>
        <v>-18.395039582364092</v>
      </c>
    </row>
    <row r="36" spans="1:27" x14ac:dyDescent="0.3">
      <c r="A36" s="5" t="s">
        <v>52</v>
      </c>
      <c r="B36" s="27">
        <v>5000</v>
      </c>
      <c r="C36" s="27">
        <v>5000</v>
      </c>
      <c r="D36" s="20">
        <f t="shared" si="54"/>
        <v>100</v>
      </c>
      <c r="E36" s="27">
        <v>5000</v>
      </c>
      <c r="F36" s="27">
        <v>0</v>
      </c>
      <c r="G36" s="20">
        <f t="shared" si="55"/>
        <v>0</v>
      </c>
      <c r="H36" s="27">
        <v>175075</v>
      </c>
      <c r="I36" s="27">
        <v>175075</v>
      </c>
      <c r="J36" s="20">
        <f t="shared" si="56"/>
        <v>100</v>
      </c>
      <c r="K36" s="27">
        <v>261968</v>
      </c>
      <c r="L36" s="27">
        <v>0</v>
      </c>
      <c r="M36" s="20">
        <f t="shared" si="57"/>
        <v>0</v>
      </c>
      <c r="N36" s="27">
        <v>500</v>
      </c>
      <c r="O36" s="27">
        <v>500</v>
      </c>
      <c r="P36" s="20">
        <f t="shared" si="58"/>
        <v>100</v>
      </c>
      <c r="Q36" s="1">
        <v>1109997.3700000001</v>
      </c>
      <c r="R36" s="1">
        <v>889064.35</v>
      </c>
      <c r="S36" s="20">
        <f t="shared" si="59"/>
        <v>80.096077164579214</v>
      </c>
      <c r="T36" s="27">
        <v>0</v>
      </c>
      <c r="U36" s="27">
        <v>0</v>
      </c>
      <c r="V36" s="20" t="str">
        <f t="shared" si="60"/>
        <v>-</v>
      </c>
      <c r="W36" s="1">
        <v>2282460.7000000002</v>
      </c>
      <c r="X36" s="1">
        <v>2282460.7000000002</v>
      </c>
      <c r="Y36" s="20">
        <f t="shared" si="61"/>
        <v>100</v>
      </c>
      <c r="Z36" s="13" t="str">
        <f t="shared" si="8"/>
        <v>-</v>
      </c>
      <c r="AA36" s="13" t="str">
        <f t="shared" si="8"/>
        <v>-</v>
      </c>
    </row>
    <row r="37" spans="1:27" x14ac:dyDescent="0.3">
      <c r="A37" s="5" t="s">
        <v>263</v>
      </c>
      <c r="B37" s="27">
        <v>74585.41</v>
      </c>
      <c r="C37" s="27">
        <v>74452.31</v>
      </c>
      <c r="D37" s="20">
        <f t="shared" si="54"/>
        <v>99.821546868214568</v>
      </c>
      <c r="E37" s="27">
        <v>85497.17</v>
      </c>
      <c r="F37" s="27">
        <v>85415.4</v>
      </c>
      <c r="G37" s="20">
        <f t="shared" si="55"/>
        <v>99.904359407451722</v>
      </c>
      <c r="H37" s="27">
        <v>61890.25</v>
      </c>
      <c r="I37" s="27">
        <v>61890.25</v>
      </c>
      <c r="J37" s="20">
        <f t="shared" si="56"/>
        <v>100</v>
      </c>
      <c r="K37" s="27">
        <v>50818.1</v>
      </c>
      <c r="L37" s="27">
        <v>50141.82</v>
      </c>
      <c r="M37" s="20">
        <f t="shared" si="57"/>
        <v>98.669214315371889</v>
      </c>
      <c r="N37" s="27">
        <v>92220.77</v>
      </c>
      <c r="O37" s="27">
        <v>88847.27</v>
      </c>
      <c r="P37" s="20">
        <f t="shared" si="58"/>
        <v>96.341930348228502</v>
      </c>
      <c r="Q37" s="1">
        <v>28049</v>
      </c>
      <c r="R37" s="1">
        <v>28049</v>
      </c>
      <c r="S37" s="20">
        <f t="shared" si="59"/>
        <v>100</v>
      </c>
      <c r="T37" s="1">
        <v>107160.83</v>
      </c>
      <c r="U37" s="1">
        <v>107160.83</v>
      </c>
      <c r="V37" s="20">
        <f t="shared" si="60"/>
        <v>100</v>
      </c>
      <c r="W37" s="1">
        <v>64596.63</v>
      </c>
      <c r="X37" s="1">
        <v>36199.71</v>
      </c>
      <c r="Y37" s="20">
        <f t="shared" si="61"/>
        <v>56.039626215794847</v>
      </c>
      <c r="Z37" s="13">
        <f t="shared" si="8"/>
        <v>-39.719923781852003</v>
      </c>
      <c r="AA37" s="13">
        <f t="shared" si="8"/>
        <v>-66.219270604753632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54"/>
        <v>-</v>
      </c>
      <c r="E38" s="27">
        <v>0</v>
      </c>
      <c r="F38" s="27">
        <v>0</v>
      </c>
      <c r="G38" s="20" t="str">
        <f t="shared" si="55"/>
        <v>-</v>
      </c>
      <c r="H38" s="27">
        <v>0</v>
      </c>
      <c r="I38" s="27">
        <v>0</v>
      </c>
      <c r="J38" s="20" t="str">
        <f t="shared" si="56"/>
        <v>-</v>
      </c>
      <c r="K38" s="27">
        <v>0</v>
      </c>
      <c r="L38" s="27">
        <v>0</v>
      </c>
      <c r="M38" s="20" t="str">
        <f t="shared" si="57"/>
        <v>-</v>
      </c>
      <c r="N38" s="27">
        <v>0</v>
      </c>
      <c r="O38" s="27">
        <v>0</v>
      </c>
      <c r="P38" s="20" t="str">
        <f t="shared" si="58"/>
        <v>-</v>
      </c>
      <c r="Q38" s="27">
        <v>0</v>
      </c>
      <c r="R38" s="27">
        <v>0</v>
      </c>
      <c r="S38" s="20" t="str">
        <f t="shared" si="59"/>
        <v>-</v>
      </c>
      <c r="T38" s="27">
        <v>0</v>
      </c>
      <c r="U38" s="27">
        <v>0</v>
      </c>
      <c r="V38" s="20" t="str">
        <f t="shared" si="60"/>
        <v>-</v>
      </c>
      <c r="W38" s="27">
        <v>0</v>
      </c>
      <c r="X38" s="27">
        <v>0</v>
      </c>
      <c r="Y38" s="20" t="str">
        <f t="shared" si="61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21669791.98</v>
      </c>
      <c r="C39" s="27">
        <v>21669791.98</v>
      </c>
      <c r="D39" s="20">
        <f t="shared" si="54"/>
        <v>100</v>
      </c>
      <c r="E39" s="27">
        <v>0</v>
      </c>
      <c r="F39" s="27">
        <v>0</v>
      </c>
      <c r="G39" s="20" t="str">
        <f t="shared" si="55"/>
        <v>-</v>
      </c>
      <c r="H39" s="27">
        <v>0</v>
      </c>
      <c r="I39" s="27">
        <v>0</v>
      </c>
      <c r="J39" s="20" t="str">
        <f t="shared" si="56"/>
        <v>-</v>
      </c>
      <c r="K39" s="27">
        <v>0</v>
      </c>
      <c r="L39" s="27">
        <v>0</v>
      </c>
      <c r="M39" s="20" t="str">
        <f t="shared" si="57"/>
        <v>-</v>
      </c>
      <c r="N39" s="27">
        <v>5000000</v>
      </c>
      <c r="O39" s="27">
        <v>5000000</v>
      </c>
      <c r="P39" s="20">
        <f t="shared" si="58"/>
        <v>100</v>
      </c>
      <c r="Q39" s="27">
        <v>0</v>
      </c>
      <c r="R39" s="27">
        <v>0</v>
      </c>
      <c r="S39" s="20" t="str">
        <f t="shared" si="59"/>
        <v>-</v>
      </c>
      <c r="T39" s="27">
        <v>0</v>
      </c>
      <c r="U39" s="27">
        <v>0</v>
      </c>
      <c r="V39" s="20" t="str">
        <f t="shared" si="60"/>
        <v>-</v>
      </c>
      <c r="W39" s="27">
        <v>0</v>
      </c>
      <c r="X39" s="27">
        <v>0</v>
      </c>
      <c r="Y39" s="20" t="str">
        <f t="shared" si="61"/>
        <v>-</v>
      </c>
      <c r="Z39" s="13" t="str">
        <f t="shared" si="8"/>
        <v>-</v>
      </c>
      <c r="AA39" s="13" t="str">
        <f t="shared" si="8"/>
        <v>-</v>
      </c>
    </row>
    <row r="40" spans="1:27" x14ac:dyDescent="0.3">
      <c r="A40" s="5" t="s">
        <v>55</v>
      </c>
      <c r="B40" s="27">
        <v>4223293.34</v>
      </c>
      <c r="C40" s="27">
        <v>0</v>
      </c>
      <c r="D40" s="20">
        <f t="shared" si="54"/>
        <v>0</v>
      </c>
      <c r="E40" s="27">
        <v>4274453.9000000004</v>
      </c>
      <c r="F40" s="27">
        <v>0</v>
      </c>
      <c r="G40" s="20">
        <f t="shared" si="55"/>
        <v>0</v>
      </c>
      <c r="H40" s="27">
        <v>19327165.449999999</v>
      </c>
      <c r="I40" s="27">
        <v>19327165.449999999</v>
      </c>
      <c r="J40" s="20">
        <f t="shared" si="56"/>
        <v>100</v>
      </c>
      <c r="K40" s="27">
        <v>2281905.12</v>
      </c>
      <c r="L40" s="27">
        <v>2281905.12</v>
      </c>
      <c r="M40" s="20">
        <f t="shared" si="57"/>
        <v>100</v>
      </c>
      <c r="N40" s="27">
        <v>1126687.32</v>
      </c>
      <c r="O40" s="27">
        <v>1126687.32</v>
      </c>
      <c r="P40" s="20">
        <f t="shared" si="58"/>
        <v>100</v>
      </c>
      <c r="Q40" s="27">
        <v>0</v>
      </c>
      <c r="R40" s="27">
        <v>0</v>
      </c>
      <c r="S40" s="20" t="str">
        <f t="shared" si="59"/>
        <v>-</v>
      </c>
      <c r="T40" s="27">
        <v>0</v>
      </c>
      <c r="U40" s="27">
        <v>0</v>
      </c>
      <c r="V40" s="20" t="str">
        <f t="shared" si="60"/>
        <v>-</v>
      </c>
      <c r="W40" s="27">
        <v>0</v>
      </c>
      <c r="X40" s="27">
        <v>0</v>
      </c>
      <c r="Y40" s="20" t="str">
        <f t="shared" si="61"/>
        <v>-</v>
      </c>
      <c r="Z40" s="13" t="str">
        <f t="shared" si="8"/>
        <v>-</v>
      </c>
      <c r="AA40" s="13" t="str">
        <f t="shared" si="8"/>
        <v>-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54"/>
        <v>-</v>
      </c>
      <c r="E41" s="27">
        <v>0</v>
      </c>
      <c r="F41" s="27">
        <v>0</v>
      </c>
      <c r="G41" s="20" t="str">
        <f t="shared" si="55"/>
        <v>-</v>
      </c>
      <c r="H41" s="27">
        <v>0</v>
      </c>
      <c r="I41" s="27">
        <v>0</v>
      </c>
      <c r="J41" s="20" t="str">
        <f t="shared" si="56"/>
        <v>-</v>
      </c>
      <c r="K41" s="27">
        <v>0</v>
      </c>
      <c r="L41" s="27">
        <v>0</v>
      </c>
      <c r="M41" s="20" t="str">
        <f t="shared" si="57"/>
        <v>-</v>
      </c>
      <c r="N41" s="27">
        <v>0</v>
      </c>
      <c r="O41" s="27">
        <v>0</v>
      </c>
      <c r="P41" s="20" t="str">
        <f t="shared" si="58"/>
        <v>-</v>
      </c>
      <c r="Q41" s="27">
        <v>0</v>
      </c>
      <c r="R41" s="27">
        <v>0</v>
      </c>
      <c r="S41" s="20" t="str">
        <f t="shared" si="59"/>
        <v>-</v>
      </c>
      <c r="T41" s="27">
        <v>0</v>
      </c>
      <c r="U41" s="27">
        <v>0</v>
      </c>
      <c r="V41" s="20" t="str">
        <f t="shared" si="60"/>
        <v>-</v>
      </c>
      <c r="W41" s="27">
        <v>0</v>
      </c>
      <c r="X41" s="27">
        <v>0</v>
      </c>
      <c r="Y41" s="20" t="str">
        <f t="shared" si="61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12484026.130000001</v>
      </c>
      <c r="C42" s="27">
        <v>0</v>
      </c>
      <c r="D42" s="20">
        <f t="shared" si="54"/>
        <v>0</v>
      </c>
      <c r="E42" s="27">
        <v>18053289.710000001</v>
      </c>
      <c r="F42" s="27">
        <v>0</v>
      </c>
      <c r="G42" s="20">
        <f t="shared" si="55"/>
        <v>0</v>
      </c>
      <c r="H42" s="27">
        <v>9243470.75</v>
      </c>
      <c r="I42" s="27">
        <v>9243470.75</v>
      </c>
      <c r="J42" s="20">
        <f t="shared" si="56"/>
        <v>100</v>
      </c>
      <c r="K42" s="27">
        <v>9836960.1300000008</v>
      </c>
      <c r="L42" s="27">
        <v>9836960.1300000008</v>
      </c>
      <c r="M42" s="20">
        <f t="shared" si="57"/>
        <v>100</v>
      </c>
      <c r="N42" s="27">
        <v>2790172.84</v>
      </c>
      <c r="O42" s="27">
        <v>2790172.84</v>
      </c>
      <c r="P42" s="20">
        <f t="shared" si="58"/>
        <v>100</v>
      </c>
      <c r="Q42" s="27">
        <v>4863835.0599999996</v>
      </c>
      <c r="R42" s="27">
        <v>4863835.0599999996</v>
      </c>
      <c r="S42" s="20">
        <f t="shared" si="59"/>
        <v>100</v>
      </c>
      <c r="T42" s="27">
        <v>4679925.16</v>
      </c>
      <c r="U42" s="27">
        <v>4679925.16</v>
      </c>
      <c r="V42" s="20">
        <f t="shared" si="60"/>
        <v>100</v>
      </c>
      <c r="W42" s="1">
        <v>11822480.779999999</v>
      </c>
      <c r="X42" s="1">
        <v>11822480.779999999</v>
      </c>
      <c r="Y42" s="20">
        <f t="shared" si="61"/>
        <v>100</v>
      </c>
      <c r="Z42" s="13">
        <f t="shared" si="8"/>
        <v>152.62115046301292</v>
      </c>
      <c r="AA42" s="13">
        <f t="shared" si="8"/>
        <v>152.62115046301292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54"/>
        <v>-</v>
      </c>
      <c r="E43" s="27">
        <v>0</v>
      </c>
      <c r="F43" s="27">
        <v>0</v>
      </c>
      <c r="G43" s="20" t="str">
        <f t="shared" si="55"/>
        <v>-</v>
      </c>
      <c r="H43" s="27">
        <v>0</v>
      </c>
      <c r="I43" s="27">
        <v>0</v>
      </c>
      <c r="J43" s="20" t="str">
        <f t="shared" si="56"/>
        <v>-</v>
      </c>
      <c r="K43" s="27">
        <v>0</v>
      </c>
      <c r="L43" s="27">
        <v>0</v>
      </c>
      <c r="M43" s="20" t="str">
        <f t="shared" si="57"/>
        <v>-</v>
      </c>
      <c r="N43" s="27">
        <v>0</v>
      </c>
      <c r="O43" s="27">
        <v>0</v>
      </c>
      <c r="P43" s="20" t="str">
        <f t="shared" si="58"/>
        <v>-</v>
      </c>
      <c r="Q43" s="27">
        <v>0</v>
      </c>
      <c r="R43" s="27">
        <v>0</v>
      </c>
      <c r="S43" s="20" t="str">
        <f t="shared" si="59"/>
        <v>-</v>
      </c>
      <c r="T43" s="27">
        <v>0</v>
      </c>
      <c r="U43" s="27">
        <v>0</v>
      </c>
      <c r="V43" s="20" t="str">
        <f t="shared" si="60"/>
        <v>-</v>
      </c>
      <c r="W43" s="27">
        <v>0</v>
      </c>
      <c r="X43" s="27">
        <v>0</v>
      </c>
      <c r="Y43" s="20" t="str">
        <f t="shared" si="6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54"/>
        <v>-</v>
      </c>
      <c r="E44" s="27">
        <v>0</v>
      </c>
      <c r="F44" s="27">
        <v>0</v>
      </c>
      <c r="G44" s="20" t="str">
        <f t="shared" si="55"/>
        <v>-</v>
      </c>
      <c r="H44" s="27">
        <v>0</v>
      </c>
      <c r="I44" s="27">
        <v>0</v>
      </c>
      <c r="J44" s="20" t="str">
        <f t="shared" si="56"/>
        <v>-</v>
      </c>
      <c r="K44" s="27">
        <v>0</v>
      </c>
      <c r="L44" s="27">
        <v>0</v>
      </c>
      <c r="M44" s="20" t="str">
        <f t="shared" si="57"/>
        <v>-</v>
      </c>
      <c r="N44" s="27">
        <v>0</v>
      </c>
      <c r="O44" s="27">
        <v>0</v>
      </c>
      <c r="P44" s="20" t="str">
        <f t="shared" si="58"/>
        <v>-</v>
      </c>
      <c r="Q44" s="27">
        <v>0</v>
      </c>
      <c r="R44" s="27">
        <v>0</v>
      </c>
      <c r="S44" s="20" t="str">
        <f t="shared" si="59"/>
        <v>-</v>
      </c>
      <c r="T44" s="27">
        <v>0</v>
      </c>
      <c r="U44" s="27">
        <v>0</v>
      </c>
      <c r="V44" s="20" t="str">
        <f t="shared" si="60"/>
        <v>-</v>
      </c>
      <c r="W44" s="27">
        <v>0</v>
      </c>
      <c r="X44" s="27">
        <v>0</v>
      </c>
      <c r="Y44" s="20" t="str">
        <f t="shared" si="6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0</v>
      </c>
      <c r="C45" s="27">
        <v>0</v>
      </c>
      <c r="D45" s="20" t="str">
        <f t="shared" si="54"/>
        <v>-</v>
      </c>
      <c r="E45" s="27">
        <v>0</v>
      </c>
      <c r="F45" s="27">
        <v>0</v>
      </c>
      <c r="G45" s="20" t="str">
        <f t="shared" si="55"/>
        <v>-</v>
      </c>
      <c r="H45" s="27">
        <v>0</v>
      </c>
      <c r="I45" s="27">
        <v>0</v>
      </c>
      <c r="J45" s="20" t="str">
        <f t="shared" si="56"/>
        <v>-</v>
      </c>
      <c r="K45" s="27">
        <v>0</v>
      </c>
      <c r="L45" s="27">
        <v>0</v>
      </c>
      <c r="M45" s="20" t="str">
        <f t="shared" si="57"/>
        <v>-</v>
      </c>
      <c r="N45" s="27">
        <v>0</v>
      </c>
      <c r="O45" s="27">
        <v>0</v>
      </c>
      <c r="P45" s="20" t="str">
        <f t="shared" si="58"/>
        <v>-</v>
      </c>
      <c r="Q45" s="27">
        <v>0</v>
      </c>
      <c r="R45" s="27">
        <v>0</v>
      </c>
      <c r="S45" s="20" t="str">
        <f t="shared" si="59"/>
        <v>-</v>
      </c>
      <c r="T45" s="27">
        <v>0</v>
      </c>
      <c r="U45" s="27">
        <v>0</v>
      </c>
      <c r="V45" s="20" t="str">
        <f t="shared" si="60"/>
        <v>-</v>
      </c>
      <c r="W45" s="27">
        <v>0</v>
      </c>
      <c r="X45" s="27">
        <v>0</v>
      </c>
      <c r="Y45" s="20" t="str">
        <f t="shared" si="61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27">
        <v>89870871.099999994</v>
      </c>
      <c r="C46" s="27">
        <v>0</v>
      </c>
      <c r="D46" s="20">
        <f t="shared" si="54"/>
        <v>0</v>
      </c>
      <c r="E46" s="27">
        <v>53617900.170000002</v>
      </c>
      <c r="F46" s="27">
        <v>0</v>
      </c>
      <c r="G46" s="20">
        <f t="shared" si="55"/>
        <v>0</v>
      </c>
      <c r="H46" s="27">
        <v>42273715.240000002</v>
      </c>
      <c r="I46" s="27">
        <v>0</v>
      </c>
      <c r="J46" s="20">
        <f t="shared" si="56"/>
        <v>0</v>
      </c>
      <c r="K46" s="27">
        <v>47425654.079999998</v>
      </c>
      <c r="L46" s="27">
        <v>0</v>
      </c>
      <c r="M46" s="20">
        <f t="shared" si="57"/>
        <v>0</v>
      </c>
      <c r="N46" s="27">
        <v>44265652.899999999</v>
      </c>
      <c r="O46" s="27">
        <v>0</v>
      </c>
      <c r="P46" s="20">
        <f t="shared" si="58"/>
        <v>0</v>
      </c>
      <c r="Q46" s="27">
        <v>44616566.140000001</v>
      </c>
      <c r="R46" s="27">
        <v>0</v>
      </c>
      <c r="S46" s="20">
        <f t="shared" si="59"/>
        <v>0</v>
      </c>
      <c r="T46" s="27">
        <v>46328377.57</v>
      </c>
      <c r="U46" s="27">
        <v>0</v>
      </c>
      <c r="V46" s="20">
        <f t="shared" si="60"/>
        <v>0</v>
      </c>
      <c r="W46" s="1">
        <v>50874568.829999998</v>
      </c>
      <c r="X46" s="27">
        <v>0</v>
      </c>
      <c r="Y46" s="20">
        <f t="shared" si="61"/>
        <v>0</v>
      </c>
      <c r="Z46" s="13">
        <f t="shared" si="8"/>
        <v>9.8129731677542935</v>
      </c>
      <c r="AA46" s="13" t="str">
        <f t="shared" si="8"/>
        <v>-</v>
      </c>
    </row>
    <row r="47" spans="1:27" x14ac:dyDescent="0.3">
      <c r="A47" s="5" t="s">
        <v>62</v>
      </c>
      <c r="B47" s="27">
        <v>4308460.53</v>
      </c>
      <c r="C47" s="27">
        <v>0</v>
      </c>
      <c r="D47" s="20">
        <f t="shared" si="54"/>
        <v>0</v>
      </c>
      <c r="E47" s="27">
        <v>72087073.700000003</v>
      </c>
      <c r="F47" s="27">
        <v>0</v>
      </c>
      <c r="G47" s="20">
        <f t="shared" si="55"/>
        <v>0</v>
      </c>
      <c r="H47" s="27">
        <v>4436980.46</v>
      </c>
      <c r="I47" s="27">
        <v>0</v>
      </c>
      <c r="J47" s="20">
        <f t="shared" si="56"/>
        <v>0</v>
      </c>
      <c r="K47" s="27">
        <v>4046019.52</v>
      </c>
      <c r="L47" s="27">
        <v>0</v>
      </c>
      <c r="M47" s="20">
        <f t="shared" si="57"/>
        <v>0</v>
      </c>
      <c r="N47" s="27">
        <v>3811637.01</v>
      </c>
      <c r="O47" s="27">
        <v>0</v>
      </c>
      <c r="P47" s="20">
        <f t="shared" si="58"/>
        <v>0</v>
      </c>
      <c r="Q47" s="27">
        <v>4576336.2699999996</v>
      </c>
      <c r="R47" s="27">
        <v>0</v>
      </c>
      <c r="S47" s="20">
        <f t="shared" si="59"/>
        <v>0</v>
      </c>
      <c r="T47" s="27">
        <v>3179888.43</v>
      </c>
      <c r="U47" s="27">
        <v>0</v>
      </c>
      <c r="V47" s="20">
        <f t="shared" si="60"/>
        <v>0</v>
      </c>
      <c r="W47" s="1">
        <v>4453703.18</v>
      </c>
      <c r="X47" s="27">
        <v>0</v>
      </c>
      <c r="Y47" s="20">
        <f t="shared" si="61"/>
        <v>0</v>
      </c>
      <c r="Z47" s="13">
        <f t="shared" si="8"/>
        <v>40.058473057811</v>
      </c>
      <c r="AA47" s="13" t="str">
        <f t="shared" si="8"/>
        <v>-</v>
      </c>
    </row>
    <row r="48" spans="1:27" x14ac:dyDescent="0.3">
      <c r="A48" s="5" t="s">
        <v>63</v>
      </c>
      <c r="B48" s="27">
        <f t="shared" ref="B48:C48" si="62">SUM(B23:B30)</f>
        <v>341781974.98999995</v>
      </c>
      <c r="C48" s="27">
        <f t="shared" si="62"/>
        <v>254244920.78999999</v>
      </c>
      <c r="D48" s="20">
        <f t="shared" si="54"/>
        <v>74.388042493299665</v>
      </c>
      <c r="E48" s="27">
        <f t="shared" ref="E48:F48" si="63">SUM(E23:E30)</f>
        <v>331064080.81000006</v>
      </c>
      <c r="F48" s="27">
        <f t="shared" si="63"/>
        <v>277850763.73000002</v>
      </c>
      <c r="G48" s="20">
        <f t="shared" si="55"/>
        <v>83.926580935689145</v>
      </c>
      <c r="H48" s="27">
        <f t="shared" ref="H48:I48" si="64">SUM(H23:H30)</f>
        <v>320413952.75</v>
      </c>
      <c r="I48" s="27">
        <f t="shared" si="64"/>
        <v>242245503.40000001</v>
      </c>
      <c r="J48" s="20">
        <f t="shared" si="56"/>
        <v>75.603918406452735</v>
      </c>
      <c r="K48" s="27">
        <f t="shared" ref="K48:L48" si="65">SUM(K23:K30)</f>
        <v>329285371.66999996</v>
      </c>
      <c r="L48" s="27">
        <f t="shared" si="65"/>
        <v>277018294.94</v>
      </c>
      <c r="M48" s="20">
        <f t="shared" si="57"/>
        <v>84.127118534017214</v>
      </c>
      <c r="N48" s="27">
        <f t="shared" ref="N48:O48" si="66">SUM(N23:N30)</f>
        <v>303201176.92000002</v>
      </c>
      <c r="O48" s="27">
        <f t="shared" si="66"/>
        <v>245729040.08000001</v>
      </c>
      <c r="P48" s="20">
        <f t="shared" si="58"/>
        <v>81.044883326701566</v>
      </c>
      <c r="Q48" s="27">
        <f t="shared" ref="Q48:R48" si="67">SUM(Q23:Q30)</f>
        <v>313860855.87000006</v>
      </c>
      <c r="R48" s="27">
        <f t="shared" si="67"/>
        <v>254255951.39999998</v>
      </c>
      <c r="S48" s="20">
        <f t="shared" si="59"/>
        <v>81.009130844055235</v>
      </c>
      <c r="T48" s="27">
        <f t="shared" ref="T48:U48" si="68">SUM(T23:T30)</f>
        <v>330832716.56000006</v>
      </c>
      <c r="U48" s="27">
        <f t="shared" si="68"/>
        <v>262422809.11999997</v>
      </c>
      <c r="V48" s="20">
        <f t="shared" si="60"/>
        <v>79.321903785294694</v>
      </c>
      <c r="W48" s="27">
        <f t="shared" ref="W48:X48" si="69">SUM(W23:W30)</f>
        <v>354960494.43999994</v>
      </c>
      <c r="X48" s="27">
        <f t="shared" si="69"/>
        <v>290346190.75</v>
      </c>
      <c r="Y48" s="20">
        <f t="shared" si="61"/>
        <v>81.796761977149572</v>
      </c>
      <c r="Z48" s="13">
        <f t="shared" si="8"/>
        <v>7.2930446936689322</v>
      </c>
      <c r="AA48" s="13">
        <f t="shared" si="8"/>
        <v>10.640607698559961</v>
      </c>
    </row>
    <row r="49" spans="1:27" x14ac:dyDescent="0.3">
      <c r="A49" s="5" t="s">
        <v>64</v>
      </c>
      <c r="B49" s="27">
        <f t="shared" ref="B49:C49" si="70">SUM(B31:B35)</f>
        <v>27690419.550000001</v>
      </c>
      <c r="C49" s="27">
        <f t="shared" si="70"/>
        <v>17057860.960000001</v>
      </c>
      <c r="D49" s="20">
        <f t="shared" si="54"/>
        <v>61.60203145062134</v>
      </c>
      <c r="E49" s="27">
        <f t="shared" ref="E49:F49" si="71">SUM(E31:E35)</f>
        <v>26520766.240000002</v>
      </c>
      <c r="F49" s="27">
        <f t="shared" si="71"/>
        <v>15913382.779999999</v>
      </c>
      <c r="G49" s="20">
        <f t="shared" si="55"/>
        <v>60.003480427343781</v>
      </c>
      <c r="H49" s="27">
        <f t="shared" ref="H49:I49" si="72">SUM(H31:H35)</f>
        <v>100194189.92999999</v>
      </c>
      <c r="I49" s="27">
        <f t="shared" si="72"/>
        <v>87759700.220000014</v>
      </c>
      <c r="J49" s="20">
        <f t="shared" si="56"/>
        <v>87.589610017619535</v>
      </c>
      <c r="K49" s="27">
        <f t="shared" ref="K49:L49" si="73">SUM(K31:K35)</f>
        <v>40904032.18</v>
      </c>
      <c r="L49" s="27">
        <f t="shared" si="73"/>
        <v>24547770.729999997</v>
      </c>
      <c r="M49" s="20">
        <f t="shared" si="57"/>
        <v>60.013082871577176</v>
      </c>
      <c r="N49" s="27">
        <f t="shared" ref="N49:O49" si="74">SUM(N31:N35)</f>
        <v>48872997.109999999</v>
      </c>
      <c r="O49" s="27">
        <f t="shared" si="74"/>
        <v>30571923.210000001</v>
      </c>
      <c r="P49" s="20">
        <f t="shared" si="58"/>
        <v>62.553812980183729</v>
      </c>
      <c r="Q49" s="27">
        <f t="shared" ref="Q49:R49" si="75">SUM(Q31:Q35)</f>
        <v>33099999.98</v>
      </c>
      <c r="R49" s="27">
        <f t="shared" si="75"/>
        <v>22417787.73</v>
      </c>
      <c r="S49" s="20">
        <f t="shared" si="59"/>
        <v>67.727455418566436</v>
      </c>
      <c r="T49" s="27">
        <f t="shared" ref="T49:U49" si="76">SUM(T31:T35)</f>
        <v>56485346.25</v>
      </c>
      <c r="U49" s="27">
        <f t="shared" si="76"/>
        <v>41444174.459999993</v>
      </c>
      <c r="V49" s="20">
        <f t="shared" si="60"/>
        <v>73.371550696655234</v>
      </c>
      <c r="W49" s="27">
        <f t="shared" ref="W49:X49" si="77">SUM(W31:W35)</f>
        <v>70960826.549999997</v>
      </c>
      <c r="X49" s="27">
        <f t="shared" si="77"/>
        <v>47928819.679999992</v>
      </c>
      <c r="Y49" s="20">
        <f t="shared" si="61"/>
        <v>67.542645724720629</v>
      </c>
      <c r="Z49" s="13">
        <f t="shared" si="8"/>
        <v>25.626965684042347</v>
      </c>
      <c r="AA49" s="13">
        <f t="shared" si="8"/>
        <v>15.646698973962387</v>
      </c>
    </row>
    <row r="50" spans="1:27" x14ac:dyDescent="0.3">
      <c r="A50" s="5" t="s">
        <v>65</v>
      </c>
      <c r="B50" s="27">
        <f t="shared" ref="B50:C50" si="78">SUM(B36:B39)</f>
        <v>21749377.390000001</v>
      </c>
      <c r="C50" s="27">
        <f t="shared" si="78"/>
        <v>21749244.289999999</v>
      </c>
      <c r="D50" s="20">
        <f t="shared" si="54"/>
        <v>99.999388028458853</v>
      </c>
      <c r="E50" s="27">
        <f t="shared" ref="E50:F50" si="79">SUM(E36:E39)</f>
        <v>90497.17</v>
      </c>
      <c r="F50" s="27">
        <f t="shared" si="79"/>
        <v>85415.4</v>
      </c>
      <c r="G50" s="20">
        <f t="shared" si="55"/>
        <v>94.384608933074915</v>
      </c>
      <c r="H50" s="27">
        <f t="shared" ref="H50:I50" si="80">SUM(H36:H39)</f>
        <v>236965.25</v>
      </c>
      <c r="I50" s="27">
        <f t="shared" si="80"/>
        <v>236965.25</v>
      </c>
      <c r="J50" s="20">
        <f t="shared" si="56"/>
        <v>100</v>
      </c>
      <c r="K50" s="27">
        <f t="shared" ref="K50:L50" si="81">SUM(K36:K39)</f>
        <v>312786.09999999998</v>
      </c>
      <c r="L50" s="27">
        <f t="shared" si="81"/>
        <v>50141.82</v>
      </c>
      <c r="M50" s="20">
        <f t="shared" si="57"/>
        <v>16.030705968072112</v>
      </c>
      <c r="N50" s="27">
        <f t="shared" ref="N50:O50" si="82">SUM(N36:N39)</f>
        <v>5092720.7699999996</v>
      </c>
      <c r="O50" s="27">
        <f t="shared" si="82"/>
        <v>5089347.2699999996</v>
      </c>
      <c r="P50" s="20">
        <f t="shared" si="58"/>
        <v>99.933758394532987</v>
      </c>
      <c r="Q50" s="27">
        <f t="shared" ref="Q50:R50" si="83">SUM(Q36:Q39)</f>
        <v>1138046.3700000001</v>
      </c>
      <c r="R50" s="27">
        <f t="shared" si="83"/>
        <v>917113.35</v>
      </c>
      <c r="S50" s="20">
        <f t="shared" si="59"/>
        <v>80.586641649759827</v>
      </c>
      <c r="T50" s="27">
        <f t="shared" ref="T50:U50" si="84">SUM(T36:T39)</f>
        <v>107160.83</v>
      </c>
      <c r="U50" s="27">
        <f t="shared" si="84"/>
        <v>107160.83</v>
      </c>
      <c r="V50" s="20">
        <f t="shared" si="60"/>
        <v>100</v>
      </c>
      <c r="W50" s="27">
        <f t="shared" ref="W50:X50" si="85">SUM(W36:W39)</f>
        <v>2347057.33</v>
      </c>
      <c r="X50" s="27">
        <f t="shared" si="85"/>
        <v>2318660.41</v>
      </c>
      <c r="Y50" s="20">
        <f t="shared" si="61"/>
        <v>98.790105395508178</v>
      </c>
      <c r="Z50" s="13">
        <f t="shared" si="8"/>
        <v>2090.2194393231184</v>
      </c>
      <c r="AA50" s="13">
        <f t="shared" si="8"/>
        <v>2063.7200925002171</v>
      </c>
    </row>
    <row r="51" spans="1:27" x14ac:dyDescent="0.3">
      <c r="A51" s="5" t="s">
        <v>66</v>
      </c>
      <c r="B51" s="27">
        <f t="shared" ref="B51" si="86">SUM(B40:B44)</f>
        <v>16707319.470000001</v>
      </c>
      <c r="C51" s="29">
        <v>9928000.3399999999</v>
      </c>
      <c r="D51" s="20">
        <f t="shared" si="54"/>
        <v>59.423059203643746</v>
      </c>
      <c r="E51" s="27">
        <f t="shared" ref="E51" si="87">SUM(E40:E44)</f>
        <v>22327743.609999999</v>
      </c>
      <c r="F51" s="29">
        <v>20150744.120000001</v>
      </c>
      <c r="G51" s="20">
        <f t="shared" si="55"/>
        <v>90.249800750018565</v>
      </c>
      <c r="H51" s="27">
        <f t="shared" ref="H51:I51" si="88">SUM(H40:H44)</f>
        <v>28570636.199999999</v>
      </c>
      <c r="I51" s="27">
        <f t="shared" si="88"/>
        <v>28570636.199999999</v>
      </c>
      <c r="J51" s="20">
        <f t="shared" si="56"/>
        <v>100</v>
      </c>
      <c r="K51" s="27">
        <f t="shared" ref="K51:L51" si="89">SUM(K40:K44)</f>
        <v>12118865.25</v>
      </c>
      <c r="L51" s="27">
        <f t="shared" si="89"/>
        <v>12118865.25</v>
      </c>
      <c r="M51" s="20">
        <f t="shared" si="57"/>
        <v>100</v>
      </c>
      <c r="N51" s="27">
        <f t="shared" ref="N51" si="90">SUM(N40:N44)</f>
        <v>3916860.16</v>
      </c>
      <c r="O51" s="27">
        <f>SUM(O40:O44)</f>
        <v>3916860.16</v>
      </c>
      <c r="P51" s="20">
        <f t="shared" si="58"/>
        <v>100</v>
      </c>
      <c r="Q51" s="27">
        <f t="shared" ref="Q51" si="91">SUM(Q40:Q44)</f>
        <v>4863835.0599999996</v>
      </c>
      <c r="R51" s="27">
        <f>SUM(R40:R44)</f>
        <v>4863835.0599999996</v>
      </c>
      <c r="S51" s="20">
        <f t="shared" si="59"/>
        <v>100</v>
      </c>
      <c r="T51" s="27">
        <f t="shared" ref="T51" si="92">SUM(T40:T44)</f>
        <v>4679925.16</v>
      </c>
      <c r="U51" s="27">
        <f>SUM(U40:U44)</f>
        <v>4679925.16</v>
      </c>
      <c r="V51" s="20">
        <f t="shared" si="60"/>
        <v>100</v>
      </c>
      <c r="W51" s="27">
        <f t="shared" ref="W51" si="93">SUM(W40:W44)</f>
        <v>11822480.779999999</v>
      </c>
      <c r="X51" s="27">
        <f>SUM(X40:X44)</f>
        <v>11822480.779999999</v>
      </c>
      <c r="Y51" s="20">
        <f t="shared" si="61"/>
        <v>100</v>
      </c>
      <c r="Z51" s="13">
        <f t="shared" si="8"/>
        <v>152.62115046301292</v>
      </c>
      <c r="AA51" s="13">
        <f t="shared" si="8"/>
        <v>152.62115046301292</v>
      </c>
    </row>
    <row r="52" spans="1:27" x14ac:dyDescent="0.3">
      <c r="A52" s="5" t="s">
        <v>67</v>
      </c>
      <c r="B52" s="27">
        <f t="shared" ref="B52:C52" si="94">B45</f>
        <v>0</v>
      </c>
      <c r="C52" s="101">
        <f t="shared" si="94"/>
        <v>0</v>
      </c>
      <c r="D52" s="20" t="str">
        <f t="shared" si="54"/>
        <v>-</v>
      </c>
      <c r="E52" s="27">
        <f t="shared" ref="E52:F52" si="95">E45</f>
        <v>0</v>
      </c>
      <c r="F52" s="29">
        <f t="shared" si="95"/>
        <v>0</v>
      </c>
      <c r="G52" s="20" t="str">
        <f t="shared" si="55"/>
        <v>-</v>
      </c>
      <c r="H52" s="27">
        <f t="shared" ref="H52:I52" si="96">H45</f>
        <v>0</v>
      </c>
      <c r="I52" s="27">
        <f t="shared" si="96"/>
        <v>0</v>
      </c>
      <c r="J52" s="20" t="str">
        <f t="shared" si="56"/>
        <v>-</v>
      </c>
      <c r="K52" s="27">
        <f t="shared" ref="K52:L52" si="97">K45</f>
        <v>0</v>
      </c>
      <c r="L52" s="27">
        <f t="shared" si="97"/>
        <v>0</v>
      </c>
      <c r="M52" s="20" t="str">
        <f t="shared" si="57"/>
        <v>-</v>
      </c>
      <c r="N52" s="27">
        <f t="shared" ref="N52" si="98">N45</f>
        <v>0</v>
      </c>
      <c r="O52" s="27">
        <f>O45</f>
        <v>0</v>
      </c>
      <c r="P52" s="20" t="str">
        <f t="shared" si="58"/>
        <v>-</v>
      </c>
      <c r="Q52" s="27">
        <f t="shared" ref="Q52" si="99">Q45</f>
        <v>0</v>
      </c>
      <c r="R52" s="27">
        <f>R45</f>
        <v>0</v>
      </c>
      <c r="S52" s="20" t="str">
        <f t="shared" si="59"/>
        <v>-</v>
      </c>
      <c r="T52" s="27">
        <f t="shared" ref="T52" si="100">T45</f>
        <v>0</v>
      </c>
      <c r="U52" s="27">
        <f>U45</f>
        <v>0</v>
      </c>
      <c r="V52" s="20" t="str">
        <f t="shared" si="60"/>
        <v>-</v>
      </c>
      <c r="W52" s="27">
        <f t="shared" ref="W52" si="101">W45</f>
        <v>0</v>
      </c>
      <c r="X52" s="27">
        <f>X45</f>
        <v>0</v>
      </c>
      <c r="Y52" s="20" t="str">
        <f t="shared" si="61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27">
        <f>SUM(B46:B47)</f>
        <v>94179331.629999995</v>
      </c>
      <c r="C53" s="29">
        <v>76672631.329999998</v>
      </c>
      <c r="D53" s="20">
        <f t="shared" si="54"/>
        <v>81.411313929495549</v>
      </c>
      <c r="E53" s="27">
        <f>SUM(E46:E47)</f>
        <v>125704973.87</v>
      </c>
      <c r="F53" s="29">
        <v>106535554.72</v>
      </c>
      <c r="G53" s="20">
        <f t="shared" si="55"/>
        <v>84.75046884793565</v>
      </c>
      <c r="H53" s="27">
        <f>SUM(H46:H47)</f>
        <v>46710695.700000003</v>
      </c>
      <c r="I53" s="29">
        <v>37674941.289999999</v>
      </c>
      <c r="J53" s="20">
        <f t="shared" si="56"/>
        <v>80.655919860341527</v>
      </c>
      <c r="K53" s="27">
        <f>SUM(K46:K47)</f>
        <v>51471673.600000001</v>
      </c>
      <c r="L53" s="29">
        <v>41208744.549999997</v>
      </c>
      <c r="M53" s="20">
        <f t="shared" si="57"/>
        <v>80.061015443647818</v>
      </c>
      <c r="N53" s="27">
        <f>SUM(N46:N47)</f>
        <v>48077289.909999996</v>
      </c>
      <c r="O53" s="29">
        <v>39906320.68</v>
      </c>
      <c r="P53" s="20">
        <f t="shared" si="58"/>
        <v>83.004513679336057</v>
      </c>
      <c r="Q53" s="27">
        <f>SUM(Q46:Q47)</f>
        <v>49192902.409999996</v>
      </c>
      <c r="R53" s="29">
        <v>38895079.329999998</v>
      </c>
      <c r="S53" s="20">
        <f t="shared" si="59"/>
        <v>79.066445410818773</v>
      </c>
      <c r="T53" s="27">
        <f>SUM(T46:T47)</f>
        <v>49508266</v>
      </c>
      <c r="U53" s="29">
        <v>40436787.390000001</v>
      </c>
      <c r="V53" s="20">
        <f t="shared" si="60"/>
        <v>81.67684036843464</v>
      </c>
      <c r="W53" s="27">
        <f>SUM(W46:W47)</f>
        <v>55328272.009999998</v>
      </c>
      <c r="X53" s="29">
        <v>46495047.369999997</v>
      </c>
      <c r="Y53" s="20">
        <f t="shared" si="61"/>
        <v>84.034880687393439</v>
      </c>
      <c r="Z53" s="13">
        <f t="shared" si="8"/>
        <v>11.755624828387241</v>
      </c>
      <c r="AA53" s="13">
        <f t="shared" si="8"/>
        <v>14.98205067966947</v>
      </c>
    </row>
    <row r="54" spans="1:27" x14ac:dyDescent="0.3">
      <c r="A54" s="5" t="s">
        <v>69</v>
      </c>
      <c r="B54" s="19">
        <f>SUM(B48:B53)</f>
        <v>502108423.02999997</v>
      </c>
      <c r="C54" s="19">
        <f>SUM(C48:C53)</f>
        <v>379652657.70999998</v>
      </c>
      <c r="D54" s="20">
        <f t="shared" si="54"/>
        <v>75.611688690455708</v>
      </c>
      <c r="E54" s="24">
        <f>SUM(E48:E53)</f>
        <v>505708061.70000011</v>
      </c>
      <c r="F54" s="19">
        <f>SUM(F48:F53)</f>
        <v>420535860.75</v>
      </c>
      <c r="G54" s="20">
        <f t="shared" si="55"/>
        <v>83.15783207732872</v>
      </c>
      <c r="H54" s="24">
        <f>SUM(H48:H53)</f>
        <v>496126439.82999998</v>
      </c>
      <c r="I54" s="19">
        <f>SUM(I48:I53)</f>
        <v>396487746.36000001</v>
      </c>
      <c r="J54" s="20">
        <f t="shared" si="56"/>
        <v>79.916673357674384</v>
      </c>
      <c r="K54" s="24">
        <f>SUM(K48:K53)</f>
        <v>434092728.80000001</v>
      </c>
      <c r="L54" s="19">
        <f>SUM(L48:L53)</f>
        <v>354943817.29000002</v>
      </c>
      <c r="M54" s="20">
        <f t="shared" si="57"/>
        <v>81.766819331713265</v>
      </c>
      <c r="N54" s="24">
        <f>SUM(N48:N53)</f>
        <v>409161044.87</v>
      </c>
      <c r="O54" s="19">
        <f>SUM(O48:O53)</f>
        <v>325213491.40000004</v>
      </c>
      <c r="P54" s="20">
        <f t="shared" si="58"/>
        <v>79.483004425147058</v>
      </c>
      <c r="Q54" s="24">
        <f>SUM(Q48:Q53)</f>
        <v>402155639.69000006</v>
      </c>
      <c r="R54" s="19">
        <f>SUM(R48:R53)</f>
        <v>321349766.87</v>
      </c>
      <c r="S54" s="20">
        <f t="shared" si="59"/>
        <v>79.906815957550933</v>
      </c>
      <c r="T54" s="24">
        <f>SUM(T48:T53)</f>
        <v>441613414.80000007</v>
      </c>
      <c r="U54" s="19">
        <f>SUM(U48:U53)</f>
        <v>349090856.95999998</v>
      </c>
      <c r="V54" s="20">
        <f t="shared" si="60"/>
        <v>79.04897026692403</v>
      </c>
      <c r="W54" s="28">
        <f t="shared" ref="W54:X54" si="102">SUM(W48:W53)</f>
        <v>495419131.1099999</v>
      </c>
      <c r="X54" s="28">
        <f t="shared" si="102"/>
        <v>398911198.99000001</v>
      </c>
      <c r="Y54" s="20">
        <f t="shared" si="61"/>
        <v>80.51994239629559</v>
      </c>
      <c r="Z54" s="13">
        <f t="shared" si="8"/>
        <v>12.18389534982029</v>
      </c>
      <c r="AA54" s="13">
        <f t="shared" si="8"/>
        <v>14.271454275214253</v>
      </c>
    </row>
    <row r="55" spans="1:27" x14ac:dyDescent="0.3">
      <c r="A55" s="14" t="s">
        <v>70</v>
      </c>
      <c r="B55" s="15">
        <f>B54-B53</f>
        <v>407929091.39999998</v>
      </c>
      <c r="C55" s="15">
        <f>C54-C53</f>
        <v>302980026.38</v>
      </c>
      <c r="D55" s="21">
        <f t="shared" si="54"/>
        <v>74.272718658083932</v>
      </c>
      <c r="E55" s="25">
        <f>E54-E53</f>
        <v>380003087.8300001</v>
      </c>
      <c r="F55" s="15">
        <f>F54-F53</f>
        <v>314000306.02999997</v>
      </c>
      <c r="G55" s="21">
        <f t="shared" si="55"/>
        <v>82.630988033042669</v>
      </c>
      <c r="H55" s="25">
        <f>H54-H53</f>
        <v>449415744.13</v>
      </c>
      <c r="I55" s="15">
        <f>I54-I53</f>
        <v>358812805.06999999</v>
      </c>
      <c r="J55" s="21">
        <f t="shared" si="56"/>
        <v>79.839838669783731</v>
      </c>
      <c r="K55" s="25">
        <f>K54-K53</f>
        <v>382621055.19999999</v>
      </c>
      <c r="L55" s="15">
        <f>L54-L53</f>
        <v>313735072.74000001</v>
      </c>
      <c r="M55" s="21">
        <f t="shared" si="57"/>
        <v>81.996290710140727</v>
      </c>
      <c r="N55" s="25">
        <f>N54-N53</f>
        <v>361083754.96000004</v>
      </c>
      <c r="O55" s="15">
        <f>O54-O53</f>
        <v>285307170.72000003</v>
      </c>
      <c r="P55" s="21">
        <f t="shared" si="58"/>
        <v>79.014125338207378</v>
      </c>
      <c r="Q55" s="25">
        <f>Q54-Q53</f>
        <v>352962737.28000009</v>
      </c>
      <c r="R55" s="15">
        <f>R54-R53</f>
        <v>282454687.54000002</v>
      </c>
      <c r="S55" s="21">
        <f t="shared" si="59"/>
        <v>80.023939557090671</v>
      </c>
      <c r="T55" s="25">
        <f>T54-T53</f>
        <v>392105148.80000007</v>
      </c>
      <c r="U55" s="15">
        <f>U54-U53</f>
        <v>308654069.56999999</v>
      </c>
      <c r="V55" s="21">
        <f t="shared" si="60"/>
        <v>78.717168217404435</v>
      </c>
      <c r="W55" s="28">
        <f t="shared" ref="W55:X55" si="103">W54-W53</f>
        <v>440090859.0999999</v>
      </c>
      <c r="X55" s="28">
        <f t="shared" si="103"/>
        <v>352416151.62</v>
      </c>
      <c r="Y55" s="21">
        <f t="shared" si="61"/>
        <v>80.078043961354368</v>
      </c>
      <c r="Z55" s="16">
        <f t="shared" si="8"/>
        <v>12.237969954451117</v>
      </c>
      <c r="AA55" s="16">
        <f t="shared" si="8"/>
        <v>14.178358999434849</v>
      </c>
    </row>
    <row r="56" spans="1:27" x14ac:dyDescent="0.3">
      <c r="A56" s="5" t="s">
        <v>71</v>
      </c>
      <c r="B56" s="28">
        <f t="shared" ref="B56:C57" si="104">B14-B48</f>
        <v>18394280.020000041</v>
      </c>
      <c r="C56" s="28">
        <f t="shared" si="104"/>
        <v>17404957.479999989</v>
      </c>
      <c r="D56" s="22"/>
      <c r="E56" s="28">
        <f t="shared" ref="E56:F57" si="105">E14-E48</f>
        <v>23407305.269999921</v>
      </c>
      <c r="F56" s="28">
        <f t="shared" si="105"/>
        <v>3588137.9599999785</v>
      </c>
      <c r="G56" s="22"/>
      <c r="H56" s="28">
        <f t="shared" ref="H56:I57" si="106">H14-H48</f>
        <v>25028735.129999995</v>
      </c>
      <c r="I56" s="28">
        <f t="shared" si="106"/>
        <v>17229786.359999985</v>
      </c>
      <c r="J56" s="22"/>
      <c r="K56" s="28">
        <f t="shared" ref="K56:L56" si="107">K14-K48</f>
        <v>23121760.080000043</v>
      </c>
      <c r="L56" s="28">
        <f t="shared" si="107"/>
        <v>26411271.069999993</v>
      </c>
      <c r="M56" s="22"/>
      <c r="N56" s="28">
        <f t="shared" ref="N56:O56" si="108">N14-N48</f>
        <v>38539813.859999955</v>
      </c>
      <c r="O56" s="28">
        <f t="shared" si="108"/>
        <v>60053601.359999985</v>
      </c>
      <c r="P56" s="22"/>
      <c r="Q56" s="28">
        <f t="shared" ref="Q56:R56" si="109">Q14-Q48</f>
        <v>26293245.169999957</v>
      </c>
      <c r="R56" s="28">
        <f t="shared" si="109"/>
        <v>46686738.639999986</v>
      </c>
      <c r="S56" s="22"/>
      <c r="T56" s="28">
        <f t="shared" ref="T56:U56" si="110">T14-T48</f>
        <v>27563911.48999995</v>
      </c>
      <c r="U56" s="28">
        <f t="shared" si="110"/>
        <v>49670718.50000003</v>
      </c>
      <c r="V56" s="22"/>
      <c r="W56" s="28">
        <f t="shared" ref="W56:X57" si="111">W14-W48</f>
        <v>27369408.230000079</v>
      </c>
      <c r="X56" s="28">
        <f t="shared" si="111"/>
        <v>35519340.430000007</v>
      </c>
      <c r="Y56" s="22"/>
      <c r="Z56" s="13">
        <f t="shared" ref="Z56:AA59" si="112">IF(T56&gt;0,W56/T56*100-100,"-")</f>
        <v>-0.70564462547500284</v>
      </c>
      <c r="AA56" s="13">
        <f t="shared" si="112"/>
        <v>-28.490383262726539</v>
      </c>
    </row>
    <row r="57" spans="1:27" x14ac:dyDescent="0.3">
      <c r="A57" s="5" t="s">
        <v>72</v>
      </c>
      <c r="B57" s="28">
        <f t="shared" si="104"/>
        <v>-11986564.01</v>
      </c>
      <c r="C57" s="28">
        <f t="shared" si="104"/>
        <v>-6991308.4000000004</v>
      </c>
      <c r="D57" s="22"/>
      <c r="E57" s="28">
        <f t="shared" si="105"/>
        <v>-7680919.2100000009</v>
      </c>
      <c r="F57" s="28">
        <f t="shared" si="105"/>
        <v>287526.66000000201</v>
      </c>
      <c r="G57" s="22"/>
      <c r="H57" s="28">
        <f t="shared" si="106"/>
        <v>-9181135.3799999803</v>
      </c>
      <c r="I57" s="28">
        <f t="shared" si="106"/>
        <v>-4284289.650000006</v>
      </c>
      <c r="J57" s="22"/>
      <c r="K57" s="28">
        <f t="shared" ref="K57:L57" si="113">K15-K49</f>
        <v>-13632625.57</v>
      </c>
      <c r="L57" s="28">
        <f t="shared" si="113"/>
        <v>-8203842.8599999957</v>
      </c>
      <c r="M57" s="22"/>
      <c r="N57" s="28">
        <f t="shared" ref="N57:O57" si="114">N15-N49</f>
        <v>-7689417.1800000072</v>
      </c>
      <c r="O57" s="28">
        <f t="shared" si="114"/>
        <v>-7440695.7399999984</v>
      </c>
      <c r="P57" s="22"/>
      <c r="Q57" s="28">
        <f t="shared" ref="Q57:R57" si="115">Q15-Q49</f>
        <v>-14642053.52</v>
      </c>
      <c r="R57" s="28">
        <f t="shared" si="115"/>
        <v>-10536335.550000001</v>
      </c>
      <c r="S57" s="22"/>
      <c r="T57" s="28">
        <f t="shared" ref="T57:U57" si="116">T15-T49</f>
        <v>2383006.2100000009</v>
      </c>
      <c r="U57" s="28">
        <f t="shared" si="116"/>
        <v>6055291.9600000083</v>
      </c>
      <c r="V57" s="22"/>
      <c r="W57" s="28">
        <f t="shared" si="111"/>
        <v>-27468328.270000003</v>
      </c>
      <c r="X57" s="28">
        <f t="shared" si="111"/>
        <v>-21973723.059999991</v>
      </c>
      <c r="Y57" s="22"/>
      <c r="Z57" s="13">
        <f t="shared" si="112"/>
        <v>-1252.6754800189965</v>
      </c>
      <c r="AA57" s="13">
        <f t="shared" si="112"/>
        <v>-462.88461737524477</v>
      </c>
    </row>
    <row r="58" spans="1:27" x14ac:dyDescent="0.3">
      <c r="A58" s="5" t="s">
        <v>356</v>
      </c>
      <c r="B58" s="28">
        <f t="shared" ref="B58:C58" si="117">SUM(B14:B16)-SUM(B48:B50)</f>
        <v>6288701.9200000763</v>
      </c>
      <c r="C58" s="28">
        <f t="shared" si="117"/>
        <v>-7187572.8200000525</v>
      </c>
      <c r="D58" s="22"/>
      <c r="E58" s="28">
        <f t="shared" ref="E58:F58" si="118">SUM(E14:E16)-SUM(E48:E50)</f>
        <v>31202252.719999909</v>
      </c>
      <c r="F58" s="28">
        <f t="shared" si="118"/>
        <v>19334439.710000038</v>
      </c>
      <c r="G58" s="22"/>
      <c r="H58" s="28">
        <f t="shared" ref="H58:I58" si="119">SUM(H14:H16)-SUM(H48:H50)</f>
        <v>25329038.800000012</v>
      </c>
      <c r="I58" s="28">
        <f t="shared" si="119"/>
        <v>22395316.049999952</v>
      </c>
      <c r="J58" s="22"/>
      <c r="K58" s="28">
        <f t="shared" ref="K58:L58" si="120">SUM(K14:K16)-SUM(K48:K50)</f>
        <v>22356949.670000017</v>
      </c>
      <c r="L58" s="28">
        <f t="shared" si="120"/>
        <v>31069848.019999981</v>
      </c>
      <c r="M58" s="22"/>
      <c r="N58" s="28">
        <f t="shared" ref="N58:O58" si="121">SUM(N14:N16)-SUM(N48:N50)</f>
        <v>31382691.269999981</v>
      </c>
      <c r="O58" s="28">
        <f t="shared" si="121"/>
        <v>48140551.5</v>
      </c>
      <c r="P58" s="22"/>
      <c r="Q58" s="28">
        <f t="shared" ref="Q58:R58" si="122">SUM(Q14:Q16)-SUM(Q48:Q50)</f>
        <v>10541194.279999912</v>
      </c>
      <c r="R58" s="28">
        <f t="shared" si="122"/>
        <v>35252680.719999969</v>
      </c>
      <c r="S58" s="22"/>
      <c r="T58" s="28">
        <f t="shared" ref="T58:U58" si="123">SUM(T14:T16)-SUM(T48:T50)</f>
        <v>34395213.939999938</v>
      </c>
      <c r="U58" s="28">
        <f t="shared" si="123"/>
        <v>60152672.480000079</v>
      </c>
      <c r="V58" s="22"/>
      <c r="W58" s="28">
        <f t="shared" ref="W58:X58" si="124">SUM(W14:W16)-SUM(W48:W50)</f>
        <v>1275226.1700000763</v>
      </c>
      <c r="X58" s="28">
        <f t="shared" si="124"/>
        <v>13463907.169999957</v>
      </c>
      <c r="Y58" s="22"/>
      <c r="Z58" s="13">
        <f t="shared" si="112"/>
        <v>-96.292431347499047</v>
      </c>
      <c r="AA58" s="13">
        <f t="shared" si="112"/>
        <v>-77.617108908209332</v>
      </c>
    </row>
    <row r="59" spans="1:27" x14ac:dyDescent="0.3">
      <c r="A59" s="5" t="s">
        <v>357</v>
      </c>
      <c r="B59" s="28">
        <f t="shared" ref="B59:C59" si="125">B21-B55</f>
        <v>-9513957.5499999523</v>
      </c>
      <c r="C59" s="28">
        <f t="shared" si="125"/>
        <v>-16210913.160000026</v>
      </c>
      <c r="D59" s="108"/>
      <c r="E59" s="28">
        <f t="shared" ref="E59:F59" si="126">E21-E55</f>
        <v>11274509.109999895</v>
      </c>
      <c r="F59" s="28">
        <f t="shared" si="126"/>
        <v>-816304.40999996662</v>
      </c>
      <c r="G59" s="108"/>
      <c r="H59" s="28">
        <f t="shared" ref="H59:I59" si="127">H21-H55</f>
        <v>-2791597.3999999762</v>
      </c>
      <c r="I59" s="28">
        <f t="shared" si="127"/>
        <v>-6175320.1500000358</v>
      </c>
      <c r="J59" s="108"/>
      <c r="K59" s="28">
        <f t="shared" ref="K59:L59" si="128">K21-K55</f>
        <v>11638084.420000017</v>
      </c>
      <c r="L59" s="28">
        <f t="shared" si="128"/>
        <v>18950982.769999981</v>
      </c>
      <c r="M59" s="108"/>
      <c r="N59" s="28">
        <f t="shared" ref="N59:O59" si="129">N21-N55</f>
        <v>33165831.110000014</v>
      </c>
      <c r="O59" s="28">
        <f t="shared" si="129"/>
        <v>49223691.339999974</v>
      </c>
      <c r="P59" s="108"/>
      <c r="Q59" s="28">
        <f t="shared" ref="Q59:R59" si="130">Q21-Q55</f>
        <v>5677359.2199999094</v>
      </c>
      <c r="R59" s="28">
        <f t="shared" si="130"/>
        <v>30388845.659999967</v>
      </c>
      <c r="S59" s="108"/>
      <c r="T59" s="28">
        <f t="shared" ref="T59:U59" si="131">T21-T55</f>
        <v>29715288.779999912</v>
      </c>
      <c r="U59" s="28">
        <f t="shared" si="131"/>
        <v>55472747.320000052</v>
      </c>
      <c r="V59" s="108"/>
      <c r="W59" s="28">
        <f t="shared" ref="W59:X59" si="132">W21-W55</f>
        <v>-10547254.609999895</v>
      </c>
      <c r="X59" s="28">
        <f t="shared" si="132"/>
        <v>1641426.3899999857</v>
      </c>
      <c r="Y59" s="108"/>
      <c r="Z59" s="13">
        <f t="shared" si="112"/>
        <v>-135.4943702149003</v>
      </c>
      <c r="AA59" s="13">
        <f t="shared" si="112"/>
        <v>-97.041021998547762</v>
      </c>
    </row>
    <row r="60" spans="1:27" x14ac:dyDescent="0.3">
      <c r="A60" s="5" t="s">
        <v>358</v>
      </c>
      <c r="C60" s="6">
        <f>SUM(C14:C16)/SUM(B14:B16)*100</f>
        <v>71.913690839721241</v>
      </c>
      <c r="D60" s="108"/>
      <c r="F60" s="6">
        <f>SUM(F14:F16)/SUM(E14:E16)*100</f>
        <v>80.535367448364795</v>
      </c>
      <c r="G60" s="108"/>
      <c r="I60" s="6">
        <f>SUM(I14:I16)/SUM(H14:H16)*100</f>
        <v>79.035840042385217</v>
      </c>
      <c r="J60" s="108"/>
      <c r="L60" s="6">
        <f>SUM(L14:L16)/SUM(K14:K16)*100</f>
        <v>84.683292803572414</v>
      </c>
      <c r="M60" s="108"/>
      <c r="O60" s="6">
        <f>SUM(O14:O16)/SUM(N14:N16)*100</f>
        <v>84.810503954734017</v>
      </c>
      <c r="P60" s="108"/>
      <c r="R60" s="6">
        <f>SUM(R14:R16)/SUM(Q14:Q16)*100</f>
        <v>87.23049548922927</v>
      </c>
      <c r="S60" s="108"/>
      <c r="U60" s="6">
        <f>SUM(U14:U16)/SUM(T14:T16)*100</f>
        <v>86.322706168295099</v>
      </c>
      <c r="V60" s="108"/>
      <c r="X60" s="6">
        <f>SUM(X14:X16)/SUM(W14:W16)*100</f>
        <v>82.426457828507282</v>
      </c>
      <c r="Y60" s="108"/>
    </row>
    <row r="61" spans="1:27" x14ac:dyDescent="0.3">
      <c r="A61" s="5" t="s">
        <v>359</v>
      </c>
      <c r="C61" s="6">
        <f>SUM(C48:C50)/SUM(B48:B50)*100</f>
        <v>74.906880717373497</v>
      </c>
      <c r="D61" s="108"/>
      <c r="F61" s="6">
        <f>SUM(F48:F50)/SUM(E48:E50)*100</f>
        <v>82.15538662605104</v>
      </c>
      <c r="G61" s="108"/>
      <c r="I61" s="6">
        <f>SUM(I48:I50)/SUM(H48:H50)*100</f>
        <v>78.471191097920482</v>
      </c>
      <c r="J61" s="108"/>
      <c r="L61" s="6">
        <f>SUM(L48:L50)/SUM(K48:K50)*100</f>
        <v>81.4074020805933</v>
      </c>
      <c r="M61" s="108"/>
      <c r="O61" s="6">
        <f>SUM(O48:O50)/SUM(N48:N50)*100</f>
        <v>78.783984366067287</v>
      </c>
      <c r="P61" s="108"/>
      <c r="R61" s="6">
        <f>SUM(R48:R50)/SUM(Q48:Q50)*100</f>
        <v>79.744822724135261</v>
      </c>
      <c r="S61" s="108"/>
      <c r="U61" s="6">
        <f>SUM(U48:U50)/SUM(T48:T50)*100</f>
        <v>78.460081032941787</v>
      </c>
      <c r="V61" s="108"/>
      <c r="X61" s="6">
        <f>SUM(X48:X50)/SUM(W48:W50)*100</f>
        <v>79.528092215463602</v>
      </c>
      <c r="Y61" s="108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7" t="s">
        <v>328</v>
      </c>
      <c r="E2" s="82">
        <f>Piano_indicatori!D3</f>
        <v>35.228549999999998</v>
      </c>
      <c r="F2" s="82">
        <f>Piano_indicatori!E3</f>
        <v>36.290500000000002</v>
      </c>
      <c r="G2" s="82">
        <f>Piano_indicatori!F3</f>
        <v>40.58</v>
      </c>
      <c r="H2" s="82">
        <f>Piano_indicatori!G3</f>
        <v>34.020000000000003</v>
      </c>
      <c r="I2" s="82">
        <f>Piano_indicatori!H3</f>
        <v>32.54</v>
      </c>
      <c r="J2" s="82">
        <f>Piano_indicatori!I3</f>
        <v>33.31</v>
      </c>
      <c r="K2" s="82">
        <f>Piano_indicatori!J3</f>
        <v>32.159999999999997</v>
      </c>
      <c r="L2" s="82">
        <f>Piano_indicatori!K3</f>
        <v>32.81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88" t="s">
        <v>329</v>
      </c>
      <c r="E3" s="83">
        <f>Piano_indicatori!D12</f>
        <v>43.458460000000002</v>
      </c>
      <c r="F3" s="83">
        <f>Piano_indicatori!E12</f>
        <v>41.691800000000001</v>
      </c>
      <c r="G3" s="83">
        <f>Piano_indicatori!F12</f>
        <v>44.38</v>
      </c>
      <c r="H3" s="83">
        <f>Piano_indicatori!G12</f>
        <v>39</v>
      </c>
      <c r="I3" s="83">
        <f>Piano_indicatori!H12</f>
        <v>46.89</v>
      </c>
      <c r="J3" s="83">
        <f>Piano_indicatori!I12</f>
        <v>44.95</v>
      </c>
      <c r="K3" s="83">
        <f>Piano_indicatori!J12</f>
        <v>46.41</v>
      </c>
      <c r="L3" s="83">
        <f>Piano_indicatori!K12</f>
        <v>45.47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7" t="s">
        <v>330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89" t="s">
        <v>331</v>
      </c>
      <c r="E5" s="85">
        <f>Piano_indicatori!D51</f>
        <v>5.7054200000000002</v>
      </c>
      <c r="F5" s="85">
        <f>Piano_indicatori!E51</f>
        <v>6.0863300000000002</v>
      </c>
      <c r="G5" s="85">
        <f>Piano_indicatori!F51</f>
        <v>8.01</v>
      </c>
      <c r="H5" s="85">
        <f>Piano_indicatori!G51</f>
        <v>3.02</v>
      </c>
      <c r="I5" s="85">
        <f>Piano_indicatori!H51</f>
        <v>1.06</v>
      </c>
      <c r="J5" s="85">
        <f>Piano_indicatori!I51</f>
        <v>1.26</v>
      </c>
      <c r="K5" s="85">
        <f>Piano_indicatori!J51</f>
        <v>1.1399999999999999</v>
      </c>
      <c r="L5" s="85">
        <f>Piano_indicatori!K51</f>
        <v>3.32</v>
      </c>
    </row>
    <row r="6" spans="1:12" ht="29.25" customHeight="1" x14ac:dyDescent="0.3">
      <c r="A6" s="75" t="s">
        <v>317</v>
      </c>
      <c r="B6" s="75" t="s">
        <v>185</v>
      </c>
      <c r="C6" s="91" t="s">
        <v>186</v>
      </c>
      <c r="D6" s="90" t="s">
        <v>332</v>
      </c>
      <c r="E6" s="115">
        <f>Piano_indicatori!D62</f>
        <v>0</v>
      </c>
      <c r="F6" s="115">
        <f>Piano_indicatori!E62</f>
        <v>0</v>
      </c>
      <c r="G6" s="115">
        <f>Piano_indicatori!F62</f>
        <v>0</v>
      </c>
      <c r="H6" s="115">
        <f>Piano_indicatori!G62</f>
        <v>0</v>
      </c>
      <c r="I6" s="115">
        <f>Piano_indicatori!H62</f>
        <v>0</v>
      </c>
      <c r="J6" s="115">
        <f>Piano_indicatori!I62</f>
        <v>0</v>
      </c>
      <c r="K6" s="115">
        <f>Piano_indicatori!J62</f>
        <v>0</v>
      </c>
      <c r="L6" s="115">
        <f>Piano_indicatori!K62</f>
        <v>0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88" t="s">
        <v>333</v>
      </c>
      <c r="E7" s="116">
        <f>Piano_indicatori!D64</f>
        <v>0.35811999999999999</v>
      </c>
      <c r="F7" s="116">
        <f>Piano_indicatori!E64</f>
        <v>0.1062</v>
      </c>
      <c r="G7" s="116">
        <f>Piano_indicatori!F64</f>
        <v>0.1062</v>
      </c>
      <c r="H7" s="116">
        <f>Piano_indicatori!G64</f>
        <v>7.0000000000000007E-2</v>
      </c>
      <c r="I7" s="116">
        <f>Piano_indicatori!H64</f>
        <v>1.4999999999999999E-2</v>
      </c>
      <c r="J7" s="116">
        <f>Piano_indicatori!I64</f>
        <v>0</v>
      </c>
      <c r="K7" s="116">
        <f>Piano_indicatori!J64</f>
        <v>0</v>
      </c>
      <c r="L7" s="116">
        <f>Piano_indicatori!K64</f>
        <v>1.4E-2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7" t="s">
        <v>334</v>
      </c>
      <c r="E8" s="117">
        <f>Piano_indicatori!D65+Piano_indicatori!D66</f>
        <v>4.5999999999999999E-3</v>
      </c>
      <c r="F8" s="117">
        <f>Piano_indicatori!E65+Piano_indicatori!E66</f>
        <v>0</v>
      </c>
      <c r="G8" s="117">
        <f>Piano_indicatori!F65+Piano_indicatori!F66</f>
        <v>0</v>
      </c>
      <c r="H8" s="117">
        <f>Piano_indicatori!G65+Piano_indicatori!G66</f>
        <v>0</v>
      </c>
      <c r="I8" s="117">
        <f>Piano_indicatori!H65+Piano_indicatori!H66</f>
        <v>0</v>
      </c>
      <c r="J8" s="117">
        <f>Piano_indicatori!I65+Piano_indicatori!I66</f>
        <v>0</v>
      </c>
      <c r="K8" s="117">
        <f>Piano_indicatori!J65+Piano_indicatori!J66</f>
        <v>0</v>
      </c>
      <c r="L8" s="117">
        <f>Piano_indicatori!K65+Piano_indicatori!K66</f>
        <v>3.0000000000000001E-3</v>
      </c>
    </row>
    <row r="9" spans="1:12" ht="29.25" customHeight="1" x14ac:dyDescent="0.3">
      <c r="A9" s="76" t="s">
        <v>320</v>
      </c>
      <c r="B9" s="76"/>
      <c r="C9" s="81" t="s">
        <v>327</v>
      </c>
      <c r="D9" s="89" t="s">
        <v>335</v>
      </c>
      <c r="E9" s="86">
        <f>Piano_indicatori!D76</f>
        <v>67.971143913634819</v>
      </c>
      <c r="F9" s="86">
        <f>Piano_indicatori!E76</f>
        <v>74.11782745420588</v>
      </c>
      <c r="G9" s="86">
        <f>Piano_indicatori!F76</f>
        <v>69.827760061014345</v>
      </c>
      <c r="H9" s="86">
        <f>Piano_indicatori!G76</f>
        <v>79.800603137667466</v>
      </c>
      <c r="I9" s="86">
        <f>Piano_indicatori!H76</f>
        <v>79.794414445538791</v>
      </c>
      <c r="J9" s="86">
        <f>Piano_indicatori!I76</f>
        <v>80.405628051663641</v>
      </c>
      <c r="K9" s="86">
        <f>Piano_indicatori!J76</f>
        <v>81.012290015273535</v>
      </c>
      <c r="L9" s="86">
        <f>Piano_indicatori!K76</f>
        <v>78.661094743019035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customWidth="1"/>
  </cols>
  <sheetData>
    <row r="1" spans="1:20" ht="43.2" x14ac:dyDescent="0.3">
      <c r="A1" s="97" t="s">
        <v>336</v>
      </c>
      <c r="B1" s="97" t="s">
        <v>337</v>
      </c>
      <c r="C1" s="97" t="s">
        <v>351</v>
      </c>
      <c r="D1" s="97" t="s">
        <v>352</v>
      </c>
      <c r="E1" s="97" t="s">
        <v>353</v>
      </c>
      <c r="F1" s="97" t="s">
        <v>364</v>
      </c>
      <c r="G1" s="97" t="s">
        <v>354</v>
      </c>
    </row>
    <row r="2" spans="1:20" x14ac:dyDescent="0.3">
      <c r="A2" s="31">
        <v>2024</v>
      </c>
      <c r="B2" s="1">
        <v>199400</v>
      </c>
      <c r="C2" s="1">
        <v>228952</v>
      </c>
      <c r="D2" s="97"/>
    </row>
    <row r="3" spans="1:20" x14ac:dyDescent="0.3">
      <c r="A3" s="31">
        <v>2023</v>
      </c>
      <c r="B3" s="1">
        <v>199032</v>
      </c>
      <c r="C3" s="1">
        <v>228705</v>
      </c>
      <c r="D3" s="1">
        <v>-1651</v>
      </c>
      <c r="E3" s="1">
        <v>2019</v>
      </c>
      <c r="G3" s="1">
        <f t="shared" ref="G3:G11" si="0">B2-B3-D3-E3-F3</f>
        <v>0</v>
      </c>
    </row>
    <row r="4" spans="1:20" x14ac:dyDescent="0.3">
      <c r="A4" s="31">
        <v>2022</v>
      </c>
      <c r="B4" s="1">
        <v>199015</v>
      </c>
      <c r="C4" s="1">
        <v>228833</v>
      </c>
      <c r="D4" s="1">
        <v>-1765</v>
      </c>
      <c r="E4" s="1">
        <v>1863</v>
      </c>
      <c r="F4" s="1">
        <v>-81</v>
      </c>
      <c r="G4" s="1">
        <f t="shared" si="0"/>
        <v>0</v>
      </c>
    </row>
    <row r="5" spans="1:20" x14ac:dyDescent="0.3">
      <c r="A5" s="31">
        <v>2021</v>
      </c>
      <c r="B5" s="1">
        <v>200609</v>
      </c>
      <c r="C5" s="1">
        <v>230689</v>
      </c>
      <c r="D5" s="1">
        <v>-1955</v>
      </c>
      <c r="E5" s="1">
        <v>1039</v>
      </c>
      <c r="F5" s="1">
        <v>-678</v>
      </c>
      <c r="G5" s="1">
        <f t="shared" si="0"/>
        <v>0</v>
      </c>
    </row>
    <row r="6" spans="1:20" x14ac:dyDescent="0.3">
      <c r="A6" s="31">
        <v>2020</v>
      </c>
      <c r="B6" s="1">
        <v>201613</v>
      </c>
      <c r="C6" s="1">
        <v>231445</v>
      </c>
      <c r="D6" s="1">
        <v>-2006</v>
      </c>
      <c r="E6" s="1">
        <v>1214</v>
      </c>
      <c r="F6" s="1">
        <v>-212</v>
      </c>
      <c r="G6" s="1">
        <f t="shared" si="0"/>
        <v>0</v>
      </c>
    </row>
    <row r="7" spans="1:20" x14ac:dyDescent="0.3">
      <c r="A7" s="31">
        <v>2019</v>
      </c>
      <c r="B7" s="1">
        <v>202351</v>
      </c>
      <c r="C7" s="1">
        <v>232405</v>
      </c>
      <c r="D7" s="1">
        <v>-1566</v>
      </c>
      <c r="E7" s="1">
        <v>841</v>
      </c>
      <c r="F7" s="1">
        <v>-13</v>
      </c>
      <c r="G7" s="1">
        <f t="shared" si="0"/>
        <v>0</v>
      </c>
      <c r="K7" s="112"/>
      <c r="L7" s="113"/>
      <c r="M7" s="113"/>
      <c r="N7" s="113"/>
      <c r="O7" s="113"/>
      <c r="P7" s="113"/>
      <c r="Q7" s="113"/>
      <c r="R7" s="112"/>
      <c r="S7" s="113"/>
      <c r="T7" s="113"/>
    </row>
    <row r="8" spans="1:20" x14ac:dyDescent="0.3">
      <c r="A8" s="31">
        <v>2018</v>
      </c>
      <c r="B8" s="1">
        <v>202150</v>
      </c>
      <c r="C8" s="1">
        <v>232274</v>
      </c>
      <c r="D8" s="1">
        <v>-1494</v>
      </c>
      <c r="E8" s="1">
        <v>1695</v>
      </c>
      <c r="F8" s="1"/>
      <c r="G8" s="1">
        <f t="shared" si="0"/>
        <v>0</v>
      </c>
      <c r="K8" s="112"/>
      <c r="L8" s="113"/>
      <c r="M8" s="113"/>
      <c r="N8" s="113"/>
      <c r="O8" s="113"/>
      <c r="P8" s="113"/>
      <c r="Q8" s="113"/>
      <c r="R8" s="113"/>
      <c r="S8" s="113"/>
      <c r="T8" s="113"/>
    </row>
    <row r="9" spans="1:20" x14ac:dyDescent="0.3">
      <c r="A9" s="31">
        <v>2017</v>
      </c>
      <c r="B9" s="1">
        <v>201636</v>
      </c>
      <c r="C9" s="1">
        <v>231911</v>
      </c>
      <c r="D9" s="1">
        <v>-1527</v>
      </c>
      <c r="E9" s="1">
        <v>2041</v>
      </c>
      <c r="F9" s="1"/>
      <c r="G9" s="1">
        <f t="shared" si="0"/>
        <v>0</v>
      </c>
      <c r="K9" s="112"/>
      <c r="L9" s="113"/>
      <c r="M9" s="113"/>
      <c r="N9" s="113"/>
      <c r="O9" s="113"/>
      <c r="P9" s="113"/>
      <c r="Q9" s="113"/>
      <c r="R9" s="112"/>
      <c r="S9" s="113"/>
      <c r="T9" s="113"/>
    </row>
    <row r="10" spans="1:20" x14ac:dyDescent="0.3">
      <c r="A10" s="31">
        <v>2016</v>
      </c>
      <c r="B10" s="1">
        <v>201554</v>
      </c>
      <c r="C10" s="1">
        <v>231828</v>
      </c>
      <c r="D10" s="1">
        <v>-1475</v>
      </c>
      <c r="E10" s="1">
        <v>1557</v>
      </c>
      <c r="F10" s="1"/>
      <c r="G10" s="1">
        <f t="shared" si="0"/>
        <v>0</v>
      </c>
      <c r="K10" s="112"/>
      <c r="L10" s="113"/>
      <c r="M10" s="113"/>
      <c r="N10" s="113"/>
      <c r="O10" s="113"/>
      <c r="P10" s="113"/>
      <c r="Q10" s="113"/>
      <c r="R10" s="113"/>
      <c r="S10" s="113"/>
      <c r="T10" s="113"/>
    </row>
    <row r="11" spans="1:20" x14ac:dyDescent="0.3">
      <c r="A11" s="31">
        <v>2015</v>
      </c>
      <c r="B11" s="1">
        <v>202244</v>
      </c>
      <c r="C11" s="1">
        <v>232703</v>
      </c>
      <c r="D11" s="1">
        <v>-1680</v>
      </c>
      <c r="E11" s="1">
        <v>990</v>
      </c>
      <c r="F11" s="1"/>
      <c r="G11" s="1">
        <f t="shared" si="0"/>
        <v>0</v>
      </c>
    </row>
    <row r="30" spans="1:6" x14ac:dyDescent="0.3">
      <c r="A30" s="114"/>
      <c r="B30" s="112"/>
      <c r="C30" s="112"/>
      <c r="D30" s="112"/>
    </row>
    <row r="31" spans="1:6" x14ac:dyDescent="0.3">
      <c r="A31" s="114"/>
      <c r="B31" s="112"/>
      <c r="C31" s="112"/>
      <c r="D31" s="112"/>
    </row>
    <row r="32" spans="1:6" x14ac:dyDescent="0.3">
      <c r="A32" s="114"/>
      <c r="B32" s="112"/>
      <c r="C32" s="112"/>
      <c r="D32" s="112"/>
      <c r="F32" s="112"/>
    </row>
    <row r="33" spans="1:6" x14ac:dyDescent="0.3">
      <c r="A33" s="114"/>
      <c r="B33" s="112"/>
      <c r="C33" s="112"/>
      <c r="D33" s="112"/>
      <c r="F33" s="112"/>
    </row>
    <row r="34" spans="1:6" x14ac:dyDescent="0.3">
      <c r="A34" s="114"/>
      <c r="B34" s="112"/>
      <c r="C34" s="112"/>
      <c r="D34" s="112"/>
      <c r="F34" s="112"/>
    </row>
    <row r="35" spans="1:6" x14ac:dyDescent="0.3">
      <c r="A35" s="114"/>
      <c r="B35" s="112"/>
      <c r="C35" s="112"/>
      <c r="D35" s="112"/>
      <c r="F35" s="112"/>
    </row>
    <row r="36" spans="1:6" x14ac:dyDescent="0.3">
      <c r="A36" s="114"/>
      <c r="B36" s="112"/>
      <c r="C36" s="112"/>
      <c r="D36" s="112"/>
      <c r="F36" s="112"/>
    </row>
    <row r="37" spans="1:6" x14ac:dyDescent="0.3">
      <c r="A37" s="114"/>
      <c r="B37" s="112"/>
      <c r="C37" s="112"/>
      <c r="D37" s="112"/>
      <c r="F37" s="112"/>
    </row>
    <row r="38" spans="1:6" x14ac:dyDescent="0.3">
      <c r="A38" s="114"/>
      <c r="B38" s="112"/>
      <c r="C38" s="112"/>
      <c r="D38" s="112"/>
      <c r="F38" s="112"/>
    </row>
    <row r="39" spans="1:6" x14ac:dyDescent="0.3">
      <c r="F39" s="112"/>
    </row>
    <row r="40" spans="1:6" x14ac:dyDescent="0.3">
      <c r="F40" s="112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K1" sqref="K1:K21"/>
    </sheetView>
  </sheetViews>
  <sheetFormatPr defaultRowHeight="14.4" x14ac:dyDescent="0.3"/>
  <cols>
    <col min="1" max="1" width="55.6640625" bestFit="1" customWidth="1"/>
    <col min="2" max="9" width="12.5546875" bestFit="1" customWidth="1"/>
    <col min="10" max="10" width="8.44140625" customWidth="1"/>
    <col min="11" max="11" width="6.5546875" bestFit="1" customWidth="1"/>
    <col min="12" max="12" width="12.554687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366</v>
      </c>
      <c r="M1" s="42" t="s">
        <v>269</v>
      </c>
    </row>
    <row r="2" spans="1:13" x14ac:dyDescent="0.3">
      <c r="A2" s="55" t="s">
        <v>20</v>
      </c>
      <c r="B2" s="56">
        <f>Entrate_Uscite!B3</f>
        <v>114100648.05</v>
      </c>
      <c r="C2" s="56">
        <f>Entrate_Uscite!E3</f>
        <v>114469848.06</v>
      </c>
      <c r="D2" s="56">
        <f>Entrate_Uscite!H3</f>
        <v>114601619.64</v>
      </c>
      <c r="E2" s="56">
        <f>Entrate_Uscite!K3</f>
        <v>114615174.8</v>
      </c>
      <c r="F2" s="56">
        <f>Entrate_Uscite!N3</f>
        <v>110852794.52</v>
      </c>
      <c r="G2" s="56">
        <f>Entrate_Uscite!Q3</f>
        <v>118040781.01000001</v>
      </c>
      <c r="H2" s="56">
        <f>Entrate_Uscite!T3</f>
        <v>122366171.18000001</v>
      </c>
      <c r="I2" s="56">
        <f>Entrate_Uscite!W3</f>
        <v>134055529.98999999</v>
      </c>
      <c r="J2" s="56">
        <f>I2/I$21*100</f>
        <v>31.208829229145437</v>
      </c>
      <c r="K2" s="57">
        <f>IF(H2&gt;0,I2/H2*100-100,"-")</f>
        <v>9.5527699341062089</v>
      </c>
      <c r="L2" s="56">
        <f>Entrate_Uscite!X3</f>
        <v>107513266.2</v>
      </c>
      <c r="M2" s="58">
        <f>IF(I2&gt;0,L2/I2*100,"-")</f>
        <v>80.200545406832575</v>
      </c>
    </row>
    <row r="3" spans="1:13" x14ac:dyDescent="0.3">
      <c r="A3" s="55" t="s">
        <v>21</v>
      </c>
      <c r="B3" s="56">
        <f>Entrate_Uscite!B4</f>
        <v>184574695.49000001</v>
      </c>
      <c r="C3" s="56">
        <f>Entrate_Uscite!E4</f>
        <v>174716901.09999999</v>
      </c>
      <c r="D3" s="56">
        <f>Entrate_Uscite!H4</f>
        <v>169690117.56999999</v>
      </c>
      <c r="E3" s="56">
        <f>Entrate_Uscite!K4</f>
        <v>178086953.16999999</v>
      </c>
      <c r="F3" s="56">
        <f>Entrate_Uscite!N4</f>
        <v>186467836.93000001</v>
      </c>
      <c r="G3" s="56">
        <f>Entrate_Uscite!Q4</f>
        <v>174680229.22999999</v>
      </c>
      <c r="H3" s="56">
        <f>Entrate_Uscite!T4</f>
        <v>174992033.06</v>
      </c>
      <c r="I3" s="56">
        <f>Entrate_Uscite!W4</f>
        <v>175944333.55000001</v>
      </c>
      <c r="J3" s="56">
        <f t="shared" ref="J3:J21" si="0">I3/I$21*100</f>
        <v>40.960762006665163</v>
      </c>
      <c r="K3" s="57">
        <f t="shared" ref="K3:K21" si="1">IF(H3&gt;0,I3/H3*100-100,"-")</f>
        <v>0.5441964833184727</v>
      </c>
      <c r="L3" s="56">
        <f>Entrate_Uscite!X4</f>
        <v>160547589.55000001</v>
      </c>
      <c r="M3" s="58">
        <f t="shared" ref="M3:M21" si="2">IF(I3&gt;0,L3/I3*100,"-")</f>
        <v>91.249082201544994</v>
      </c>
    </row>
    <row r="4" spans="1:13" x14ac:dyDescent="0.3">
      <c r="A4" s="55" t="s">
        <v>22</v>
      </c>
      <c r="B4" s="56">
        <f>Entrate_Uscite!B5</f>
        <v>61500911.469999999</v>
      </c>
      <c r="C4" s="56">
        <f>Entrate_Uscite!E5</f>
        <v>65284636.920000002</v>
      </c>
      <c r="D4" s="56">
        <f>Entrate_Uscite!H5</f>
        <v>61150950.670000002</v>
      </c>
      <c r="E4" s="56">
        <f>Entrate_Uscite!K5</f>
        <v>59705003.780000001</v>
      </c>
      <c r="F4" s="56">
        <f>Entrate_Uscite!N5</f>
        <v>44420359.329999998</v>
      </c>
      <c r="G4" s="56">
        <f>Entrate_Uscite!Q5</f>
        <v>47433090.799999997</v>
      </c>
      <c r="H4" s="56">
        <f>Entrate_Uscite!T5</f>
        <v>61038423.810000002</v>
      </c>
      <c r="I4" s="56">
        <f>Entrate_Uscite!W5</f>
        <v>72330039.129999995</v>
      </c>
      <c r="J4" s="56">
        <f t="shared" si="0"/>
        <v>16.838811793246915</v>
      </c>
      <c r="K4" s="57">
        <f t="shared" si="1"/>
        <v>18.499192173029329</v>
      </c>
      <c r="L4" s="56">
        <f>Entrate_Uscite!X5</f>
        <v>57804675.43</v>
      </c>
      <c r="M4" s="58">
        <f t="shared" si="2"/>
        <v>79.917937450727322</v>
      </c>
    </row>
    <row r="5" spans="1:13" x14ac:dyDescent="0.3">
      <c r="A5" s="4" t="s">
        <v>31</v>
      </c>
      <c r="B5" s="43">
        <f t="shared" ref="B5:I5" si="3">SUM(B2:B4)</f>
        <v>360176255.00999999</v>
      </c>
      <c r="C5" s="43">
        <f t="shared" si="3"/>
        <v>354471386.07999998</v>
      </c>
      <c r="D5" s="43">
        <f t="shared" si="3"/>
        <v>345442687.88</v>
      </c>
      <c r="E5" s="43">
        <f t="shared" si="3"/>
        <v>352407131.75</v>
      </c>
      <c r="F5" s="43">
        <f t="shared" si="3"/>
        <v>341740990.77999997</v>
      </c>
      <c r="G5" s="43">
        <f t="shared" ref="G5:H5" si="4">SUM(G2:G4)</f>
        <v>340154101.04000002</v>
      </c>
      <c r="H5" s="43">
        <f t="shared" si="4"/>
        <v>358396628.05000001</v>
      </c>
      <c r="I5" s="43">
        <f t="shared" si="3"/>
        <v>382329902.67000002</v>
      </c>
      <c r="J5" s="43">
        <f t="shared" si="0"/>
        <v>89.008403029057519</v>
      </c>
      <c r="K5" s="44">
        <f t="shared" si="1"/>
        <v>6.677873826608959</v>
      </c>
      <c r="L5" s="43">
        <f>SUM(L2:L4)</f>
        <v>325865531.18000001</v>
      </c>
      <c r="M5" s="45">
        <f>IF(I5&gt;0,L5/I5*100,"-")</f>
        <v>85.231505279686161</v>
      </c>
    </row>
    <row r="6" spans="1:13" x14ac:dyDescent="0.3">
      <c r="A6" s="55" t="s">
        <v>23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>Entrate_Uscite!Q6</f>
        <v>0</v>
      </c>
      <c r="H6" s="56">
        <f>Entrate_Uscite!T6</f>
        <v>0</v>
      </c>
      <c r="I6" s="56">
        <f>Entrate_Uscite!W6</f>
        <v>0</v>
      </c>
      <c r="J6" s="56">
        <f t="shared" si="0"/>
        <v>0</v>
      </c>
      <c r="K6" s="57" t="str">
        <f t="shared" si="1"/>
        <v>-</v>
      </c>
      <c r="L6" s="56">
        <f>Entrate_Uscite!X6</f>
        <v>0</v>
      </c>
      <c r="M6" s="58" t="str">
        <f t="shared" si="2"/>
        <v>-</v>
      </c>
    </row>
    <row r="7" spans="1:13" x14ac:dyDescent="0.3">
      <c r="A7" s="55" t="s">
        <v>24</v>
      </c>
      <c r="B7" s="56">
        <f>Entrate_Uscite!B7</f>
        <v>10288049.390000001</v>
      </c>
      <c r="C7" s="56">
        <f>Entrate_Uscite!E7</f>
        <v>10962999.98</v>
      </c>
      <c r="D7" s="56">
        <f>Entrate_Uscite!H7</f>
        <v>85360707.930000007</v>
      </c>
      <c r="E7" s="56">
        <f>Entrate_Uscite!K7</f>
        <v>23972887.469999999</v>
      </c>
      <c r="F7" s="56">
        <f>Entrate_Uscite!N7</f>
        <v>32169381.989999998</v>
      </c>
      <c r="G7" s="56">
        <f>Entrate_Uscite!Q7</f>
        <v>16286173.560000001</v>
      </c>
      <c r="H7" s="56">
        <f>Entrate_Uscite!T7</f>
        <v>46561034.439999998</v>
      </c>
      <c r="I7" s="56">
        <f>Entrate_Uscite!W7</f>
        <v>37619085.119999997</v>
      </c>
      <c r="J7" s="56">
        <f t="shared" si="0"/>
        <v>8.7579199705849167</v>
      </c>
      <c r="K7" s="57">
        <f t="shared" si="1"/>
        <v>-19.204790932046151</v>
      </c>
      <c r="L7" s="56">
        <f>Entrate_Uscite!X7</f>
        <v>20351617.32</v>
      </c>
      <c r="M7" s="58">
        <f t="shared" si="2"/>
        <v>54.099181984572411</v>
      </c>
    </row>
    <row r="8" spans="1:13" x14ac:dyDescent="0.3">
      <c r="A8" s="55" t="s">
        <v>25</v>
      </c>
      <c r="B8" s="56">
        <f>Entrate_Uscite!B8</f>
        <v>0</v>
      </c>
      <c r="C8" s="56">
        <f>Entrate_Uscite!E8</f>
        <v>0</v>
      </c>
      <c r="D8" s="56">
        <f>Entrate_Uscite!H8</f>
        <v>0</v>
      </c>
      <c r="E8" s="56">
        <f>Entrate_Uscite!K8</f>
        <v>0</v>
      </c>
      <c r="F8" s="56">
        <f>Entrate_Uscite!N8</f>
        <v>0</v>
      </c>
      <c r="G8" s="56">
        <f>Entrate_Uscite!Q8</f>
        <v>0</v>
      </c>
      <c r="H8" s="56">
        <f>Entrate_Uscite!T8</f>
        <v>0</v>
      </c>
      <c r="I8" s="56">
        <f>Entrate_Uscite!W8</f>
        <v>0</v>
      </c>
      <c r="J8" s="56">
        <f t="shared" si="0"/>
        <v>0</v>
      </c>
      <c r="K8" s="57" t="str">
        <f t="shared" si="1"/>
        <v>-</v>
      </c>
      <c r="L8" s="56">
        <f>Entrate_Uscite!X8</f>
        <v>0</v>
      </c>
      <c r="M8" s="58" t="str">
        <f t="shared" si="2"/>
        <v>-</v>
      </c>
    </row>
    <row r="9" spans="1:13" x14ac:dyDescent="0.3">
      <c r="A9" s="55" t="s">
        <v>26</v>
      </c>
      <c r="B9" s="56">
        <f>Entrate_Uscite!B9</f>
        <v>3127734.96</v>
      </c>
      <c r="C9" s="56">
        <f>Entrate_Uscite!E9</f>
        <v>4322922.46</v>
      </c>
      <c r="D9" s="56">
        <f>Entrate_Uscite!H9</f>
        <v>3616271.31</v>
      </c>
      <c r="E9" s="56">
        <f>Entrate_Uscite!K9</f>
        <v>910073.43</v>
      </c>
      <c r="F9" s="56">
        <f>Entrate_Uscite!N9</f>
        <v>7371888.5</v>
      </c>
      <c r="G9" s="56">
        <f>Entrate_Uscite!Q9</f>
        <v>840308.49</v>
      </c>
      <c r="H9" s="56">
        <f>Entrate_Uscite!T9</f>
        <v>10329806.85</v>
      </c>
      <c r="I9" s="56">
        <f>Entrate_Uscite!W9</f>
        <v>2995674.34</v>
      </c>
      <c r="J9" s="56">
        <f t="shared" si="0"/>
        <v>0.69740867019933495</v>
      </c>
      <c r="K9" s="57">
        <f t="shared" si="1"/>
        <v>-70.999706156170774</v>
      </c>
      <c r="L9" s="56">
        <f>Entrate_Uscite!X9</f>
        <v>2727475.48</v>
      </c>
      <c r="M9" s="58">
        <f t="shared" si="2"/>
        <v>91.047128974640145</v>
      </c>
    </row>
    <row r="10" spans="1:13" x14ac:dyDescent="0.3">
      <c r="A10" s="55" t="s">
        <v>27</v>
      </c>
      <c r="B10" s="56">
        <f>Entrate_Uscite!B10</f>
        <v>2288071.19</v>
      </c>
      <c r="C10" s="56">
        <f>Entrate_Uscite!E10</f>
        <v>3553924.59</v>
      </c>
      <c r="D10" s="56">
        <f>Entrate_Uscite!H10</f>
        <v>2036075.31</v>
      </c>
      <c r="E10" s="56">
        <f>Entrate_Uscite!K10</f>
        <v>2388445.71</v>
      </c>
      <c r="F10" s="56">
        <f>Entrate_Uscite!N10</f>
        <v>1642309.44</v>
      </c>
      <c r="G10" s="56">
        <f>Entrate_Uscite!Q10</f>
        <v>1331464.4099999999</v>
      </c>
      <c r="H10" s="56">
        <f>Entrate_Uscite!T10</f>
        <v>1977511.17</v>
      </c>
      <c r="I10" s="56">
        <f>Entrate_Uscite!W10</f>
        <v>2877738.82</v>
      </c>
      <c r="J10" s="56">
        <f t="shared" si="0"/>
        <v>0.66995266369214335</v>
      </c>
      <c r="K10" s="57">
        <f t="shared" si="1"/>
        <v>45.523264983630895</v>
      </c>
      <c r="L10" s="56">
        <f>Entrate_Uscite!X10</f>
        <v>2876003.82</v>
      </c>
      <c r="M10" s="58">
        <f t="shared" si="2"/>
        <v>99.939709608532155</v>
      </c>
    </row>
    <row r="11" spans="1:13" x14ac:dyDescent="0.3">
      <c r="A11" s="4" t="s">
        <v>32</v>
      </c>
      <c r="B11" s="46">
        <f t="shared" ref="B11:I11" si="5">SUM(B6:B10)</f>
        <v>15703855.540000001</v>
      </c>
      <c r="C11" s="46">
        <f t="shared" si="5"/>
        <v>18839847.030000001</v>
      </c>
      <c r="D11" s="46">
        <f t="shared" si="5"/>
        <v>91013054.550000012</v>
      </c>
      <c r="E11" s="46">
        <f t="shared" si="5"/>
        <v>27271406.609999999</v>
      </c>
      <c r="F11" s="46">
        <f t="shared" si="5"/>
        <v>41183579.929999992</v>
      </c>
      <c r="G11" s="46">
        <f t="shared" ref="G11" si="6">SUM(G6:G10)</f>
        <v>18457946.460000001</v>
      </c>
      <c r="H11" s="46">
        <f t="shared" ref="H11" si="7">SUM(H6:H10)</f>
        <v>58868352.460000001</v>
      </c>
      <c r="I11" s="46">
        <f t="shared" si="5"/>
        <v>43492498.279999994</v>
      </c>
      <c r="J11" s="46">
        <f t="shared" si="0"/>
        <v>10.125281304476394</v>
      </c>
      <c r="K11" s="44">
        <f t="shared" si="1"/>
        <v>-26.1190496038557</v>
      </c>
      <c r="L11" s="46">
        <f>SUM(L6:L10)</f>
        <v>25955096.620000001</v>
      </c>
      <c r="M11" s="45">
        <f>IF(I11&gt;0,L11/I11*100,"-")</f>
        <v>59.677180310277642</v>
      </c>
    </row>
    <row r="12" spans="1:13" x14ac:dyDescent="0.3">
      <c r="A12" s="55" t="s">
        <v>28</v>
      </c>
      <c r="B12" s="56">
        <f>Entrate_Uscite!B11</f>
        <v>0</v>
      </c>
      <c r="C12" s="56">
        <f>Entrate_Uscite!E11</f>
        <v>15314200</v>
      </c>
      <c r="D12" s="56">
        <f>Entrate_Uscite!H11</f>
        <v>9481527.8200000003</v>
      </c>
      <c r="E12" s="56">
        <f>Entrate_Uscite!K11</f>
        <v>12963116.5</v>
      </c>
      <c r="F12" s="56">
        <f>Entrate_Uscite!N11</f>
        <v>537200</v>
      </c>
      <c r="G12" s="56">
        <f>Entrate_Uscite!Q11</f>
        <v>0</v>
      </c>
      <c r="H12" s="56">
        <f>Entrate_Uscite!T11</f>
        <v>4444860.8</v>
      </c>
      <c r="I12" s="56">
        <f>Entrate_Uscite!W11</f>
        <v>3656606.91</v>
      </c>
      <c r="J12" s="56">
        <f t="shared" si="0"/>
        <v>0.85127723280655387</v>
      </c>
      <c r="K12" s="57">
        <f t="shared" si="1"/>
        <v>-17.734051199083666</v>
      </c>
      <c r="L12" s="56">
        <f>Entrate_Uscite!X11</f>
        <v>2206606.91</v>
      </c>
      <c r="M12" s="58">
        <f t="shared" si="2"/>
        <v>60.345751247294999</v>
      </c>
    </row>
    <row r="13" spans="1:13" x14ac:dyDescent="0.3">
      <c r="A13" s="55" t="s">
        <v>29</v>
      </c>
      <c r="B13" s="56">
        <f>Entrate_Uscite!B12</f>
        <v>241252.07</v>
      </c>
      <c r="C13" s="56">
        <f>Entrate_Uscite!E12</f>
        <v>252163.83000000002</v>
      </c>
      <c r="D13" s="56">
        <f>Entrate_Uscite!H12</f>
        <v>236876.48</v>
      </c>
      <c r="E13" s="56">
        <f>Entrate_Uscite!K12</f>
        <v>217484.76</v>
      </c>
      <c r="F13" s="56">
        <f>Entrate_Uscite!N12</f>
        <v>87815.359999999986</v>
      </c>
      <c r="G13" s="56">
        <f>Entrate_Uscite!Q12</f>
        <v>28049</v>
      </c>
      <c r="H13" s="56">
        <f>Entrate_Uscite!T12</f>
        <v>110596.27</v>
      </c>
      <c r="I13" s="56">
        <f>Entrate_Uscite!W12</f>
        <v>64596.63</v>
      </c>
      <c r="J13" s="56">
        <f t="shared" si="0"/>
        <v>1.5038433659534056E-2</v>
      </c>
      <c r="K13" s="57">
        <f t="shared" si="1"/>
        <v>-41.592397284284544</v>
      </c>
      <c r="L13" s="56">
        <f>Entrate_Uscite!X12</f>
        <v>30343.3</v>
      </c>
      <c r="M13" s="58">
        <f t="shared" si="2"/>
        <v>46.973503106895826</v>
      </c>
    </row>
    <row r="14" spans="1:13" x14ac:dyDescent="0.3">
      <c r="A14" s="55" t="s">
        <v>30</v>
      </c>
      <c r="B14" s="56">
        <f>Entrate_Uscite!B13</f>
        <v>21389111.23</v>
      </c>
      <c r="C14" s="56">
        <f>Entrate_Uscite!E13</f>
        <v>0</v>
      </c>
      <c r="D14" s="56">
        <f>Entrate_Uscite!H13</f>
        <v>0</v>
      </c>
      <c r="E14" s="56">
        <f>Entrate_Uscite!K13</f>
        <v>0</v>
      </c>
      <c r="F14" s="56">
        <f>Entrate_Uscite!N13</f>
        <v>5000000</v>
      </c>
      <c r="G14" s="56">
        <f>Entrate_Uscite!Q13</f>
        <v>0</v>
      </c>
      <c r="H14" s="56">
        <f>Entrate_Uscite!T13</f>
        <v>0</v>
      </c>
      <c r="I14" s="56">
        <f>Entrate_Uscite!W13</f>
        <v>0</v>
      </c>
      <c r="J14" s="56">
        <f t="shared" si="0"/>
        <v>0</v>
      </c>
      <c r="K14" s="57" t="str">
        <f t="shared" si="1"/>
        <v>-</v>
      </c>
      <c r="L14" s="56">
        <f>Entrate_Uscite!X13</f>
        <v>0</v>
      </c>
      <c r="M14" s="58" t="str">
        <f t="shared" si="2"/>
        <v>-</v>
      </c>
    </row>
    <row r="15" spans="1:13" x14ac:dyDescent="0.3">
      <c r="A15" s="4" t="s">
        <v>33</v>
      </c>
      <c r="B15" s="43">
        <f t="shared" ref="B15:I15" si="8">SUM(B12:B14)</f>
        <v>21630363.300000001</v>
      </c>
      <c r="C15" s="43">
        <f t="shared" si="8"/>
        <v>15566363.83</v>
      </c>
      <c r="D15" s="43">
        <f t="shared" si="8"/>
        <v>9718404.3000000007</v>
      </c>
      <c r="E15" s="43">
        <f t="shared" si="8"/>
        <v>13180601.26</v>
      </c>
      <c r="F15" s="43">
        <f t="shared" si="8"/>
        <v>5625015.3600000003</v>
      </c>
      <c r="G15" s="43">
        <f t="shared" ref="G15" si="9">SUM(G12:G14)</f>
        <v>28049</v>
      </c>
      <c r="H15" s="43">
        <f t="shared" ref="H15" si="10">SUM(H12:H14)</f>
        <v>4555457.0699999994</v>
      </c>
      <c r="I15" s="43">
        <f t="shared" si="8"/>
        <v>3721203.54</v>
      </c>
      <c r="J15" s="43">
        <f t="shared" si="0"/>
        <v>0.86631566646608782</v>
      </c>
      <c r="K15" s="44">
        <f t="shared" si="1"/>
        <v>-18.313278276596719</v>
      </c>
      <c r="L15" s="43">
        <f>SUM(L12:L14)</f>
        <v>2236950.21</v>
      </c>
      <c r="M15" s="45">
        <f t="shared" si="2"/>
        <v>60.11362146559712</v>
      </c>
    </row>
    <row r="16" spans="1:13" x14ac:dyDescent="0.3">
      <c r="A16" s="47" t="s">
        <v>348</v>
      </c>
      <c r="B16" s="48">
        <f t="shared" ref="B16:I16" si="11">B5+B11+B15</f>
        <v>397510473.85000002</v>
      </c>
      <c r="C16" s="48">
        <f t="shared" si="11"/>
        <v>388877596.94</v>
      </c>
      <c r="D16" s="48">
        <f t="shared" si="11"/>
        <v>446174146.73000002</v>
      </c>
      <c r="E16" s="48">
        <f t="shared" si="11"/>
        <v>392859139.62</v>
      </c>
      <c r="F16" s="48">
        <f t="shared" si="11"/>
        <v>388549586.06999999</v>
      </c>
      <c r="G16" s="48">
        <f t="shared" ref="G16:H16" si="12">G5+G11+G15</f>
        <v>358640096.5</v>
      </c>
      <c r="H16" s="48">
        <f t="shared" si="12"/>
        <v>421820437.57999998</v>
      </c>
      <c r="I16" s="48">
        <f t="shared" si="11"/>
        <v>429543604.49000001</v>
      </c>
      <c r="J16" s="48">
        <f t="shared" si="0"/>
        <v>100</v>
      </c>
      <c r="K16" s="49">
        <f t="shared" si="1"/>
        <v>1.8309133986746104</v>
      </c>
      <c r="L16" s="48">
        <f>L5+L11+L15</f>
        <v>354057578.00999999</v>
      </c>
      <c r="M16" s="50">
        <f t="shared" si="2"/>
        <v>82.426457828507282</v>
      </c>
    </row>
    <row r="17" spans="1:13" x14ac:dyDescent="0.3">
      <c r="A17" s="4" t="s">
        <v>34</v>
      </c>
      <c r="B17" s="43">
        <f>Entrate_Uscite!B17</f>
        <v>904660</v>
      </c>
      <c r="C17" s="43">
        <f>Entrate_Uscite!E17</f>
        <v>2400000</v>
      </c>
      <c r="D17" s="43">
        <f>Entrate_Uscite!H17</f>
        <v>450000</v>
      </c>
      <c r="E17" s="43">
        <f>Entrate_Uscite!K17</f>
        <v>1400000</v>
      </c>
      <c r="F17" s="43">
        <f>Entrate_Uscite!N17</f>
        <v>5700000</v>
      </c>
      <c r="G17" s="43">
        <f>Entrate_Uscite!Q17</f>
        <v>0</v>
      </c>
      <c r="H17" s="43">
        <f>Entrate_Uscite!T17</f>
        <v>0</v>
      </c>
      <c r="I17" s="43">
        <f>Entrate_Uscite!W17</f>
        <v>0</v>
      </c>
      <c r="J17" s="43">
        <f t="shared" si="0"/>
        <v>0</v>
      </c>
      <c r="K17" s="44" t="str">
        <f t="shared" si="1"/>
        <v>-</v>
      </c>
      <c r="L17" s="43">
        <f>Entrate_Uscite!X17</f>
        <v>0</v>
      </c>
      <c r="M17" s="45" t="str">
        <f t="shared" si="2"/>
        <v>-</v>
      </c>
    </row>
    <row r="18" spans="1:13" x14ac:dyDescent="0.3">
      <c r="A18" s="4" t="s">
        <v>35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>Entrate_Uscite!Q18</f>
        <v>0</v>
      </c>
      <c r="H18" s="43">
        <f>Entrate_Uscite!T18</f>
        <v>0</v>
      </c>
      <c r="I18" s="43">
        <f>Entrate_Uscite!W18</f>
        <v>0</v>
      </c>
      <c r="J18" s="43">
        <f t="shared" si="0"/>
        <v>0</v>
      </c>
      <c r="K18" s="44" t="str">
        <f t="shared" si="1"/>
        <v>-</v>
      </c>
      <c r="L18" s="43">
        <f>Entrate_Uscite!X18</f>
        <v>0</v>
      </c>
      <c r="M18" s="45" t="str">
        <f t="shared" si="2"/>
        <v>-</v>
      </c>
    </row>
    <row r="19" spans="1:13" x14ac:dyDescent="0.3">
      <c r="A19" s="4" t="s">
        <v>36</v>
      </c>
      <c r="B19" s="43">
        <f>Entrate_Uscite!B19</f>
        <v>94179331.629999995</v>
      </c>
      <c r="C19" s="43">
        <f>Entrate_Uscite!E19</f>
        <v>125704973.87</v>
      </c>
      <c r="D19" s="43">
        <f>Entrate_Uscite!H19</f>
        <v>46710695.700000003</v>
      </c>
      <c r="E19" s="43">
        <f>Entrate_Uscite!K19</f>
        <v>51471673.600000001</v>
      </c>
      <c r="F19" s="43">
        <f>Entrate_Uscite!N19</f>
        <v>48077289.909999996</v>
      </c>
      <c r="G19" s="43">
        <f>Entrate_Uscite!Q19</f>
        <v>49192902.409999996</v>
      </c>
      <c r="H19" s="43">
        <f>Entrate_Uscite!T19</f>
        <v>49508266</v>
      </c>
      <c r="I19" s="43">
        <f>Entrate_Uscite!W19</f>
        <v>55328272.009999998</v>
      </c>
      <c r="J19" s="43"/>
      <c r="K19" s="44">
        <f t="shared" si="1"/>
        <v>11.755624828387241</v>
      </c>
      <c r="L19" s="43">
        <f>Entrate_Uscite!X19</f>
        <v>54447439.890000001</v>
      </c>
      <c r="M19" s="45">
        <f t="shared" si="2"/>
        <v>98.407989102134266</v>
      </c>
    </row>
    <row r="20" spans="1:13" x14ac:dyDescent="0.3">
      <c r="A20" s="47" t="s">
        <v>37</v>
      </c>
      <c r="B20" s="48">
        <f t="shared" ref="B20:I20" si="13">B5+B11+B15+B17+B18+B19</f>
        <v>492594465.48000002</v>
      </c>
      <c r="C20" s="48">
        <f t="shared" si="13"/>
        <v>516982570.81</v>
      </c>
      <c r="D20" s="48">
        <f t="shared" si="13"/>
        <v>493334842.43000001</v>
      </c>
      <c r="E20" s="48">
        <f t="shared" si="13"/>
        <v>445730813.22000003</v>
      </c>
      <c r="F20" s="48">
        <f t="shared" si="13"/>
        <v>442326875.98000002</v>
      </c>
      <c r="G20" s="48">
        <f t="shared" ref="G20:H20" si="14">G5+G11+G15+G17+G18+G19</f>
        <v>407832998.90999997</v>
      </c>
      <c r="H20" s="48">
        <f t="shared" si="14"/>
        <v>471328703.57999998</v>
      </c>
      <c r="I20" s="48">
        <f t="shared" si="13"/>
        <v>484871876.5</v>
      </c>
      <c r="J20" s="48"/>
      <c r="K20" s="49">
        <f t="shared" si="1"/>
        <v>2.8734029600005613</v>
      </c>
      <c r="L20" s="48">
        <f>L5+L11+L15+L17+L18+L19</f>
        <v>408505017.89999998</v>
      </c>
      <c r="M20" s="50">
        <f t="shared" si="2"/>
        <v>84.250095272333255</v>
      </c>
    </row>
    <row r="21" spans="1:13" x14ac:dyDescent="0.3">
      <c r="A21" s="38" t="s">
        <v>38</v>
      </c>
      <c r="B21" s="51">
        <f t="shared" ref="B21:I21" si="15">B20-B19</f>
        <v>398415133.85000002</v>
      </c>
      <c r="C21" s="51">
        <f t="shared" si="15"/>
        <v>391277596.94</v>
      </c>
      <c r="D21" s="51">
        <f t="shared" si="15"/>
        <v>446624146.73000002</v>
      </c>
      <c r="E21" s="51">
        <f t="shared" si="15"/>
        <v>394259139.62</v>
      </c>
      <c r="F21" s="51">
        <f t="shared" si="15"/>
        <v>394249586.07000005</v>
      </c>
      <c r="G21" s="51">
        <f t="shared" ref="G21:H21" si="16">G20-G19</f>
        <v>358640096.5</v>
      </c>
      <c r="H21" s="51">
        <f t="shared" si="16"/>
        <v>421820437.57999998</v>
      </c>
      <c r="I21" s="51">
        <f t="shared" si="15"/>
        <v>429543604.49000001</v>
      </c>
      <c r="J21" s="51">
        <f t="shared" si="0"/>
        <v>100</v>
      </c>
      <c r="K21" s="52">
        <f t="shared" si="1"/>
        <v>1.8309133986746104</v>
      </c>
      <c r="L21" s="51">
        <f>L20-L19</f>
        <v>354057578.00999999</v>
      </c>
      <c r="M21" s="53">
        <f t="shared" si="2"/>
        <v>82.426457828507282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9" width="12.5546875" bestFit="1" customWidth="1"/>
    <col min="10" max="10" width="8.5546875" customWidth="1"/>
    <col min="11" max="11" width="6.5546875" bestFit="1" customWidth="1"/>
    <col min="12" max="12" width="12.554687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367</v>
      </c>
      <c r="M1" s="42" t="s">
        <v>339</v>
      </c>
    </row>
    <row r="2" spans="1:13" x14ac:dyDescent="0.3">
      <c r="A2" s="59" t="s">
        <v>270</v>
      </c>
      <c r="B2" s="56">
        <f>Entrate_Uscite!B23</f>
        <v>98662095.790000007</v>
      </c>
      <c r="C2" s="56">
        <f>Entrate_Uscite!E23</f>
        <v>98760056.489999995</v>
      </c>
      <c r="D2" s="56">
        <f>Entrate_Uscite!H23</f>
        <v>98047168.269999996</v>
      </c>
      <c r="E2" s="56">
        <f>Entrate_Uscite!K23</f>
        <v>99376418.909999996</v>
      </c>
      <c r="F2" s="56">
        <f>Entrate_Uscite!N23</f>
        <v>96338755.650000006</v>
      </c>
      <c r="G2" s="56">
        <f>Entrate_Uscite!Q23</f>
        <v>101639728.86</v>
      </c>
      <c r="H2" s="56">
        <f>Entrate_Uscite!T23</f>
        <v>103137145.26000001</v>
      </c>
      <c r="I2" s="56">
        <f>Entrate_Uscite!W23</f>
        <v>109531274.23</v>
      </c>
      <c r="J2" s="56">
        <f>I2/I$31*100</f>
        <v>24.888332026253629</v>
      </c>
      <c r="K2" s="57">
        <f>IF(H2&gt;0,I2/H2*100-100,"-")</f>
        <v>6.1996373410190273</v>
      </c>
      <c r="L2" s="56">
        <f>Entrate_Uscite!X23</f>
        <v>100766677.01000001</v>
      </c>
      <c r="M2" s="58">
        <f>IF(I2&gt;0,L2/I2*100,"-")</f>
        <v>91.99808704717924</v>
      </c>
    </row>
    <row r="3" spans="1:13" x14ac:dyDescent="0.3">
      <c r="A3" s="59" t="s">
        <v>271</v>
      </c>
      <c r="B3" s="56">
        <f>Entrate_Uscite!B24</f>
        <v>4502874.8899999997</v>
      </c>
      <c r="C3" s="56">
        <f>Entrate_Uscite!E24</f>
        <v>4430283.25</v>
      </c>
      <c r="D3" s="56">
        <f>Entrate_Uscite!H24</f>
        <v>4961194.51</v>
      </c>
      <c r="E3" s="56">
        <f>Entrate_Uscite!K24</f>
        <v>4964358.1900000004</v>
      </c>
      <c r="F3" s="56">
        <f>Entrate_Uscite!N24</f>
        <v>4941523.0999999996</v>
      </c>
      <c r="G3" s="56">
        <f>Entrate_Uscite!Q24</f>
        <v>4229405</v>
      </c>
      <c r="H3" s="56">
        <f>Entrate_Uscite!T24</f>
        <v>4633590.04</v>
      </c>
      <c r="I3" s="56">
        <f>Entrate_Uscite!W24</f>
        <v>6744623.1900000004</v>
      </c>
      <c r="J3" s="56">
        <f t="shared" ref="J3:J31" si="0">I3/I$31*100</f>
        <v>1.5325524378745274</v>
      </c>
      <c r="K3" s="57">
        <f t="shared" ref="K3:K31" si="1">IF(H3&gt;0,I3/H3*100-100,"-")</f>
        <v>45.559342362536682</v>
      </c>
      <c r="L3" s="56">
        <f>Entrate_Uscite!X24</f>
        <v>4554386.13</v>
      </c>
      <c r="M3" s="58">
        <f>IF(I3&gt;0,L3/I3*100,"-")</f>
        <v>67.526176062031425</v>
      </c>
    </row>
    <row r="4" spans="1:13" x14ac:dyDescent="0.3">
      <c r="A4" s="59" t="s">
        <v>272</v>
      </c>
      <c r="B4" s="56">
        <f>Entrate_Uscite!B25</f>
        <v>141372652.31</v>
      </c>
      <c r="C4" s="56">
        <f>Entrate_Uscite!E25</f>
        <v>134341196.97</v>
      </c>
      <c r="D4" s="56">
        <f>Entrate_Uscite!H25</f>
        <v>139375868.55000001</v>
      </c>
      <c r="E4" s="56">
        <f>Entrate_Uscite!K25</f>
        <v>147179731.33000001</v>
      </c>
      <c r="F4" s="56">
        <f>Entrate_Uscite!N25</f>
        <v>145706248.72</v>
      </c>
      <c r="G4" s="56">
        <f>Entrate_Uscite!Q25</f>
        <v>155745033.18000001</v>
      </c>
      <c r="H4" s="56">
        <f>Entrate_Uscite!T25</f>
        <v>167612251.34999999</v>
      </c>
      <c r="I4" s="56">
        <f>Entrate_Uscite!W25</f>
        <v>175454878.97999999</v>
      </c>
      <c r="J4" s="56">
        <f t="shared" si="0"/>
        <v>39.867876224198547</v>
      </c>
      <c r="K4" s="57">
        <f t="shared" si="1"/>
        <v>4.679030063037203</v>
      </c>
      <c r="L4" s="56">
        <f>Entrate_Uscite!X25</f>
        <v>138699979.78999999</v>
      </c>
      <c r="M4" s="58">
        <f t="shared" ref="M4:M9" si="2">IF(I4&gt;0,L4/I4*100,"-")</f>
        <v>79.051651681803804</v>
      </c>
    </row>
    <row r="5" spans="1:13" x14ac:dyDescent="0.3">
      <c r="A5" s="59" t="s">
        <v>273</v>
      </c>
      <c r="B5" s="56">
        <f>Entrate_Uscite!B26</f>
        <v>45068901.859999999</v>
      </c>
      <c r="C5" s="56">
        <f>Entrate_Uscite!E26</f>
        <v>42524584.18</v>
      </c>
      <c r="D5" s="56">
        <f>Entrate_Uscite!H26</f>
        <v>33237716.859999999</v>
      </c>
      <c r="E5" s="56">
        <f>Entrate_Uscite!K26</f>
        <v>34096220.710000001</v>
      </c>
      <c r="F5" s="56">
        <f>Entrate_Uscite!N26</f>
        <v>37246134.840000004</v>
      </c>
      <c r="G5" s="56">
        <f>Entrate_Uscite!Q26</f>
        <v>36156246.850000001</v>
      </c>
      <c r="H5" s="56">
        <f>Entrate_Uscite!T26</f>
        <v>38013824.100000001</v>
      </c>
      <c r="I5" s="56">
        <f>Entrate_Uscite!W26</f>
        <v>38545663.359999999</v>
      </c>
      <c r="J5" s="56">
        <f t="shared" si="0"/>
        <v>8.7585694096957916</v>
      </c>
      <c r="K5" s="57">
        <f t="shared" si="1"/>
        <v>1.3990680300959326</v>
      </c>
      <c r="L5" s="56">
        <f>Entrate_Uscite!X26</f>
        <v>29462872.920000002</v>
      </c>
      <c r="M5" s="58">
        <f t="shared" si="2"/>
        <v>76.436284530452568</v>
      </c>
    </row>
    <row r="6" spans="1:13" x14ac:dyDescent="0.3">
      <c r="A6" s="59" t="s">
        <v>274</v>
      </c>
      <c r="B6" s="56">
        <f>Entrate_Uscite!B27</f>
        <v>5947228.7800000003</v>
      </c>
      <c r="C6" s="56">
        <f>Entrate_Uscite!E27</f>
        <v>5486793.5999999996</v>
      </c>
      <c r="D6" s="56">
        <f>Entrate_Uscite!H27</f>
        <v>4808314.83</v>
      </c>
      <c r="E6" s="56">
        <f>Entrate_Uscite!K27</f>
        <v>4498722.24</v>
      </c>
      <c r="F6" s="56">
        <f>Entrate_Uscite!N27</f>
        <v>4217456.4800000004</v>
      </c>
      <c r="G6" s="56">
        <f>Entrate_Uscite!Q27</f>
        <v>3863291.25</v>
      </c>
      <c r="H6" s="56">
        <f>Entrate_Uscite!T27</f>
        <v>3733952.48</v>
      </c>
      <c r="I6" s="56">
        <f>Entrate_Uscite!W27</f>
        <v>3667424.2</v>
      </c>
      <c r="J6" s="56">
        <f t="shared" si="0"/>
        <v>0.83333341835365582</v>
      </c>
      <c r="K6" s="57">
        <f t="shared" si="1"/>
        <v>-1.781712015788699</v>
      </c>
      <c r="L6" s="56">
        <f>Entrate_Uscite!X27</f>
        <v>3667424.2</v>
      </c>
      <c r="M6" s="58">
        <f t="shared" si="2"/>
        <v>100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777831.87</v>
      </c>
      <c r="D7" s="56">
        <f>Entrate_Uscite!H28</f>
        <v>0</v>
      </c>
      <c r="E7" s="56">
        <f>Entrate_Uscite!K28</f>
        <v>81830.28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63344.38</v>
      </c>
      <c r="J7" s="56">
        <f t="shared" si="0"/>
        <v>1.4393477776280405E-2</v>
      </c>
      <c r="K7" s="57" t="str">
        <f t="shared" si="1"/>
        <v>-</v>
      </c>
      <c r="L7" s="56">
        <f>Entrate_Uscite!X28</f>
        <v>63344.38</v>
      </c>
      <c r="M7" s="58">
        <f t="shared" si="2"/>
        <v>100</v>
      </c>
    </row>
    <row r="8" spans="1:13" x14ac:dyDescent="0.3">
      <c r="A8" s="59" t="s">
        <v>276</v>
      </c>
      <c r="B8" s="56">
        <f>Entrate_Uscite!B29</f>
        <v>38162910.280000001</v>
      </c>
      <c r="C8" s="56">
        <f>Entrate_Uscite!E29</f>
        <v>36894768.600000001</v>
      </c>
      <c r="D8" s="56">
        <f>Entrate_Uscite!H29</f>
        <v>37079240.560000002</v>
      </c>
      <c r="E8" s="56">
        <f>Entrate_Uscite!K29</f>
        <v>35515476.299999997</v>
      </c>
      <c r="F8" s="56">
        <f>Entrate_Uscite!N29</f>
        <v>10828392.689999999</v>
      </c>
      <c r="G8" s="56">
        <f>Entrate_Uscite!Q29</f>
        <v>10191452.970000001</v>
      </c>
      <c r="H8" s="56">
        <f>Entrate_Uscite!T29</f>
        <v>10807254.41</v>
      </c>
      <c r="I8" s="56">
        <f>Entrate_Uscite!W29</f>
        <v>16892815.52</v>
      </c>
      <c r="J8" s="56">
        <f t="shared" si="0"/>
        <v>3.8384836155302922</v>
      </c>
      <c r="K8" s="57">
        <f t="shared" si="1"/>
        <v>56.309964391779317</v>
      </c>
      <c r="L8" s="56">
        <f>Entrate_Uscite!X29</f>
        <v>10356839.529999999</v>
      </c>
      <c r="M8" s="58">
        <f t="shared" si="2"/>
        <v>61.309137708502007</v>
      </c>
    </row>
    <row r="9" spans="1:13" x14ac:dyDescent="0.3">
      <c r="A9" s="59" t="s">
        <v>277</v>
      </c>
      <c r="B9" s="56">
        <f>Entrate_Uscite!B30</f>
        <v>8065311.0800000001</v>
      </c>
      <c r="C9" s="56">
        <f>Entrate_Uscite!E30</f>
        <v>7848565.8499999996</v>
      </c>
      <c r="D9" s="56">
        <f>Entrate_Uscite!H30</f>
        <v>2904449.17</v>
      </c>
      <c r="E9" s="56">
        <f>Entrate_Uscite!K30</f>
        <v>3572613.71</v>
      </c>
      <c r="F9" s="56">
        <f>Entrate_Uscite!N30</f>
        <v>3922665.44</v>
      </c>
      <c r="G9" s="56">
        <f>Entrate_Uscite!Q30</f>
        <v>2035697.76</v>
      </c>
      <c r="H9" s="56">
        <f>Entrate_Uscite!T30</f>
        <v>2894698.92</v>
      </c>
      <c r="I9" s="56">
        <f>Entrate_Uscite!W30</f>
        <v>4060470.58</v>
      </c>
      <c r="J9" s="56">
        <f t="shared" si="0"/>
        <v>0.92264369869071905</v>
      </c>
      <c r="K9" s="57">
        <f t="shared" si="1"/>
        <v>40.272639477130838</v>
      </c>
      <c r="L9" s="56">
        <f>Entrate_Uscite!X30</f>
        <v>2774666.79</v>
      </c>
      <c r="M9" s="58">
        <f t="shared" si="2"/>
        <v>68.333626246837625</v>
      </c>
    </row>
    <row r="10" spans="1:13" x14ac:dyDescent="0.3">
      <c r="A10" s="4" t="s">
        <v>282</v>
      </c>
      <c r="B10" s="43">
        <f t="shared" ref="B10:I10" si="3">SUM(B2:B9)</f>
        <v>341781974.98999995</v>
      </c>
      <c r="C10" s="43">
        <f t="shared" si="3"/>
        <v>331064080.81000006</v>
      </c>
      <c r="D10" s="43">
        <f t="shared" si="3"/>
        <v>320413952.75</v>
      </c>
      <c r="E10" s="43">
        <f t="shared" si="3"/>
        <v>329285371.66999996</v>
      </c>
      <c r="F10" s="43">
        <f t="shared" si="3"/>
        <v>303201176.92000002</v>
      </c>
      <c r="G10" s="43">
        <f t="shared" ref="G10" si="4">SUM(G2:G9)</f>
        <v>313860855.87000006</v>
      </c>
      <c r="H10" s="43">
        <f t="shared" ref="H10" si="5">SUM(H2:H9)</f>
        <v>330832716.56000006</v>
      </c>
      <c r="I10" s="43">
        <f t="shared" si="3"/>
        <v>354960494.43999994</v>
      </c>
      <c r="J10" s="43">
        <f t="shared" si="0"/>
        <v>80.656184308373426</v>
      </c>
      <c r="K10" s="44">
        <f t="shared" si="1"/>
        <v>7.2930446936689322</v>
      </c>
      <c r="L10" s="43">
        <f>SUM(L2:L9)</f>
        <v>290346190.75</v>
      </c>
      <c r="M10" s="45">
        <f t="shared" ref="M10:M17" si="6">IF(I10&gt;0,L10/I10*100,"-")</f>
        <v>81.796761977149572</v>
      </c>
    </row>
    <row r="11" spans="1:13" x14ac:dyDescent="0.3">
      <c r="A11" s="59" t="s">
        <v>278</v>
      </c>
      <c r="B11" s="56">
        <f>Entrate_Uscite!B32</f>
        <v>27338594.879999999</v>
      </c>
      <c r="C11" s="56">
        <f>Entrate_Uscite!E32</f>
        <v>25658242.93</v>
      </c>
      <c r="D11" s="56">
        <f>Entrate_Uscite!H32</f>
        <v>98863699.489999995</v>
      </c>
      <c r="E11" s="56">
        <f>Entrate_Uscite!K32</f>
        <v>40413531.280000001</v>
      </c>
      <c r="F11" s="56">
        <f>Entrate_Uscite!N32</f>
        <v>48644485.149999999</v>
      </c>
      <c r="G11" s="56">
        <f>Entrate_Uscite!Q32</f>
        <v>31616538.57</v>
      </c>
      <c r="H11" s="56">
        <f>Entrate_Uscite!T32</f>
        <v>51871502.759999998</v>
      </c>
      <c r="I11" s="56">
        <f>Entrate_Uscite!W32</f>
        <v>51719047.619999997</v>
      </c>
      <c r="J11" s="56">
        <f t="shared" si="0"/>
        <v>11.75190226076659</v>
      </c>
      <c r="K11" s="57">
        <f t="shared" si="1"/>
        <v>-0.29390924088971815</v>
      </c>
      <c r="L11" s="56">
        <f>Entrate_Uscite!X32</f>
        <v>35465501.369999997</v>
      </c>
      <c r="M11" s="58">
        <f t="shared" si="6"/>
        <v>68.573384472542614</v>
      </c>
    </row>
    <row r="12" spans="1:13" x14ac:dyDescent="0.3">
      <c r="A12" s="59" t="s">
        <v>279</v>
      </c>
      <c r="B12" s="56">
        <f>Entrate_Uscite!B33</f>
        <v>351824.67</v>
      </c>
      <c r="C12" s="56">
        <f>Entrate_Uscite!E33</f>
        <v>652744.55000000005</v>
      </c>
      <c r="D12" s="56">
        <f>Entrate_Uscite!H33</f>
        <v>199040</v>
      </c>
      <c r="E12" s="56">
        <f>Entrate_Uscite!K33</f>
        <v>213154</v>
      </c>
      <c r="F12" s="56">
        <f>Entrate_Uscite!N33</f>
        <v>0</v>
      </c>
      <c r="G12" s="56">
        <f>Entrate_Uscite!Q33</f>
        <v>1428639.28</v>
      </c>
      <c r="H12" s="56">
        <f>Entrate_Uscite!T33</f>
        <v>2933801.95</v>
      </c>
      <c r="I12" s="56">
        <f>Entrate_Uscite!W33</f>
        <v>17821205.170000002</v>
      </c>
      <c r="J12" s="56">
        <f t="shared" si="0"/>
        <v>4.0494377016702741</v>
      </c>
      <c r="K12" s="57">
        <f t="shared" si="1"/>
        <v>507.44404270370057</v>
      </c>
      <c r="L12" s="56">
        <f>Entrate_Uscite!X33</f>
        <v>11097328.119999999</v>
      </c>
      <c r="M12" s="58">
        <f t="shared" si="6"/>
        <v>62.270357218495555</v>
      </c>
    </row>
    <row r="13" spans="1:13" x14ac:dyDescent="0.3">
      <c r="A13" s="59" t="s">
        <v>280</v>
      </c>
      <c r="B13" s="56">
        <f>Entrate_Uscite!B34</f>
        <v>0</v>
      </c>
      <c r="C13" s="56">
        <f>Entrate_Uscite!E34</f>
        <v>0</v>
      </c>
      <c r="D13" s="56">
        <f>Entrate_Uscite!H34</f>
        <v>20050</v>
      </c>
      <c r="E13" s="56">
        <f>Entrate_Uscite!K34</f>
        <v>0</v>
      </c>
      <c r="F13" s="56">
        <f>Entrate_Uscite!N34</f>
        <v>0</v>
      </c>
      <c r="G13" s="56">
        <f>Entrate_Uscite!Q34</f>
        <v>0</v>
      </c>
      <c r="H13" s="56">
        <f>Entrate_Uscite!T34</f>
        <v>0</v>
      </c>
      <c r="I13" s="56">
        <f>Entrate_Uscite!W34</f>
        <v>0</v>
      </c>
      <c r="J13" s="56">
        <f t="shared" si="0"/>
        <v>0</v>
      </c>
      <c r="K13" s="57" t="str">
        <f t="shared" si="1"/>
        <v>-</v>
      </c>
      <c r="L13" s="56">
        <f>Entrate_Uscite!X34</f>
        <v>0</v>
      </c>
      <c r="M13" s="58" t="str">
        <f t="shared" si="6"/>
        <v>-</v>
      </c>
    </row>
    <row r="14" spans="1:13" x14ac:dyDescent="0.3">
      <c r="A14" s="59" t="s">
        <v>281</v>
      </c>
      <c r="B14" s="56">
        <f>Entrate_Uscite!B35</f>
        <v>0</v>
      </c>
      <c r="C14" s="56">
        <f>Entrate_Uscite!E35</f>
        <v>209778.76</v>
      </c>
      <c r="D14" s="56">
        <f>Entrate_Uscite!H35</f>
        <v>1111400.44</v>
      </c>
      <c r="E14" s="56">
        <f>Entrate_Uscite!K35</f>
        <v>277346.90000000002</v>
      </c>
      <c r="F14" s="56">
        <f>Entrate_Uscite!N35</f>
        <v>228511.96</v>
      </c>
      <c r="G14" s="56">
        <f>Entrate_Uscite!Q35</f>
        <v>54822.13</v>
      </c>
      <c r="H14" s="56">
        <f>Entrate_Uscite!T35</f>
        <v>1680041.54</v>
      </c>
      <c r="I14" s="56">
        <f>Entrate_Uscite!W35</f>
        <v>1420573.76</v>
      </c>
      <c r="J14" s="56">
        <f t="shared" si="0"/>
        <v>0.32279101704250784</v>
      </c>
      <c r="K14" s="57">
        <f t="shared" si="1"/>
        <v>-15.444128839814283</v>
      </c>
      <c r="L14" s="56">
        <f>Entrate_Uscite!X35</f>
        <v>1365990.19</v>
      </c>
      <c r="M14" s="58">
        <f t="shared" si="6"/>
        <v>96.157639149972752</v>
      </c>
    </row>
    <row r="15" spans="1:13" x14ac:dyDescent="0.3">
      <c r="A15" s="4" t="s">
        <v>283</v>
      </c>
      <c r="B15" s="46">
        <f t="shared" ref="B15:I15" si="7">SUM(B11:B14)</f>
        <v>27690419.550000001</v>
      </c>
      <c r="C15" s="46">
        <f t="shared" si="7"/>
        <v>26520766.240000002</v>
      </c>
      <c r="D15" s="46">
        <f t="shared" si="7"/>
        <v>100194189.92999999</v>
      </c>
      <c r="E15" s="46">
        <f t="shared" si="7"/>
        <v>40904032.18</v>
      </c>
      <c r="F15" s="46">
        <f t="shared" si="7"/>
        <v>48872997.109999999</v>
      </c>
      <c r="G15" s="46">
        <f t="shared" ref="G15:H15" si="8">SUM(G11:G14)</f>
        <v>33099999.98</v>
      </c>
      <c r="H15" s="46">
        <f t="shared" si="8"/>
        <v>56485346.25</v>
      </c>
      <c r="I15" s="46">
        <f t="shared" si="7"/>
        <v>70960826.549999997</v>
      </c>
      <c r="J15" s="46">
        <f t="shared" si="0"/>
        <v>16.124130979479371</v>
      </c>
      <c r="K15" s="44">
        <f t="shared" si="1"/>
        <v>25.626965684042347</v>
      </c>
      <c r="L15" s="46">
        <f>SUM(L11:L14)</f>
        <v>47928819.679999992</v>
      </c>
      <c r="M15" s="45">
        <f t="shared" si="6"/>
        <v>67.542645724720629</v>
      </c>
    </row>
    <row r="16" spans="1:13" x14ac:dyDescent="0.3">
      <c r="A16" s="59" t="s">
        <v>284</v>
      </c>
      <c r="B16" s="56">
        <f>Entrate_Uscite!B36</f>
        <v>5000</v>
      </c>
      <c r="C16" s="56">
        <f>Entrate_Uscite!E36</f>
        <v>5000</v>
      </c>
      <c r="D16" s="56">
        <f>Entrate_Uscite!H36</f>
        <v>175075</v>
      </c>
      <c r="E16" s="56">
        <f>Entrate_Uscite!K36</f>
        <v>261968</v>
      </c>
      <c r="F16" s="56">
        <f>Entrate_Uscite!N36</f>
        <v>500</v>
      </c>
      <c r="G16" s="56">
        <f>Entrate_Uscite!Q36</f>
        <v>1109997.3700000001</v>
      </c>
      <c r="H16" s="56">
        <f>Entrate_Uscite!T36</f>
        <v>0</v>
      </c>
      <c r="I16" s="56">
        <f>Entrate_Uscite!W36</f>
        <v>2282460.7000000002</v>
      </c>
      <c r="J16" s="56">
        <f t="shared" si="0"/>
        <v>0.51863397132758138</v>
      </c>
      <c r="K16" s="57" t="str">
        <f t="shared" si="1"/>
        <v>-</v>
      </c>
      <c r="L16" s="56">
        <f>Entrate_Uscite!X36</f>
        <v>2282460.7000000002</v>
      </c>
      <c r="M16" s="58">
        <f t="shared" si="6"/>
        <v>100</v>
      </c>
    </row>
    <row r="17" spans="1:13" x14ac:dyDescent="0.3">
      <c r="A17" s="59" t="s">
        <v>285</v>
      </c>
      <c r="B17" s="56">
        <f>Entrate_Uscite!B37</f>
        <v>74585.41</v>
      </c>
      <c r="C17" s="56">
        <f>Entrate_Uscite!E37</f>
        <v>85497.17</v>
      </c>
      <c r="D17" s="56">
        <f>Entrate_Uscite!H37</f>
        <v>61890.25</v>
      </c>
      <c r="E17" s="56">
        <f>Entrate_Uscite!K37</f>
        <v>50818.1</v>
      </c>
      <c r="F17" s="56">
        <f>Entrate_Uscite!N37</f>
        <v>92220.77</v>
      </c>
      <c r="G17" s="56">
        <f>Entrate_Uscite!Q37</f>
        <v>28049</v>
      </c>
      <c r="H17" s="56">
        <f>Entrate_Uscite!T37</f>
        <v>107160.83</v>
      </c>
      <c r="I17" s="56">
        <f>Entrate_Uscite!W37</f>
        <v>64596.63</v>
      </c>
      <c r="J17" s="56">
        <f t="shared" si="0"/>
        <v>1.4678021291353836E-2</v>
      </c>
      <c r="K17" s="57">
        <f t="shared" si="1"/>
        <v>-39.719923781852003</v>
      </c>
      <c r="L17" s="56">
        <f>Entrate_Uscite!X37</f>
        <v>36199.71</v>
      </c>
      <c r="M17" s="58">
        <f t="shared" si="6"/>
        <v>56.039626215794847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0</v>
      </c>
      <c r="D18" s="56">
        <f>Entrate_Uscite!H38</f>
        <v>0</v>
      </c>
      <c r="E18" s="56">
        <f>Entrate_Uscite!K38</f>
        <v>0</v>
      </c>
      <c r="F18" s="56">
        <f>Entrate_Uscite!N38</f>
        <v>0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1"/>
        <v>-</v>
      </c>
      <c r="L18" s="56">
        <f>Entrate_Uscite!X38</f>
        <v>0</v>
      </c>
      <c r="M18" s="58" t="str">
        <f t="shared" ref="M18:M26" si="9">IF(I18&gt;0,L18/I18*100,"-")</f>
        <v>-</v>
      </c>
    </row>
    <row r="19" spans="1:13" x14ac:dyDescent="0.3">
      <c r="A19" s="59" t="s">
        <v>287</v>
      </c>
      <c r="B19" s="56">
        <f>Entrate_Uscite!B39</f>
        <v>21669791.98</v>
      </c>
      <c r="C19" s="56">
        <f>Entrate_Uscite!E39</f>
        <v>0</v>
      </c>
      <c r="D19" s="56">
        <f>Entrate_Uscite!H39</f>
        <v>0</v>
      </c>
      <c r="E19" s="56">
        <f>Entrate_Uscite!K39</f>
        <v>0</v>
      </c>
      <c r="F19" s="56">
        <f>Entrate_Uscite!N39</f>
        <v>5000000</v>
      </c>
      <c r="G19" s="56">
        <f>Entrate_Uscite!Q39</f>
        <v>0</v>
      </c>
      <c r="H19" s="56">
        <f>Entrate_Uscite!T39</f>
        <v>0</v>
      </c>
      <c r="I19" s="56">
        <f>Entrate_Uscite!W39</f>
        <v>0</v>
      </c>
      <c r="J19" s="56">
        <f t="shared" si="0"/>
        <v>0</v>
      </c>
      <c r="K19" s="57" t="str">
        <f t="shared" si="1"/>
        <v>-</v>
      </c>
      <c r="L19" s="56">
        <f>Entrate_Uscite!X39</f>
        <v>0</v>
      </c>
      <c r="M19" s="58" t="str">
        <f t="shared" si="9"/>
        <v>-</v>
      </c>
    </row>
    <row r="20" spans="1:13" x14ac:dyDescent="0.3">
      <c r="A20" s="4" t="s">
        <v>288</v>
      </c>
      <c r="B20" s="43">
        <f t="shared" ref="B20:I20" si="10">SUM(B16:B19)</f>
        <v>21749377.390000001</v>
      </c>
      <c r="C20" s="43">
        <f t="shared" si="10"/>
        <v>90497.17</v>
      </c>
      <c r="D20" s="43">
        <f t="shared" si="10"/>
        <v>236965.25</v>
      </c>
      <c r="E20" s="43">
        <f t="shared" si="10"/>
        <v>312786.09999999998</v>
      </c>
      <c r="F20" s="43">
        <f t="shared" si="10"/>
        <v>5092720.7699999996</v>
      </c>
      <c r="G20" s="43">
        <f t="shared" ref="G20:H20" si="11">SUM(G16:G19)</f>
        <v>1138046.3700000001</v>
      </c>
      <c r="H20" s="43">
        <f t="shared" si="11"/>
        <v>107160.83</v>
      </c>
      <c r="I20" s="43">
        <f t="shared" si="10"/>
        <v>2347057.33</v>
      </c>
      <c r="J20" s="43">
        <f t="shared" si="0"/>
        <v>0.53331199261893525</v>
      </c>
      <c r="K20" s="44">
        <f t="shared" si="1"/>
        <v>2090.2194393231184</v>
      </c>
      <c r="L20" s="43">
        <f>SUM(L16:L19)</f>
        <v>2318660.41</v>
      </c>
      <c r="M20" s="40">
        <f t="shared" si="9"/>
        <v>98.790105395508178</v>
      </c>
    </row>
    <row r="21" spans="1:13" x14ac:dyDescent="0.3">
      <c r="A21" s="47" t="s">
        <v>349</v>
      </c>
      <c r="B21" s="48">
        <f t="shared" ref="B21:I21" si="12">B10+B15+B20</f>
        <v>391221771.92999995</v>
      </c>
      <c r="C21" s="48">
        <f t="shared" si="12"/>
        <v>357675344.22000009</v>
      </c>
      <c r="D21" s="48">
        <f t="shared" si="12"/>
        <v>420845107.93000001</v>
      </c>
      <c r="E21" s="48">
        <f t="shared" si="12"/>
        <v>370502189.94999999</v>
      </c>
      <c r="F21" s="48">
        <f t="shared" si="12"/>
        <v>357166894.80000001</v>
      </c>
      <c r="G21" s="48">
        <f t="shared" ref="G21:H21" si="13">G10+G15+G20</f>
        <v>348098902.22000009</v>
      </c>
      <c r="H21" s="48">
        <f t="shared" si="13"/>
        <v>387425223.64000005</v>
      </c>
      <c r="I21" s="48">
        <f t="shared" si="12"/>
        <v>428268378.31999993</v>
      </c>
      <c r="J21" s="48">
        <f>I21/I$31*100</f>
        <v>97.313627280471735</v>
      </c>
      <c r="K21" s="49">
        <f t="shared" si="1"/>
        <v>10.542203291841361</v>
      </c>
      <c r="L21" s="48">
        <f>L10+L15+L20</f>
        <v>340593670.84000003</v>
      </c>
      <c r="M21" s="50">
        <f>IF(I21&gt;0,L21/I21*100,"-")</f>
        <v>79.528092215463602</v>
      </c>
    </row>
    <row r="22" spans="1:13" x14ac:dyDescent="0.3">
      <c r="A22" s="59" t="s">
        <v>289</v>
      </c>
      <c r="B22" s="60">
        <f>Entrate_Uscite!B40</f>
        <v>4223293.34</v>
      </c>
      <c r="C22" s="60">
        <f>Entrate_Uscite!E40</f>
        <v>4274453.9000000004</v>
      </c>
      <c r="D22" s="60">
        <f>Entrate_Uscite!H40</f>
        <v>19327165.449999999</v>
      </c>
      <c r="E22" s="60">
        <f>Entrate_Uscite!K40</f>
        <v>2281905.12</v>
      </c>
      <c r="F22" s="60">
        <f>Entrate_Uscite!N40</f>
        <v>1126687.32</v>
      </c>
      <c r="G22" s="60">
        <f>Entrate_Uscite!Q40</f>
        <v>0</v>
      </c>
      <c r="H22" s="60">
        <f>Entrate_Uscite!T40</f>
        <v>0</v>
      </c>
      <c r="I22" s="60">
        <f>Entrate_Uscite!W40</f>
        <v>0</v>
      </c>
      <c r="J22" s="60">
        <f t="shared" si="0"/>
        <v>0</v>
      </c>
      <c r="K22" s="61" t="str">
        <f t="shared" si="1"/>
        <v>-</v>
      </c>
      <c r="L22" s="60">
        <f>Entrate_Uscite!X40</f>
        <v>0</v>
      </c>
      <c r="M22" s="58" t="str">
        <f t="shared" si="9"/>
        <v>-</v>
      </c>
    </row>
    <row r="23" spans="1:13" x14ac:dyDescent="0.3">
      <c r="A23" s="59" t="s">
        <v>290</v>
      </c>
      <c r="B23" s="60">
        <f>Entrate_Uscite!B41</f>
        <v>0</v>
      </c>
      <c r="C23" s="60">
        <f>Entrate_Uscite!E41</f>
        <v>0</v>
      </c>
      <c r="D23" s="60">
        <f>Entrate_Uscite!H41</f>
        <v>0</v>
      </c>
      <c r="E23" s="60">
        <f>Entrate_Uscite!K41</f>
        <v>0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0"/>
        <v>0</v>
      </c>
      <c r="K23" s="61" t="str">
        <f t="shared" si="1"/>
        <v>-</v>
      </c>
      <c r="L23" s="60">
        <f>Entrate_Uscite!X41</f>
        <v>0</v>
      </c>
      <c r="M23" s="58" t="str">
        <f t="shared" si="9"/>
        <v>-</v>
      </c>
    </row>
    <row r="24" spans="1:13" x14ac:dyDescent="0.3">
      <c r="A24" s="59" t="s">
        <v>291</v>
      </c>
      <c r="B24" s="60">
        <f>Entrate_Uscite!B42</f>
        <v>12484026.130000001</v>
      </c>
      <c r="C24" s="60">
        <f>Entrate_Uscite!E42</f>
        <v>18053289.710000001</v>
      </c>
      <c r="D24" s="60">
        <f>Entrate_Uscite!H42</f>
        <v>9243470.75</v>
      </c>
      <c r="E24" s="60">
        <f>Entrate_Uscite!K42</f>
        <v>9836960.1300000008</v>
      </c>
      <c r="F24" s="60">
        <f>Entrate_Uscite!N42</f>
        <v>2790172.84</v>
      </c>
      <c r="G24" s="60">
        <f>Entrate_Uscite!Q42</f>
        <v>4863835.0599999996</v>
      </c>
      <c r="H24" s="60">
        <f>Entrate_Uscite!T42</f>
        <v>4679925.16</v>
      </c>
      <c r="I24" s="60">
        <f>Entrate_Uscite!W42</f>
        <v>11822480.779999999</v>
      </c>
      <c r="J24" s="60">
        <f t="shared" si="0"/>
        <v>2.6863727195282712</v>
      </c>
      <c r="K24" s="61">
        <f t="shared" si="1"/>
        <v>152.62115046301292</v>
      </c>
      <c r="L24" s="60">
        <f>Entrate_Uscite!X42</f>
        <v>11822480.779999999</v>
      </c>
      <c r="M24" s="58">
        <f t="shared" si="9"/>
        <v>100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1"/>
        <v>-</v>
      </c>
      <c r="L25" s="60">
        <f>Entrate_Uscite!X43</f>
        <v>0</v>
      </c>
      <c r="M25" s="58" t="str">
        <f t="shared" si="9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1"/>
        <v>-</v>
      </c>
      <c r="L26" s="60">
        <f>Entrate_Uscite!X44</f>
        <v>0</v>
      </c>
      <c r="M26" s="58" t="str">
        <f t="shared" si="9"/>
        <v>-</v>
      </c>
    </row>
    <row r="27" spans="1:13" x14ac:dyDescent="0.3">
      <c r="A27" s="4" t="s">
        <v>294</v>
      </c>
      <c r="B27" s="43">
        <f t="shared" ref="B27:I27" si="14">SUM(B22:B26)</f>
        <v>16707319.470000001</v>
      </c>
      <c r="C27" s="43">
        <f t="shared" si="14"/>
        <v>22327743.609999999</v>
      </c>
      <c r="D27" s="43">
        <f t="shared" si="14"/>
        <v>28570636.199999999</v>
      </c>
      <c r="E27" s="43">
        <f t="shared" si="14"/>
        <v>12118865.25</v>
      </c>
      <c r="F27" s="43">
        <f t="shared" si="14"/>
        <v>3916860.16</v>
      </c>
      <c r="G27" s="43">
        <f t="shared" ref="G27" si="15">SUM(G22:G26)</f>
        <v>4863835.0599999996</v>
      </c>
      <c r="H27" s="43">
        <f t="shared" ref="H27" si="16">SUM(H22:H26)</f>
        <v>4679925.16</v>
      </c>
      <c r="I27" s="43">
        <f t="shared" si="14"/>
        <v>11822480.779999999</v>
      </c>
      <c r="J27" s="43">
        <f t="shared" si="0"/>
        <v>2.6863727195282712</v>
      </c>
      <c r="K27" s="44">
        <f t="shared" si="1"/>
        <v>152.62115046301292</v>
      </c>
      <c r="L27" s="43">
        <f>SUM(L22:L26)</f>
        <v>11822480.779999999</v>
      </c>
      <c r="M27" s="45">
        <f>IF(I27&gt;0,L27/I27*100,"-")</f>
        <v>100</v>
      </c>
    </row>
    <row r="28" spans="1:13" x14ac:dyDescent="0.3">
      <c r="A28" s="4" t="s">
        <v>295</v>
      </c>
      <c r="B28" s="43">
        <f>Entrate_Uscite!B52</f>
        <v>0</v>
      </c>
      <c r="C28" s="43">
        <f>Entrate_Uscite!E52</f>
        <v>0</v>
      </c>
      <c r="D28" s="43">
        <f>Entrate_Uscite!H52</f>
        <v>0</v>
      </c>
      <c r="E28" s="43">
        <f>Entrate_Uscite!K52</f>
        <v>0</v>
      </c>
      <c r="F28" s="43">
        <f>Entrate_Uscite!N52</f>
        <v>0</v>
      </c>
      <c r="G28" s="43">
        <f>Entrate_Uscite!Q52</f>
        <v>0</v>
      </c>
      <c r="H28" s="43">
        <f>Entrate_Uscite!T52</f>
        <v>0</v>
      </c>
      <c r="I28" s="43">
        <f>Entrate_Uscite!W52</f>
        <v>0</v>
      </c>
      <c r="J28" s="43">
        <f t="shared" si="0"/>
        <v>0</v>
      </c>
      <c r="K28" s="44" t="str">
        <f t="shared" si="1"/>
        <v>-</v>
      </c>
      <c r="L28" s="43">
        <f>Entrate_Uscite!X52</f>
        <v>0</v>
      </c>
      <c r="M28" s="45" t="str">
        <f>IF(I28&gt;0,L28/I28*100,"-")</f>
        <v>-</v>
      </c>
    </row>
    <row r="29" spans="1:13" x14ac:dyDescent="0.3">
      <c r="A29" s="4" t="s">
        <v>296</v>
      </c>
      <c r="B29" s="43">
        <f>Entrate_Uscite!B53</f>
        <v>94179331.629999995</v>
      </c>
      <c r="C29" s="43">
        <f>Entrate_Uscite!E53</f>
        <v>125704973.87</v>
      </c>
      <c r="D29" s="43">
        <f>Entrate_Uscite!H53</f>
        <v>46710695.700000003</v>
      </c>
      <c r="E29" s="43">
        <f>Entrate_Uscite!K53</f>
        <v>51471673.600000001</v>
      </c>
      <c r="F29" s="43">
        <f>Entrate_Uscite!N53</f>
        <v>48077289.909999996</v>
      </c>
      <c r="G29" s="43">
        <f>Entrate_Uscite!Q53</f>
        <v>49192902.409999996</v>
      </c>
      <c r="H29" s="43">
        <f>Entrate_Uscite!T53</f>
        <v>49508266</v>
      </c>
      <c r="I29" s="43">
        <f>Entrate_Uscite!W53</f>
        <v>55328272.009999998</v>
      </c>
      <c r="J29" s="43"/>
      <c r="K29" s="44">
        <f t="shared" si="1"/>
        <v>11.755624828387241</v>
      </c>
      <c r="L29" s="43">
        <f>Entrate_Uscite!X53</f>
        <v>46495047.369999997</v>
      </c>
      <c r="M29" s="45">
        <f>IF(I29&gt;0,L29/I29*100,"-")</f>
        <v>84.034880687393439</v>
      </c>
    </row>
    <row r="30" spans="1:13" x14ac:dyDescent="0.3">
      <c r="A30" s="47" t="s">
        <v>69</v>
      </c>
      <c r="B30" s="48">
        <f t="shared" ref="B30:I30" si="17">B10+B15+B20+B27+B28+B29</f>
        <v>502108423.02999997</v>
      </c>
      <c r="C30" s="48">
        <f t="shared" si="17"/>
        <v>505708061.70000011</v>
      </c>
      <c r="D30" s="48">
        <f t="shared" si="17"/>
        <v>496126439.82999998</v>
      </c>
      <c r="E30" s="48">
        <f t="shared" si="17"/>
        <v>434092728.80000001</v>
      </c>
      <c r="F30" s="48">
        <f t="shared" si="17"/>
        <v>409161044.87</v>
      </c>
      <c r="G30" s="48">
        <f t="shared" ref="G30:H30" si="18">G10+G15+G20+G27+G28+G29</f>
        <v>402155639.69000006</v>
      </c>
      <c r="H30" s="48">
        <f t="shared" si="18"/>
        <v>441613414.80000007</v>
      </c>
      <c r="I30" s="48">
        <f t="shared" si="17"/>
        <v>495419131.1099999</v>
      </c>
      <c r="J30" s="48"/>
      <c r="K30" s="49">
        <f t="shared" si="1"/>
        <v>12.18389534982029</v>
      </c>
      <c r="L30" s="48">
        <f>L10+L15+L20+L27+L28+L29</f>
        <v>398911198.99000001</v>
      </c>
      <c r="M30" s="50">
        <f>IF(I30&gt;0,L30/I30*100,"-")</f>
        <v>80.51994239629559</v>
      </c>
    </row>
    <row r="31" spans="1:13" x14ac:dyDescent="0.3">
      <c r="A31" s="38" t="s">
        <v>70</v>
      </c>
      <c r="B31" s="51">
        <f t="shared" ref="B31:I31" si="19">B30-B29</f>
        <v>407929091.39999998</v>
      </c>
      <c r="C31" s="51">
        <f t="shared" si="19"/>
        <v>380003087.8300001</v>
      </c>
      <c r="D31" s="51">
        <f t="shared" si="19"/>
        <v>449415744.13</v>
      </c>
      <c r="E31" s="51">
        <f t="shared" si="19"/>
        <v>382621055.19999999</v>
      </c>
      <c r="F31" s="51">
        <f t="shared" si="19"/>
        <v>361083754.96000004</v>
      </c>
      <c r="G31" s="51">
        <f t="shared" ref="G31:H31" si="20">G30-G29</f>
        <v>352962737.28000009</v>
      </c>
      <c r="H31" s="51">
        <f t="shared" si="20"/>
        <v>392105148.80000007</v>
      </c>
      <c r="I31" s="51">
        <f t="shared" si="19"/>
        <v>440090859.0999999</v>
      </c>
      <c r="J31" s="51">
        <f t="shared" si="0"/>
        <v>100</v>
      </c>
      <c r="K31" s="52">
        <f t="shared" si="1"/>
        <v>12.237969954451117</v>
      </c>
      <c r="L31" s="51">
        <f>L30-L29</f>
        <v>352416151.62</v>
      </c>
      <c r="M31" s="53">
        <f>IF(I31&gt;0,L31/I31*100,"-")</f>
        <v>80.078043961354368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50.6640625" bestFit="1" customWidth="1"/>
    <col min="2" max="2" width="11.33203125" bestFit="1" customWidth="1"/>
    <col min="3" max="4" width="10.5546875" bestFit="1" customWidth="1"/>
    <col min="5" max="11" width="11.3320312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18394280.020000041</v>
      </c>
      <c r="C2" s="64">
        <f>Entrate_Uscite!E56</f>
        <v>23407305.269999921</v>
      </c>
      <c r="D2" s="64">
        <f>Entrate_Uscite!H56</f>
        <v>25028735.129999995</v>
      </c>
      <c r="E2" s="64">
        <f>Entrate_Uscite!K56</f>
        <v>23121760.080000043</v>
      </c>
      <c r="F2" s="64">
        <f>Entrate_Uscite!N56</f>
        <v>38539813.859999955</v>
      </c>
      <c r="G2" s="64">
        <f>Entrate_Uscite!Q56</f>
        <v>26293245.169999957</v>
      </c>
      <c r="H2" s="64">
        <f>Entrate_Uscite!T56</f>
        <v>27563911.48999995</v>
      </c>
      <c r="I2" s="64">
        <f>Entrate_Uscite!W56</f>
        <v>27369408.230000079</v>
      </c>
      <c r="J2" s="64">
        <f t="shared" ref="J2:J6" si="0">I2-H2</f>
        <v>-194503.25999987125</v>
      </c>
      <c r="K2" s="64">
        <f>Entrate_Uscite!X56</f>
        <v>35519340.430000007</v>
      </c>
    </row>
    <row r="3" spans="1:11" x14ac:dyDescent="0.3">
      <c r="A3" s="62" t="s">
        <v>72</v>
      </c>
      <c r="B3" s="65">
        <f>Entrate_Uscite!B57</f>
        <v>-11986564.01</v>
      </c>
      <c r="C3" s="65">
        <f>Entrate_Uscite!E57</f>
        <v>-7680919.2100000009</v>
      </c>
      <c r="D3" s="65">
        <f>Entrate_Uscite!H57</f>
        <v>-9181135.3799999803</v>
      </c>
      <c r="E3" s="65">
        <f>Entrate_Uscite!K57</f>
        <v>-13632625.57</v>
      </c>
      <c r="F3" s="65">
        <f>Entrate_Uscite!N57</f>
        <v>-7689417.1800000072</v>
      </c>
      <c r="G3" s="65">
        <f>Entrate_Uscite!Q57</f>
        <v>-14642053.52</v>
      </c>
      <c r="H3" s="65">
        <f>Entrate_Uscite!T57</f>
        <v>2383006.2100000009</v>
      </c>
      <c r="I3" s="65">
        <f>Entrate_Uscite!W57</f>
        <v>-27468328.270000003</v>
      </c>
      <c r="J3" s="64">
        <f t="shared" si="0"/>
        <v>-29851334.480000004</v>
      </c>
      <c r="K3" s="64">
        <f>Entrate_Uscite!X57</f>
        <v>-21973723.059999991</v>
      </c>
    </row>
    <row r="4" spans="1:11" x14ac:dyDescent="0.3">
      <c r="A4" s="62" t="s">
        <v>301</v>
      </c>
      <c r="B4" s="65">
        <f>Entrate_Uscite!B16-Entrate_Uscite!B50</f>
        <v>-119014.08999999985</v>
      </c>
      <c r="C4" s="65">
        <f>Entrate_Uscite!E16-Entrate_Uscite!E50</f>
        <v>15475866.66</v>
      </c>
      <c r="D4" s="65">
        <f>Entrate_Uscite!H16-Entrate_Uscite!H50</f>
        <v>9481439.0500000007</v>
      </c>
      <c r="E4" s="65">
        <f>Entrate_Uscite!K16-Entrate_Uscite!K50</f>
        <v>12867815.16</v>
      </c>
      <c r="F4" s="65">
        <f>Entrate_Uscite!N16-Entrate_Uscite!N50</f>
        <v>532294.59000000078</v>
      </c>
      <c r="G4" s="65">
        <f>Entrate_Uscite!Q16-Entrate_Uscite!Q50</f>
        <v>-1109997.3700000001</v>
      </c>
      <c r="H4" s="65">
        <f>Entrate_Uscite!T16-Entrate_Uscite!T50</f>
        <v>4448296.2399999993</v>
      </c>
      <c r="I4" s="65">
        <f>Entrate_Uscite!W16-Entrate_Uscite!W50</f>
        <v>1374146.21</v>
      </c>
      <c r="J4" s="64">
        <f t="shared" si="0"/>
        <v>-3074150.0299999993</v>
      </c>
      <c r="K4" s="65">
        <f>Entrate_Uscite!X16-Entrate_Uscite!X50</f>
        <v>-81710.200000000186</v>
      </c>
    </row>
    <row r="5" spans="1:11" x14ac:dyDescent="0.3">
      <c r="A5" s="47" t="s">
        <v>299</v>
      </c>
      <c r="B5" s="66">
        <f>Entrate_Uscite!B58</f>
        <v>6288701.9200000763</v>
      </c>
      <c r="C5" s="66">
        <f>Entrate_Uscite!E58</f>
        <v>31202252.719999909</v>
      </c>
      <c r="D5" s="66">
        <f>Entrate_Uscite!H58</f>
        <v>25329038.800000012</v>
      </c>
      <c r="E5" s="66">
        <f>Entrate_Uscite!K58</f>
        <v>22356949.670000017</v>
      </c>
      <c r="F5" s="66">
        <f>Entrate_Uscite!N58</f>
        <v>31382691.269999981</v>
      </c>
      <c r="G5" s="66">
        <f>Entrate_Uscite!Q58</f>
        <v>10541194.279999912</v>
      </c>
      <c r="H5" s="66">
        <f>Entrate_Uscite!T58</f>
        <v>34395213.939999938</v>
      </c>
      <c r="I5" s="66">
        <f>Entrate_Uscite!W58</f>
        <v>1275226.1700000763</v>
      </c>
      <c r="J5" s="66">
        <f t="shared" si="0"/>
        <v>-33119987.769999862</v>
      </c>
      <c r="K5" s="66">
        <f>Entrate_Uscite!X58</f>
        <v>13463907.169999957</v>
      </c>
    </row>
    <row r="6" spans="1:11" x14ac:dyDescent="0.3">
      <c r="A6" s="38" t="s">
        <v>300</v>
      </c>
      <c r="B6" s="67">
        <f>Entrate_Uscite!B59</f>
        <v>-9513957.5499999523</v>
      </c>
      <c r="C6" s="67">
        <f>Entrate_Uscite!E59</f>
        <v>11274509.109999895</v>
      </c>
      <c r="D6" s="67">
        <f>Entrate_Uscite!H59</f>
        <v>-2791597.3999999762</v>
      </c>
      <c r="E6" s="67">
        <f>Entrate_Uscite!K59</f>
        <v>11638084.420000017</v>
      </c>
      <c r="F6" s="67">
        <f>Entrate_Uscite!N59</f>
        <v>33165831.110000014</v>
      </c>
      <c r="G6" s="67">
        <f>Entrate_Uscite!Q59</f>
        <v>5677359.2199999094</v>
      </c>
      <c r="H6" s="67">
        <f>Entrate_Uscite!T59</f>
        <v>29715288.779999912</v>
      </c>
      <c r="I6" s="67">
        <f>Entrate_Uscite!W59</f>
        <v>-10547254.609999895</v>
      </c>
      <c r="J6" s="67">
        <f t="shared" si="0"/>
        <v>-40262543.389999807</v>
      </c>
      <c r="K6" s="67">
        <f>Entrate_Uscite!X59</f>
        <v>1641426.3899999857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opLeftCell="B1" workbookViewId="0">
      <selection activeCell="I2" sqref="I2:I23"/>
    </sheetView>
  </sheetViews>
  <sheetFormatPr defaultRowHeight="14.4" x14ac:dyDescent="0.3"/>
  <cols>
    <col min="1" max="1" width="36.44140625" bestFit="1" customWidth="1"/>
    <col min="2" max="9" width="13.5546875" bestFit="1" customWidth="1"/>
    <col min="12" max="12" width="10" bestFit="1" customWidth="1"/>
  </cols>
  <sheetData>
    <row r="1" spans="1:9" x14ac:dyDescent="0.3">
      <c r="A1" s="41"/>
      <c r="B1" s="98">
        <v>2016</v>
      </c>
      <c r="C1" s="98">
        <v>2017</v>
      </c>
      <c r="D1" s="69">
        <v>2018</v>
      </c>
      <c r="E1" s="98">
        <v>2019</v>
      </c>
      <c r="F1" s="98">
        <v>2020</v>
      </c>
      <c r="G1" s="98">
        <v>2021</v>
      </c>
      <c r="H1" s="98">
        <v>2022</v>
      </c>
      <c r="I1" s="98">
        <v>2023</v>
      </c>
    </row>
    <row r="2" spans="1:9" x14ac:dyDescent="0.3">
      <c r="A2" t="s">
        <v>5</v>
      </c>
      <c r="B2" s="1">
        <v>134032869.3</v>
      </c>
      <c r="C2" s="1">
        <v>129319128.90000001</v>
      </c>
      <c r="D2" s="1">
        <v>133916440.39</v>
      </c>
      <c r="E2" s="1">
        <v>158011561.55000001</v>
      </c>
      <c r="F2" s="1">
        <v>207976658.06</v>
      </c>
      <c r="G2" s="1">
        <v>243134157.34</v>
      </c>
      <c r="H2" s="1">
        <v>289963897.54000002</v>
      </c>
      <c r="I2" s="1">
        <v>276366949.56999999</v>
      </c>
    </row>
    <row r="3" spans="1:9" x14ac:dyDescent="0.3">
      <c r="A3" t="s">
        <v>6</v>
      </c>
      <c r="B3" s="1">
        <v>206538791.81</v>
      </c>
      <c r="C3" s="1">
        <v>182172403.37</v>
      </c>
      <c r="D3" s="1">
        <v>201340525.21000001</v>
      </c>
      <c r="E3" s="1">
        <v>128288614.47</v>
      </c>
      <c r="F3" s="1">
        <v>110169250.25</v>
      </c>
      <c r="G3" s="1">
        <v>101142325.78</v>
      </c>
      <c r="H3" s="1">
        <v>108424236.43000001</v>
      </c>
      <c r="I3" s="1">
        <v>126133612.76000001</v>
      </c>
    </row>
    <row r="4" spans="1:9" x14ac:dyDescent="0.3">
      <c r="A4" t="s">
        <v>7</v>
      </c>
      <c r="B4" s="1">
        <v>205087173.22</v>
      </c>
      <c r="C4" s="1">
        <v>154052716.75999999</v>
      </c>
      <c r="D4" s="1">
        <v>171492167.78</v>
      </c>
      <c r="E4" s="1">
        <v>114128820.31</v>
      </c>
      <c r="F4" s="1">
        <v>113472457.93000001</v>
      </c>
      <c r="G4" s="1">
        <v>125493043.76000001</v>
      </c>
      <c r="H4" s="1">
        <v>142064172.33000001</v>
      </c>
      <c r="I4" s="1">
        <v>144147092.83000001</v>
      </c>
    </row>
    <row r="5" spans="1:9" x14ac:dyDescent="0.3">
      <c r="A5" t="s">
        <v>8</v>
      </c>
      <c r="B5" s="1">
        <v>11003110.210000001</v>
      </c>
      <c r="C5" s="1">
        <v>6287621.1500000004</v>
      </c>
      <c r="D5" s="1">
        <v>7918085.8300000001</v>
      </c>
      <c r="E5" s="1">
        <v>5803265.5700000003</v>
      </c>
      <c r="F5" s="1">
        <v>10864264.73</v>
      </c>
      <c r="G5" s="1">
        <v>7613882.2999999998</v>
      </c>
      <c r="H5" s="1">
        <v>8967352.5399999991</v>
      </c>
      <c r="I5" s="1">
        <v>8883936.3499999996</v>
      </c>
    </row>
    <row r="6" spans="1:9" x14ac:dyDescent="0.3">
      <c r="A6" t="s">
        <v>9</v>
      </c>
      <c r="B6" s="1">
        <v>41729532.009999998</v>
      </c>
      <c r="C6" s="1">
        <v>49416010.759999998</v>
      </c>
      <c r="D6" s="1">
        <v>47512137.880000003</v>
      </c>
      <c r="E6" s="1">
        <v>57300298.200000003</v>
      </c>
      <c r="F6" s="1">
        <v>53507049.5</v>
      </c>
      <c r="G6" s="1">
        <v>59323999.82</v>
      </c>
      <c r="H6" s="1">
        <v>65682189.689999998</v>
      </c>
      <c r="I6" s="1">
        <v>64287035.469999999</v>
      </c>
    </row>
    <row r="7" spans="1:9" x14ac:dyDescent="0.3">
      <c r="A7" s="4" t="s">
        <v>0</v>
      </c>
      <c r="B7" s="3">
        <f t="shared" ref="B7:I7" si="0">B2+B3-B4-B5-B6</f>
        <v>82751845.670000017</v>
      </c>
      <c r="C7" s="3">
        <f t="shared" si="0"/>
        <v>101735183.59999999</v>
      </c>
      <c r="D7" s="3">
        <f t="shared" si="0"/>
        <v>108334574.11000001</v>
      </c>
      <c r="E7" s="3">
        <f t="shared" si="0"/>
        <v>109067791.93999998</v>
      </c>
      <c r="F7" s="3">
        <f t="shared" si="0"/>
        <v>140302136.15000001</v>
      </c>
      <c r="G7" s="3">
        <f t="shared" ref="G7:H7" si="1">G2+G3-G4-G5-G6</f>
        <v>151845557.24000001</v>
      </c>
      <c r="H7" s="3">
        <f t="shared" si="1"/>
        <v>181674419.41000003</v>
      </c>
      <c r="I7" s="3">
        <f t="shared" si="0"/>
        <v>185182497.67999998</v>
      </c>
    </row>
    <row r="8" spans="1:9" x14ac:dyDescent="0.3">
      <c r="A8" t="s">
        <v>10</v>
      </c>
      <c r="B8" s="1">
        <v>20362029.219999999</v>
      </c>
      <c r="C8" s="1">
        <v>25798830.219999999</v>
      </c>
      <c r="D8" s="1">
        <v>36404294.009999998</v>
      </c>
      <c r="E8" s="1">
        <v>44635641.170000002</v>
      </c>
      <c r="F8" s="1">
        <v>44376397.229999997</v>
      </c>
      <c r="G8" s="1">
        <v>32967671.190000001</v>
      </c>
      <c r="H8" s="1">
        <v>33503047.309999999</v>
      </c>
      <c r="I8" s="1">
        <v>27500000.039999999</v>
      </c>
    </row>
    <row r="9" spans="1:9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x14ac:dyDescent="0.3">
      <c r="A10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3">
      <c r="A11" t="s">
        <v>13</v>
      </c>
      <c r="B11" s="1">
        <v>0</v>
      </c>
      <c r="C11" s="1">
        <v>72328.67</v>
      </c>
      <c r="D11" s="1">
        <v>177276.67</v>
      </c>
      <c r="E11" s="1">
        <v>207276.67</v>
      </c>
      <c r="F11" s="1">
        <v>5429176.6699999999</v>
      </c>
      <c r="G11" s="1">
        <v>12000000</v>
      </c>
      <c r="H11" s="1">
        <v>16000000</v>
      </c>
      <c r="I11" s="1">
        <v>16000000</v>
      </c>
    </row>
    <row r="12" spans="1:9" x14ac:dyDescent="0.3">
      <c r="A12" t="s">
        <v>14</v>
      </c>
      <c r="B12" s="1">
        <v>46301.13</v>
      </c>
      <c r="C12" s="1">
        <v>7723.33</v>
      </c>
      <c r="D12" s="1">
        <v>12775.33</v>
      </c>
      <c r="E12" s="1">
        <v>3017827.33</v>
      </c>
      <c r="F12" s="1">
        <v>6849255.0099999998</v>
      </c>
      <c r="G12" s="1">
        <v>14552249.140000001</v>
      </c>
      <c r="H12" s="1">
        <v>15008184</v>
      </c>
      <c r="I12" s="1">
        <v>23015004</v>
      </c>
    </row>
    <row r="13" spans="1:9" x14ac:dyDescent="0.3">
      <c r="A13" s="4" t="s">
        <v>1</v>
      </c>
      <c r="B13" s="3">
        <f t="shared" ref="B13:I13" si="2">SUM(B8:B12)</f>
        <v>20408330.349999998</v>
      </c>
      <c r="C13" s="3">
        <f t="shared" si="2"/>
        <v>25878882.219999999</v>
      </c>
      <c r="D13" s="3">
        <f t="shared" si="2"/>
        <v>36594346.009999998</v>
      </c>
      <c r="E13" s="3">
        <f t="shared" si="2"/>
        <v>47860745.170000002</v>
      </c>
      <c r="F13" s="3">
        <f t="shared" si="2"/>
        <v>56654828.909999996</v>
      </c>
      <c r="G13" s="3">
        <f t="shared" ref="G13" si="3">SUM(G8:G12)</f>
        <v>59519920.329999998</v>
      </c>
      <c r="H13" s="3">
        <f t="shared" ref="H13" si="4">SUM(H8:H12)</f>
        <v>64511231.310000002</v>
      </c>
      <c r="I13" s="3">
        <f t="shared" si="2"/>
        <v>66515004.039999999</v>
      </c>
    </row>
    <row r="14" spans="1:9" x14ac:dyDescent="0.3">
      <c r="A14" t="s">
        <v>16</v>
      </c>
      <c r="B14" s="1">
        <v>69721.679999999993</v>
      </c>
      <c r="C14" s="1">
        <v>69721.679999999993</v>
      </c>
      <c r="D14" s="1">
        <v>69721.679999999993</v>
      </c>
      <c r="E14" s="1">
        <v>165224.04</v>
      </c>
      <c r="F14" s="1">
        <v>4717732.72</v>
      </c>
      <c r="G14" s="1">
        <v>4234088.75</v>
      </c>
      <c r="H14" s="1">
        <v>5911048.0599999996</v>
      </c>
      <c r="I14" s="1">
        <v>5795546.1699999999</v>
      </c>
    </row>
    <row r="15" spans="1:9" x14ac:dyDescent="0.3">
      <c r="A15" t="s">
        <v>15</v>
      </c>
      <c r="B15" s="1">
        <v>19255723.710000001</v>
      </c>
      <c r="C15" s="1">
        <v>16182891.24</v>
      </c>
      <c r="D15" s="1">
        <v>22002917.5</v>
      </c>
      <c r="E15" s="1">
        <v>16471748.67</v>
      </c>
      <c r="F15" s="1">
        <v>20441413.73</v>
      </c>
      <c r="G15" s="1">
        <v>16058670.279999999</v>
      </c>
      <c r="H15" s="1">
        <v>26355176.600000001</v>
      </c>
      <c r="I15" s="1">
        <v>23331384.890000001</v>
      </c>
    </row>
    <row r="16" spans="1:9" x14ac:dyDescent="0.3">
      <c r="A16" t="s">
        <v>17</v>
      </c>
      <c r="B16" s="1">
        <v>12893563.109999999</v>
      </c>
      <c r="C16" s="1">
        <v>10848392.609999999</v>
      </c>
      <c r="D16" s="1">
        <v>9231854.4399999995</v>
      </c>
      <c r="E16" s="1">
        <v>7526823.1600000001</v>
      </c>
      <c r="F16" s="1">
        <v>4793272.49</v>
      </c>
      <c r="G16" s="1">
        <v>2539607.52</v>
      </c>
      <c r="H16" s="1">
        <v>1375357.98</v>
      </c>
      <c r="I16" s="1">
        <v>1311324.3500000001</v>
      </c>
    </row>
    <row r="17" spans="1:9" x14ac:dyDescent="0.3">
      <c r="A17" t="s">
        <v>18</v>
      </c>
      <c r="B17" s="1">
        <v>24337190.98</v>
      </c>
      <c r="C17" s="1">
        <v>38641073.079999998</v>
      </c>
      <c r="D17" s="1">
        <v>36157634.57</v>
      </c>
      <c r="E17" s="1">
        <v>26606406.559999999</v>
      </c>
      <c r="F17" s="1">
        <v>42249349.189999998</v>
      </c>
      <c r="G17" s="1">
        <v>40353885.729999997</v>
      </c>
      <c r="H17" s="1">
        <v>72352405.840000004</v>
      </c>
      <c r="I17" s="1">
        <v>56851245.780000001</v>
      </c>
    </row>
    <row r="18" spans="1:9" x14ac:dyDescent="0.3">
      <c r="A18" t="s">
        <v>19</v>
      </c>
      <c r="B18" s="1">
        <v>2026843.26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3">
      <c r="A19" s="4" t="s">
        <v>2</v>
      </c>
      <c r="B19" s="3">
        <f t="shared" ref="B19:I19" si="5">SUM(B14:B18)</f>
        <v>58583042.740000002</v>
      </c>
      <c r="C19" s="3">
        <f t="shared" si="5"/>
        <v>65742078.609999999</v>
      </c>
      <c r="D19" s="3">
        <f t="shared" si="5"/>
        <v>67462128.189999998</v>
      </c>
      <c r="E19" s="3">
        <f t="shared" si="5"/>
        <v>50770202.429999992</v>
      </c>
      <c r="F19" s="3">
        <f t="shared" si="5"/>
        <v>72201768.129999995</v>
      </c>
      <c r="G19" s="3">
        <f t="shared" ref="G19:H19" si="6">SUM(G14:G18)</f>
        <v>63186252.280000001</v>
      </c>
      <c r="H19" s="3">
        <f t="shared" si="6"/>
        <v>105993988.48</v>
      </c>
      <c r="I19" s="3">
        <f t="shared" si="5"/>
        <v>87289501.189999998</v>
      </c>
    </row>
    <row r="20" spans="1:9" x14ac:dyDescent="0.3">
      <c r="A20" s="4" t="s">
        <v>3</v>
      </c>
      <c r="B20" s="3">
        <v>627989.57999999996</v>
      </c>
      <c r="C20" s="3">
        <v>6715147.2000000002</v>
      </c>
      <c r="D20" s="3">
        <v>1342293.65</v>
      </c>
      <c r="E20" s="3">
        <v>1114212.45</v>
      </c>
      <c r="F20" s="3">
        <v>1762613.88</v>
      </c>
      <c r="G20" s="3">
        <v>19325026.149999999</v>
      </c>
      <c r="H20" s="3">
        <v>2233553.0499999998</v>
      </c>
      <c r="I20" s="3">
        <v>23060287.48</v>
      </c>
    </row>
    <row r="21" spans="1:9" x14ac:dyDescent="0.3">
      <c r="A21" s="70" t="s">
        <v>4</v>
      </c>
      <c r="B21" s="37">
        <f t="shared" ref="B21:I21" si="7">B7-B13-B19-B20</f>
        <v>3132483.0000000205</v>
      </c>
      <c r="C21" s="37">
        <f t="shared" si="7"/>
        <v>3399075.5699999956</v>
      </c>
      <c r="D21" s="37">
        <f t="shared" si="7"/>
        <v>2935806.2600000263</v>
      </c>
      <c r="E21" s="37">
        <f t="shared" si="7"/>
        <v>9322631.8899999894</v>
      </c>
      <c r="F21" s="37">
        <f t="shared" si="7"/>
        <v>9682925.2300000153</v>
      </c>
      <c r="G21" s="37">
        <f t="shared" ref="G21:H21" si="8">G7-G13-G19-G20</f>
        <v>9814358.4800000116</v>
      </c>
      <c r="H21" s="37">
        <f t="shared" si="8"/>
        <v>8935646.5700000189</v>
      </c>
      <c r="I21" s="37">
        <f t="shared" si="7"/>
        <v>8317704.9699999876</v>
      </c>
    </row>
    <row r="22" spans="1:9" x14ac:dyDescent="0.3">
      <c r="A22" t="s">
        <v>360</v>
      </c>
      <c r="B22" s="1"/>
      <c r="C22" s="1">
        <v>-19668534.780000001</v>
      </c>
      <c r="D22" s="1">
        <v>-8203374.3700000001</v>
      </c>
      <c r="E22" s="1">
        <v>-11960224.25</v>
      </c>
      <c r="F22" s="1">
        <v>-25373928.640000001</v>
      </c>
      <c r="G22" s="1">
        <v>-1821755.87</v>
      </c>
      <c r="H22" s="1">
        <v>-1447791.08</v>
      </c>
      <c r="I22" s="1">
        <v>-2199188.13</v>
      </c>
    </row>
    <row r="23" spans="1:9" x14ac:dyDescent="0.3">
      <c r="A23" t="s">
        <v>361</v>
      </c>
      <c r="B23" s="6">
        <f t="shared" ref="B23:E23" si="9">B8/B3*100</f>
        <v>9.8586948444685003</v>
      </c>
      <c r="C23" s="6">
        <f t="shared" si="9"/>
        <v>14.161766405201046</v>
      </c>
      <c r="D23" s="6">
        <f t="shared" si="9"/>
        <v>18.080957110859817</v>
      </c>
      <c r="E23" s="6">
        <f t="shared" si="9"/>
        <v>34.793143066049673</v>
      </c>
      <c r="F23" s="6">
        <f t="shared" ref="F23:I23" si="10">F8/F3*100</f>
        <v>40.280202623962211</v>
      </c>
      <c r="G23" s="6">
        <f t="shared" ref="G23:H23" si="11">G8/G3*100</f>
        <v>32.59532637375743</v>
      </c>
      <c r="H23" s="6">
        <f t="shared" si="11"/>
        <v>30.89996149673599</v>
      </c>
      <c r="I23" s="6">
        <f t="shared" si="10"/>
        <v>21.80227731391906</v>
      </c>
    </row>
  </sheetData>
  <conditionalFormatting sqref="B21:E21 I21">
    <cfRule type="cellIs" dxfId="106" priority="24" operator="greaterThan">
      <formula>0</formula>
    </cfRule>
  </conditionalFormatting>
  <conditionalFormatting sqref="B21:E21 I21">
    <cfRule type="cellIs" dxfId="105" priority="21" operator="greaterThan">
      <formula>0</formula>
    </cfRule>
    <cfRule type="cellIs" dxfId="104" priority="22" operator="lessThan">
      <formula>0</formula>
    </cfRule>
  </conditionalFormatting>
  <conditionalFormatting sqref="F21">
    <cfRule type="cellIs" dxfId="103" priority="9" operator="greaterThan">
      <formula>0</formula>
    </cfRule>
  </conditionalFormatting>
  <conditionalFormatting sqref="F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G21">
    <cfRule type="cellIs" dxfId="100" priority="6" operator="greaterThan">
      <formula>0</formula>
    </cfRule>
  </conditionalFormatting>
  <conditionalFormatting sqref="G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H21">
    <cfRule type="cellIs" dxfId="97" priority="3" operator="greaterThan">
      <formula>0</formula>
    </cfRule>
  </conditionalFormatting>
  <conditionalFormatting sqref="H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12" width="11.109375" bestFit="1" customWidth="1"/>
    <col min="13" max="13" width="12.33203125" bestFit="1" customWidth="1"/>
  </cols>
  <sheetData>
    <row r="1" spans="1:13" x14ac:dyDescent="0.3">
      <c r="C1" s="100">
        <v>2014</v>
      </c>
      <c r="D1" s="100">
        <v>2015</v>
      </c>
      <c r="E1" s="100">
        <v>2016</v>
      </c>
      <c r="F1" s="99">
        <v>2017</v>
      </c>
      <c r="G1" s="99">
        <v>2018</v>
      </c>
      <c r="H1" s="104">
        <v>2019</v>
      </c>
      <c r="I1" s="118">
        <v>2020</v>
      </c>
      <c r="J1" s="122">
        <v>2021</v>
      </c>
      <c r="K1" s="128">
        <v>2022</v>
      </c>
      <c r="L1" s="118">
        <v>2023</v>
      </c>
      <c r="M1" s="12" t="s">
        <v>266</v>
      </c>
    </row>
    <row r="2" spans="1:13" x14ac:dyDescent="0.3">
      <c r="A2" t="s">
        <v>236</v>
      </c>
      <c r="B2" s="26" t="s">
        <v>260</v>
      </c>
      <c r="C2" s="93">
        <v>126144880.09999999</v>
      </c>
      <c r="D2" s="93">
        <v>134869748.31999999</v>
      </c>
      <c r="E2" s="93">
        <v>113112342.08</v>
      </c>
      <c r="F2" s="1">
        <v>113553171.55</v>
      </c>
      <c r="G2" s="1">
        <v>114010717.34999999</v>
      </c>
      <c r="H2" s="1">
        <v>114067488.2</v>
      </c>
      <c r="I2" s="1">
        <v>110127093.66</v>
      </c>
      <c r="J2" s="1">
        <v>116889160.40000001</v>
      </c>
      <c r="K2" s="1">
        <v>122366171.18000001</v>
      </c>
      <c r="L2" s="1">
        <v>134055529.98999999</v>
      </c>
      <c r="M2" s="1">
        <f>L2-K2</f>
        <v>11689358.809999987</v>
      </c>
    </row>
    <row r="3" spans="1:13" x14ac:dyDescent="0.3">
      <c r="A3" t="s">
        <v>237</v>
      </c>
      <c r="B3" s="26" t="s">
        <v>260</v>
      </c>
      <c r="C3" s="93">
        <v>0</v>
      </c>
      <c r="D3" s="93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f t="shared" ref="M3:M29" si="0">L3-K3</f>
        <v>0</v>
      </c>
    </row>
    <row r="4" spans="1:13" x14ac:dyDescent="0.3">
      <c r="A4" t="s">
        <v>238</v>
      </c>
      <c r="B4" s="26" t="s">
        <v>260</v>
      </c>
      <c r="C4" s="93">
        <v>140799980.34999999</v>
      </c>
      <c r="D4" s="93">
        <v>106437013.90000001</v>
      </c>
      <c r="E4" s="1">
        <f>184548096.75+18773796.48+411521.98</f>
        <v>203733415.20999998</v>
      </c>
      <c r="F4" s="1">
        <v>194301336.06</v>
      </c>
      <c r="G4" s="1">
        <v>192662268.72</v>
      </c>
      <c r="H4" s="1">
        <v>206291590.75</v>
      </c>
      <c r="I4" s="1">
        <v>215650644.38</v>
      </c>
      <c r="J4" s="1">
        <v>204151122.59</v>
      </c>
      <c r="K4" s="1">
        <v>204415222.93000001</v>
      </c>
      <c r="L4" s="1">
        <v>205440224.90000001</v>
      </c>
      <c r="M4" s="1">
        <f t="shared" si="0"/>
        <v>1025001.9699999988</v>
      </c>
    </row>
    <row r="5" spans="1:13" x14ac:dyDescent="0.3">
      <c r="A5" t="s">
        <v>239</v>
      </c>
      <c r="B5" s="26" t="s">
        <v>260</v>
      </c>
      <c r="C5" s="93">
        <v>28894723.449999999</v>
      </c>
      <c r="D5" s="93">
        <v>27508273.440000001</v>
      </c>
      <c r="E5" s="1">
        <f>9649027.97+2178930.18+19472699.56</f>
        <v>31300657.710000001</v>
      </c>
      <c r="F5" s="1">
        <v>33913860.579999998</v>
      </c>
      <c r="G5" s="1">
        <v>35753348.979999997</v>
      </c>
      <c r="H5" s="1">
        <v>35719354.689999998</v>
      </c>
      <c r="I5" s="1">
        <v>21864690.969999999</v>
      </c>
      <c r="J5" s="1">
        <v>28072921.32</v>
      </c>
      <c r="K5" s="1">
        <v>32529968.719999999</v>
      </c>
      <c r="L5" s="1">
        <v>37965045.450000003</v>
      </c>
      <c r="M5" s="1">
        <f t="shared" si="0"/>
        <v>5435076.7300000042</v>
      </c>
    </row>
    <row r="6" spans="1:13" x14ac:dyDescent="0.3">
      <c r="A6" t="s">
        <v>240</v>
      </c>
      <c r="B6" s="26" t="s">
        <v>260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1">
        <v>28053.43</v>
      </c>
      <c r="J6" s="1">
        <v>0</v>
      </c>
      <c r="K6" s="1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26" t="s">
        <v>260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1">
        <f t="shared" si="0"/>
        <v>0</v>
      </c>
    </row>
    <row r="8" spans="1:13" x14ac:dyDescent="0.3">
      <c r="A8" t="s">
        <v>242</v>
      </c>
      <c r="B8" s="26" t="s">
        <v>260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1">
        <f t="shared" si="0"/>
        <v>0</v>
      </c>
    </row>
    <row r="9" spans="1:13" x14ac:dyDescent="0.3">
      <c r="A9" s="32" t="s">
        <v>243</v>
      </c>
      <c r="B9" s="33" t="s">
        <v>260</v>
      </c>
      <c r="C9" s="94">
        <f>14330958.87+22336096.81+2903426.43+8248993.04</f>
        <v>47819475.149999999</v>
      </c>
      <c r="D9" s="94">
        <f>10179587.1+24918659.96+4784627.17+17862.62+11068758.51</f>
        <v>50969495.359999999</v>
      </c>
      <c r="E9" s="34">
        <v>21758682.870000001</v>
      </c>
      <c r="F9" s="34">
        <v>11981490.26</v>
      </c>
      <c r="G9" s="34">
        <v>14609672.92</v>
      </c>
      <c r="H9" s="34">
        <v>11557267.529999999</v>
      </c>
      <c r="I9" s="34">
        <v>11346542.609999999</v>
      </c>
      <c r="J9" s="34">
        <v>9789308.5700000003</v>
      </c>
      <c r="K9" s="34">
        <v>14422796.609999999</v>
      </c>
      <c r="L9" s="1">
        <v>11493795</v>
      </c>
      <c r="M9" s="1">
        <f t="shared" si="0"/>
        <v>-2929001.6099999994</v>
      </c>
    </row>
    <row r="10" spans="1:13" x14ac:dyDescent="0.3">
      <c r="A10" s="35" t="s">
        <v>264</v>
      </c>
      <c r="B10" s="36" t="s">
        <v>260</v>
      </c>
      <c r="C10" s="92">
        <f t="shared" ref="C10:H10" si="1">SUM(C2:C9)</f>
        <v>343659059.04999995</v>
      </c>
      <c r="D10" s="92">
        <f t="shared" si="1"/>
        <v>319784531.02000004</v>
      </c>
      <c r="E10" s="92">
        <f t="shared" si="1"/>
        <v>369905097.86999995</v>
      </c>
      <c r="F10" s="92">
        <f t="shared" si="1"/>
        <v>353749858.44999999</v>
      </c>
      <c r="G10" s="92">
        <f t="shared" si="1"/>
        <v>357036007.97000003</v>
      </c>
      <c r="H10" s="92">
        <f t="shared" si="1"/>
        <v>367635701.16999996</v>
      </c>
      <c r="I10" s="92">
        <f t="shared" ref="I10:L10" si="2">SUM(I2:I9)</f>
        <v>359017025.05000001</v>
      </c>
      <c r="J10" s="92">
        <f t="shared" ref="J10:K10" si="3">SUM(J2:J9)</f>
        <v>358902512.88</v>
      </c>
      <c r="K10" s="92">
        <f t="shared" si="3"/>
        <v>373734159.44000006</v>
      </c>
      <c r="L10" s="92">
        <f t="shared" si="2"/>
        <v>388954595.33999997</v>
      </c>
      <c r="M10" s="11">
        <f t="shared" si="0"/>
        <v>15220435.899999917</v>
      </c>
    </row>
    <row r="11" spans="1:13" x14ac:dyDescent="0.3">
      <c r="A11" t="s">
        <v>244</v>
      </c>
      <c r="B11" s="26" t="s">
        <v>261</v>
      </c>
      <c r="C11" s="93">
        <v>3298868.01</v>
      </c>
      <c r="D11" s="93">
        <v>3042926.91</v>
      </c>
      <c r="E11" s="1">
        <v>2971824.36</v>
      </c>
      <c r="F11" s="1">
        <v>3143287.03</v>
      </c>
      <c r="G11" s="1">
        <v>3300436.21</v>
      </c>
      <c r="H11" s="1">
        <v>3026485.3</v>
      </c>
      <c r="I11" s="1">
        <v>6699676.1900000004</v>
      </c>
      <c r="J11" s="1">
        <v>4422385.92</v>
      </c>
      <c r="K11" s="1">
        <v>3129487.95</v>
      </c>
      <c r="L11" s="1">
        <v>3398219.98</v>
      </c>
      <c r="M11" s="1">
        <f t="shared" si="0"/>
        <v>268732.0299999998</v>
      </c>
    </row>
    <row r="12" spans="1:13" x14ac:dyDescent="0.3">
      <c r="A12" t="s">
        <v>245</v>
      </c>
      <c r="B12" s="26" t="s">
        <v>261</v>
      </c>
      <c r="C12" s="93">
        <v>130469876.95</v>
      </c>
      <c r="D12" s="93">
        <v>129076743.72</v>
      </c>
      <c r="E12" s="1">
        <v>133818605.81</v>
      </c>
      <c r="F12" s="1">
        <v>126296403.51000001</v>
      </c>
      <c r="G12" s="1">
        <v>132004017.34999999</v>
      </c>
      <c r="H12" s="1">
        <v>142718962.56999999</v>
      </c>
      <c r="I12" s="1">
        <v>135251931.38</v>
      </c>
      <c r="J12" s="1">
        <v>147187250.5</v>
      </c>
      <c r="K12" s="1">
        <v>159147626.75999999</v>
      </c>
      <c r="L12" s="1">
        <v>164377296.24000001</v>
      </c>
      <c r="M12" s="1">
        <f t="shared" si="0"/>
        <v>5229669.4800000191</v>
      </c>
    </row>
    <row r="13" spans="1:13" x14ac:dyDescent="0.3">
      <c r="A13" t="s">
        <v>246</v>
      </c>
      <c r="B13" s="26" t="s">
        <v>261</v>
      </c>
      <c r="C13" s="93">
        <v>1047273.27</v>
      </c>
      <c r="D13" s="93">
        <v>911817.8</v>
      </c>
      <c r="E13" s="1">
        <v>1193619.27</v>
      </c>
      <c r="F13" s="1">
        <v>1244065.54</v>
      </c>
      <c r="G13" s="1">
        <v>1368046.62</v>
      </c>
      <c r="H13" s="1">
        <v>1407841.5</v>
      </c>
      <c r="I13" s="1">
        <v>1529169.87</v>
      </c>
      <c r="J13" s="1">
        <v>1830583.48</v>
      </c>
      <c r="K13" s="1">
        <v>1613651.82</v>
      </c>
      <c r="L13" s="1">
        <v>2267427.4</v>
      </c>
      <c r="M13" s="1">
        <f t="shared" si="0"/>
        <v>653775.57999999984</v>
      </c>
    </row>
    <row r="14" spans="1:13" x14ac:dyDescent="0.3">
      <c r="A14" t="s">
        <v>247</v>
      </c>
      <c r="B14" s="26" t="s">
        <v>261</v>
      </c>
      <c r="C14" s="93">
        <v>31041401.859999999</v>
      </c>
      <c r="D14" s="93">
        <v>34239481.68</v>
      </c>
      <c r="E14" s="1">
        <f>45087576.75+271824.67+80000</f>
        <v>45439401.420000002</v>
      </c>
      <c r="F14" s="1">
        <v>45616667.710000001</v>
      </c>
      <c r="G14" s="1">
        <v>32423561.870000001</v>
      </c>
      <c r="H14" s="1">
        <v>34453381.399999999</v>
      </c>
      <c r="I14" s="1">
        <v>37246134.840000004</v>
      </c>
      <c r="J14" s="1">
        <v>37584886.130000003</v>
      </c>
      <c r="K14" s="1">
        <v>40947626.049999997</v>
      </c>
      <c r="L14" s="1">
        <v>56366868.539999999</v>
      </c>
      <c r="M14" s="1">
        <f t="shared" si="0"/>
        <v>15419242.490000002</v>
      </c>
    </row>
    <row r="15" spans="1:13" x14ac:dyDescent="0.3">
      <c r="A15" t="s">
        <v>248</v>
      </c>
      <c r="B15" s="26" t="s">
        <v>261</v>
      </c>
      <c r="C15" s="93">
        <v>99791647.620000005</v>
      </c>
      <c r="D15" s="93">
        <v>96944606.430000007</v>
      </c>
      <c r="E15" s="1">
        <v>98505521.230000004</v>
      </c>
      <c r="F15" s="1">
        <v>100800673.34</v>
      </c>
      <c r="G15" s="1">
        <v>98442091.980000004</v>
      </c>
      <c r="H15" s="1">
        <v>98549115.200000003</v>
      </c>
      <c r="I15" s="1">
        <v>98264801.689999998</v>
      </c>
      <c r="J15" s="1">
        <v>100649719.97</v>
      </c>
      <c r="K15" s="1">
        <v>101882941.12</v>
      </c>
      <c r="L15" s="1">
        <v>105009420.8</v>
      </c>
      <c r="M15" s="1">
        <f t="shared" si="0"/>
        <v>3126479.6799999923</v>
      </c>
    </row>
    <row r="16" spans="1:13" x14ac:dyDescent="0.3">
      <c r="A16" t="s">
        <v>249</v>
      </c>
      <c r="B16" s="26" t="s">
        <v>261</v>
      </c>
      <c r="C16" s="93">
        <v>31281546.219999999</v>
      </c>
      <c r="D16" s="93">
        <v>32191984.530000001</v>
      </c>
      <c r="E16" s="1">
        <f>2054837.99+18283294.52</f>
        <v>20338132.509999998</v>
      </c>
      <c r="F16" s="1">
        <v>13719998.08</v>
      </c>
      <c r="G16" s="1">
        <v>29714448.350000001</v>
      </c>
      <c r="H16" s="1">
        <v>28033064.649999999</v>
      </c>
      <c r="I16" s="1">
        <v>20189371.41</v>
      </c>
      <c r="J16" s="1">
        <v>20571008.140000001</v>
      </c>
      <c r="K16" s="1">
        <v>23167263.690000001</v>
      </c>
      <c r="L16" s="1">
        <v>21285717.039999999</v>
      </c>
      <c r="M16" s="1">
        <f t="shared" si="0"/>
        <v>-1881546.6500000022</v>
      </c>
    </row>
    <row r="17" spans="1:13" x14ac:dyDescent="0.3">
      <c r="A17" t="s">
        <v>250</v>
      </c>
      <c r="B17" s="26" t="s">
        <v>261</v>
      </c>
      <c r="C17" s="93">
        <v>-106942.97</v>
      </c>
      <c r="D17" s="93">
        <v>0</v>
      </c>
      <c r="E17" s="1">
        <v>28247.5</v>
      </c>
      <c r="F17" s="1">
        <v>432.51</v>
      </c>
      <c r="G17" s="1">
        <v>-26460.86</v>
      </c>
      <c r="H17" s="1">
        <v>121328.56</v>
      </c>
      <c r="I17" s="1">
        <v>0</v>
      </c>
      <c r="J17" s="1">
        <v>-9317.09</v>
      </c>
      <c r="K17" s="1">
        <v>0</v>
      </c>
      <c r="L17" s="1">
        <v>3585.58</v>
      </c>
      <c r="M17" s="1">
        <f t="shared" si="0"/>
        <v>3585.58</v>
      </c>
    </row>
    <row r="18" spans="1:13" x14ac:dyDescent="0.3">
      <c r="A18" t="s">
        <v>251</v>
      </c>
      <c r="B18" s="26" t="s">
        <v>261</v>
      </c>
      <c r="C18" s="93">
        <v>0</v>
      </c>
      <c r="D18" s="93">
        <v>0</v>
      </c>
      <c r="E18" s="1">
        <v>46301.13</v>
      </c>
      <c r="F18" s="1">
        <v>31027.54</v>
      </c>
      <c r="G18" s="1">
        <v>104948</v>
      </c>
      <c r="H18" s="1">
        <v>30000</v>
      </c>
      <c r="I18" s="1">
        <v>8221900</v>
      </c>
      <c r="J18" s="1">
        <v>11570823.33</v>
      </c>
      <c r="K18" s="1">
        <v>4000000</v>
      </c>
      <c r="L18" s="1">
        <v>0</v>
      </c>
      <c r="M18" s="1">
        <f t="shared" si="0"/>
        <v>-4000000</v>
      </c>
    </row>
    <row r="19" spans="1:13" x14ac:dyDescent="0.3">
      <c r="A19" t="s">
        <v>14</v>
      </c>
      <c r="B19" s="26" t="s">
        <v>261</v>
      </c>
      <c r="C19" s="93">
        <v>0</v>
      </c>
      <c r="D19" s="93">
        <v>0</v>
      </c>
      <c r="E19" s="1">
        <v>20408330.350000001</v>
      </c>
      <c r="F19" s="1">
        <v>5393223.2000000002</v>
      </c>
      <c r="G19" s="1">
        <v>5052</v>
      </c>
      <c r="H19" s="1">
        <v>5052</v>
      </c>
      <c r="I19" s="1">
        <v>831427.68</v>
      </c>
      <c r="J19" s="1">
        <v>2725873.46</v>
      </c>
      <c r="K19" s="1">
        <v>449114.86</v>
      </c>
      <c r="L19" s="1">
        <v>8006820</v>
      </c>
      <c r="M19" s="1">
        <f t="shared" si="0"/>
        <v>7557705.1399999997</v>
      </c>
    </row>
    <row r="20" spans="1:13" x14ac:dyDescent="0.3">
      <c r="A20" s="32" t="s">
        <v>252</v>
      </c>
      <c r="B20" s="33" t="s">
        <v>261</v>
      </c>
      <c r="C20" s="94">
        <v>2017138.17</v>
      </c>
      <c r="D20" s="94">
        <v>2172105.11</v>
      </c>
      <c r="E20" s="34">
        <v>42905362</v>
      </c>
      <c r="F20" s="34">
        <v>41887176.740000002</v>
      </c>
      <c r="G20" s="34">
        <v>39705026.030000001</v>
      </c>
      <c r="H20" s="34">
        <v>39258626.200000003</v>
      </c>
      <c r="I20" s="34">
        <v>14610081.23</v>
      </c>
      <c r="J20" s="34">
        <v>15341954.949999999</v>
      </c>
      <c r="K20" s="34">
        <v>15681222.18</v>
      </c>
      <c r="L20" s="1">
        <v>26434828.199999999</v>
      </c>
      <c r="M20" s="1">
        <f t="shared" si="0"/>
        <v>10753606.02</v>
      </c>
    </row>
    <row r="21" spans="1:13" x14ac:dyDescent="0.3">
      <c r="A21" s="35" t="s">
        <v>265</v>
      </c>
      <c r="B21" s="36" t="s">
        <v>261</v>
      </c>
      <c r="C21" s="92">
        <f t="shared" ref="C21:H21" si="4">SUM(C11:C20)</f>
        <v>298840809.13000005</v>
      </c>
      <c r="D21" s="92">
        <f t="shared" si="4"/>
        <v>298579666.18000001</v>
      </c>
      <c r="E21" s="92">
        <f t="shared" si="4"/>
        <v>365655345.58000004</v>
      </c>
      <c r="F21" s="92">
        <f t="shared" si="4"/>
        <v>338132955.19999999</v>
      </c>
      <c r="G21" s="92">
        <f t="shared" si="4"/>
        <v>337041167.55000007</v>
      </c>
      <c r="H21" s="92">
        <f t="shared" si="4"/>
        <v>347603857.38</v>
      </c>
      <c r="I21" s="92">
        <f t="shared" ref="I21:L21" si="5">SUM(I11:I20)</f>
        <v>322844494.29000008</v>
      </c>
      <c r="J21" s="92">
        <f t="shared" ref="J21:K21" si="6">SUM(J11:J20)</f>
        <v>341875168.78999996</v>
      </c>
      <c r="K21" s="92">
        <f t="shared" si="6"/>
        <v>350018934.43000001</v>
      </c>
      <c r="L21" s="92">
        <f t="shared" si="5"/>
        <v>387150183.77999997</v>
      </c>
      <c r="M21" s="11">
        <f t="shared" si="0"/>
        <v>37131249.349999964</v>
      </c>
    </row>
    <row r="22" spans="1:13" x14ac:dyDescent="0.3">
      <c r="A22" t="s">
        <v>253</v>
      </c>
      <c r="B22" s="26" t="s">
        <v>260</v>
      </c>
      <c r="C22" s="93">
        <v>1372297.1</v>
      </c>
      <c r="D22" s="93">
        <v>956474.37</v>
      </c>
      <c r="E22" s="1">
        <v>12285748.609999999</v>
      </c>
      <c r="F22" s="1">
        <v>10944927.23</v>
      </c>
      <c r="G22" s="1">
        <v>10423640.560000001</v>
      </c>
      <c r="H22" s="1">
        <v>9718613.7100000009</v>
      </c>
      <c r="I22" s="1">
        <v>8690815.7200000007</v>
      </c>
      <c r="J22" s="1">
        <v>6358760.9400000004</v>
      </c>
      <c r="K22" s="1">
        <v>11192077.720000001</v>
      </c>
      <c r="L22" s="1">
        <v>19978830.059999999</v>
      </c>
      <c r="M22" s="1">
        <f t="shared" si="0"/>
        <v>8786752.339999998</v>
      </c>
    </row>
    <row r="23" spans="1:13" x14ac:dyDescent="0.3">
      <c r="A23" t="s">
        <v>254</v>
      </c>
      <c r="B23" s="26" t="s">
        <v>261</v>
      </c>
      <c r="C23" s="93">
        <f>5678336.29+160595.08+7518.12</f>
        <v>5846449.4900000002</v>
      </c>
      <c r="D23" s="93">
        <f>5148881.93+58902.74+6306.8</f>
        <v>5214091.47</v>
      </c>
      <c r="E23" s="1">
        <v>5947228.7800000003</v>
      </c>
      <c r="F23" s="1">
        <v>6383829.6200000001</v>
      </c>
      <c r="G23" s="1">
        <v>4689110.68</v>
      </c>
      <c r="H23" s="1">
        <v>4580552.5199999996</v>
      </c>
      <c r="I23" s="1">
        <v>4217456.4800000004</v>
      </c>
      <c r="J23" s="1">
        <v>3863291.25</v>
      </c>
      <c r="K23" s="1">
        <v>3733952.48</v>
      </c>
      <c r="L23" s="1">
        <v>3730768.58</v>
      </c>
      <c r="M23" s="1">
        <f t="shared" si="0"/>
        <v>-3183.8999999999069</v>
      </c>
    </row>
    <row r="24" spans="1:13" x14ac:dyDescent="0.3">
      <c r="A24" t="s">
        <v>255</v>
      </c>
      <c r="B24" s="26" t="s">
        <v>260</v>
      </c>
      <c r="C24" s="93">
        <v>0</v>
      </c>
      <c r="D24" s="93">
        <v>0</v>
      </c>
      <c r="E24" s="1">
        <v>-1062104.8500000001</v>
      </c>
      <c r="F24" s="1">
        <v>2698766.34</v>
      </c>
      <c r="G24" s="1">
        <v>-33275.89</v>
      </c>
      <c r="H24" s="1">
        <v>-977401.72</v>
      </c>
      <c r="I24" s="1">
        <v>0</v>
      </c>
      <c r="J24" s="1">
        <v>0</v>
      </c>
      <c r="K24" s="1">
        <v>0</v>
      </c>
      <c r="L24" s="1">
        <v>4582953.43</v>
      </c>
      <c r="M24" s="1">
        <f t="shared" si="0"/>
        <v>4582953.43</v>
      </c>
    </row>
    <row r="25" spans="1:13" x14ac:dyDescent="0.3">
      <c r="A25" t="s">
        <v>256</v>
      </c>
      <c r="B25" s="26" t="s">
        <v>260</v>
      </c>
      <c r="C25" s="93">
        <v>8548403.9100000001</v>
      </c>
      <c r="D25" s="93">
        <v>12193117.9</v>
      </c>
      <c r="E25" s="1">
        <v>33134248.34</v>
      </c>
      <c r="F25" s="1">
        <v>103443815.34</v>
      </c>
      <c r="G25" s="1">
        <v>56698359.079999998</v>
      </c>
      <c r="H25" s="1">
        <v>106519202.91</v>
      </c>
      <c r="I25" s="1">
        <v>29965277.309999999</v>
      </c>
      <c r="J25" s="1">
        <v>63053464.960000001</v>
      </c>
      <c r="K25" s="1">
        <v>29131681.5</v>
      </c>
      <c r="L25" s="1">
        <v>41005352.140000001</v>
      </c>
      <c r="M25" s="1">
        <f t="shared" si="0"/>
        <v>11873670.640000001</v>
      </c>
    </row>
    <row r="26" spans="1:13" x14ac:dyDescent="0.3">
      <c r="A26" t="s">
        <v>257</v>
      </c>
      <c r="B26" s="26" t="s">
        <v>261</v>
      </c>
      <c r="C26" s="93">
        <v>27861877.460000001</v>
      </c>
      <c r="D26" s="93">
        <v>3263360.81</v>
      </c>
      <c r="E26" s="1">
        <v>940246.66</v>
      </c>
      <c r="F26" s="1">
        <v>3811347.22</v>
      </c>
      <c r="G26" s="1">
        <v>11965916.539999999</v>
      </c>
      <c r="H26" s="1">
        <v>14912275.1</v>
      </c>
      <c r="I26" s="1">
        <v>24078468.350000001</v>
      </c>
      <c r="J26" s="1">
        <v>5150270.7</v>
      </c>
      <c r="K26" s="1">
        <v>12363241.68</v>
      </c>
      <c r="L26" s="1">
        <v>16686648.57</v>
      </c>
      <c r="M26" s="1">
        <f t="shared" si="0"/>
        <v>4323406.8900000006</v>
      </c>
    </row>
    <row r="27" spans="1:13" x14ac:dyDescent="0.3">
      <c r="A27" t="s">
        <v>258</v>
      </c>
      <c r="B27" s="26" t="s">
        <v>261</v>
      </c>
      <c r="C27" s="93">
        <v>6650284.5099999998</v>
      </c>
      <c r="D27" s="93">
        <v>7436897.9000000004</v>
      </c>
      <c r="E27" s="1">
        <v>4200000</v>
      </c>
      <c r="F27" s="1">
        <v>4200000</v>
      </c>
      <c r="G27" s="1">
        <v>4582500</v>
      </c>
      <c r="H27" s="1">
        <v>4582500</v>
      </c>
      <c r="I27" s="1">
        <v>4582500</v>
      </c>
      <c r="J27" s="1">
        <v>3907071.38</v>
      </c>
      <c r="K27" s="1">
        <v>4135105.14</v>
      </c>
      <c r="L27" s="1">
        <v>4582500</v>
      </c>
      <c r="M27" s="1">
        <f t="shared" si="0"/>
        <v>447394.85999999987</v>
      </c>
    </row>
    <row r="28" spans="1:13" x14ac:dyDescent="0.3">
      <c r="A28" s="10" t="s">
        <v>259</v>
      </c>
      <c r="B28" s="36" t="s">
        <v>262</v>
      </c>
      <c r="C28" s="95">
        <f>SUM(C2:C9)-SUM(C11:C20)+C22-C23+C24+C25-C26-C27</f>
        <v>14380339.469999893</v>
      </c>
      <c r="D28" s="95">
        <f>SUM(D2:D9)-SUM(D11:D20)+D22-D23+D24+D25-D26-D27</f>
        <v>18440106.930000037</v>
      </c>
      <c r="E28" s="37">
        <f t="shared" ref="E28:L28" si="7">E10-E21+E22-E23+E24+E25-E26-E27</f>
        <v>37520168.949999906</v>
      </c>
      <c r="F28" s="37">
        <f t="shared" si="7"/>
        <v>118309235.32000001</v>
      </c>
      <c r="G28" s="37">
        <f t="shared" si="7"/>
        <v>65846036.949999958</v>
      </c>
      <c r="H28" s="37">
        <f t="shared" si="7"/>
        <v>111216931.06999996</v>
      </c>
      <c r="I28" s="37">
        <f t="shared" si="7"/>
        <v>41950198.959999926</v>
      </c>
      <c r="J28" s="37">
        <f t="shared" ref="J28:K28" si="8">J10-J21+J22-J23+J24+J25-J26-J27</f>
        <v>73518936.660000041</v>
      </c>
      <c r="K28" s="37">
        <f t="shared" si="8"/>
        <v>43806684.930000044</v>
      </c>
      <c r="L28" s="37">
        <f t="shared" si="7"/>
        <v>42371630.039999999</v>
      </c>
      <c r="M28" s="37">
        <f t="shared" si="0"/>
        <v>-1435054.8900000453</v>
      </c>
    </row>
    <row r="29" spans="1:13" x14ac:dyDescent="0.3">
      <c r="A29" s="72" t="s">
        <v>365</v>
      </c>
      <c r="B29" s="126"/>
      <c r="C29" s="127">
        <f>C10-SUM(C11:C15)+C17</f>
        <v>77903048.369999915</v>
      </c>
      <c r="D29" s="127">
        <f t="shared" ref="D29:L29" si="9">D10-SUM(D11:D15)+D17</f>
        <v>55568954.480000049</v>
      </c>
      <c r="E29" s="127">
        <f t="shared" si="9"/>
        <v>88004373.279999912</v>
      </c>
      <c r="F29" s="127">
        <f t="shared" si="9"/>
        <v>76649193.829999998</v>
      </c>
      <c r="G29" s="127">
        <f t="shared" si="9"/>
        <v>89471393.079999998</v>
      </c>
      <c r="H29" s="127">
        <f t="shared" si="9"/>
        <v>87601243.759999931</v>
      </c>
      <c r="I29" s="127">
        <f t="shared" si="9"/>
        <v>80025311.079999983</v>
      </c>
      <c r="J29" s="127">
        <f t="shared" si="9"/>
        <v>67218369.789999992</v>
      </c>
      <c r="K29" s="127">
        <f t="shared" ref="K29" si="10">K10-SUM(K11:K15)+K17</f>
        <v>67012825.740000069</v>
      </c>
      <c r="L29" s="127">
        <f t="shared" si="9"/>
        <v>57538947.959999993</v>
      </c>
      <c r="M29" s="127">
        <f t="shared" si="0"/>
        <v>-9473877.7800000757</v>
      </c>
    </row>
  </sheetData>
  <conditionalFormatting sqref="C28:H28 L28:M28">
    <cfRule type="cellIs" dxfId="94" priority="23" operator="greaterThan">
      <formula>0</formula>
    </cfRule>
  </conditionalFormatting>
  <conditionalFormatting sqref="I28">
    <cfRule type="cellIs" dxfId="93" priority="11" operator="greaterThan">
      <formula>0</formula>
    </cfRule>
  </conditionalFormatting>
  <conditionalFormatting sqref="J28">
    <cfRule type="cellIs" dxfId="92" priority="10" operator="greaterThan">
      <formula>0</formula>
    </cfRule>
  </conditionalFormatting>
  <conditionalFormatting sqref="C29:J29 L29:M29">
    <cfRule type="cellIs" dxfId="91" priority="9" operator="greaterThan">
      <formula>0</formula>
    </cfRule>
  </conditionalFormatting>
  <conditionalFormatting sqref="C29:J29 L29">
    <cfRule type="cellIs" dxfId="90" priority="8" operator="greaterThan">
      <formula>0</formula>
    </cfRule>
  </conditionalFormatting>
  <conditionalFormatting sqref="C29:J29 L29">
    <cfRule type="cellIs" dxfId="89" priority="7" operator="greaterThan">
      <formula>0</formula>
    </cfRule>
  </conditionalFormatting>
  <conditionalFormatting sqref="C29:J29 L29">
    <cfRule type="cellIs" dxfId="88" priority="6" operator="greaterThan">
      <formula>0</formula>
    </cfRule>
  </conditionalFormatting>
  <conditionalFormatting sqref="K28">
    <cfRule type="cellIs" dxfId="87" priority="5" operator="greaterThan">
      <formula>0</formula>
    </cfRule>
  </conditionalFormatting>
  <conditionalFormatting sqref="K29">
    <cfRule type="cellIs" dxfId="86" priority="4" operator="greaterThan">
      <formula>0</formula>
    </cfRule>
  </conditionalFormatting>
  <conditionalFormatting sqref="K29">
    <cfRule type="cellIs" dxfId="85" priority="3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K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H18" sqref="H18"/>
    </sheetView>
  </sheetViews>
  <sheetFormatPr defaultRowHeight="14.4" x14ac:dyDescent="0.3"/>
  <cols>
    <col min="1" max="1" width="34.33203125" customWidth="1"/>
    <col min="2" max="11" width="11.5546875" bestFit="1" customWidth="1"/>
    <col min="12" max="12" width="11.33203125" bestFit="1" customWidth="1"/>
  </cols>
  <sheetData>
    <row r="1" spans="1:12" x14ac:dyDescent="0.3">
      <c r="A1" s="41"/>
      <c r="B1" s="103">
        <v>2014</v>
      </c>
      <c r="C1" s="103">
        <v>2015</v>
      </c>
      <c r="D1" s="103">
        <v>2016</v>
      </c>
      <c r="E1" s="42">
        <v>2017</v>
      </c>
      <c r="F1" s="42">
        <v>2018</v>
      </c>
      <c r="G1" s="42">
        <v>2019</v>
      </c>
      <c r="H1" s="42">
        <v>2020</v>
      </c>
      <c r="I1" s="42">
        <v>2021</v>
      </c>
      <c r="J1" s="42">
        <v>2022</v>
      </c>
      <c r="K1" s="42">
        <v>2023</v>
      </c>
      <c r="L1" s="42" t="s">
        <v>266</v>
      </c>
    </row>
    <row r="2" spans="1:12" x14ac:dyDescent="0.3">
      <c r="A2" s="71" t="s">
        <v>346</v>
      </c>
      <c r="B2" s="64">
        <f>Conto_economico!C10</f>
        <v>343659059.04999995</v>
      </c>
      <c r="C2" s="64">
        <f>Conto_economico!D10</f>
        <v>319784531.02000004</v>
      </c>
      <c r="D2" s="64">
        <f>Conto_economico!E10</f>
        <v>369905097.86999995</v>
      </c>
      <c r="E2" s="64">
        <f>Conto_economico!F10</f>
        <v>353749858.44999999</v>
      </c>
      <c r="F2" s="64">
        <f>Conto_economico!G10</f>
        <v>357036007.97000003</v>
      </c>
      <c r="G2" s="64">
        <f>Conto_economico!H10</f>
        <v>367635701.16999996</v>
      </c>
      <c r="H2" s="64">
        <f>Conto_economico!I10</f>
        <v>359017025.05000001</v>
      </c>
      <c r="I2" s="64">
        <f>Conto_economico!J10</f>
        <v>358902512.88</v>
      </c>
      <c r="J2" s="64">
        <f>Conto_economico!K10</f>
        <v>373734159.44000006</v>
      </c>
      <c r="K2" s="64">
        <f>Conto_economico!L10</f>
        <v>388954595.33999997</v>
      </c>
      <c r="L2" s="64">
        <f t="shared" ref="L2:L16" si="0">K2-J2</f>
        <v>15220435.899999917</v>
      </c>
    </row>
    <row r="3" spans="1:12" x14ac:dyDescent="0.3">
      <c r="A3" s="71" t="s">
        <v>341</v>
      </c>
      <c r="B3" s="64">
        <f>Conto_economico!C2</f>
        <v>126144880.09999999</v>
      </c>
      <c r="C3" s="64">
        <f>Conto_economico!D2</f>
        <v>134869748.31999999</v>
      </c>
      <c r="D3" s="64">
        <f>Conto_economico!E2</f>
        <v>113112342.08</v>
      </c>
      <c r="E3" s="64">
        <f>Conto_economico!F2</f>
        <v>113553171.55</v>
      </c>
      <c r="F3" s="64">
        <f>Conto_economico!G2</f>
        <v>114010717.34999999</v>
      </c>
      <c r="G3" s="64">
        <f>Conto_economico!H2</f>
        <v>114067488.2</v>
      </c>
      <c r="H3" s="64">
        <f>Conto_economico!I2</f>
        <v>110127093.66</v>
      </c>
      <c r="I3" s="64">
        <f>Conto_economico!J2</f>
        <v>116889160.40000001</v>
      </c>
      <c r="J3" s="64">
        <f>Conto_economico!K2</f>
        <v>122366171.18000001</v>
      </c>
      <c r="K3" s="64">
        <f>Conto_economico!L2</f>
        <v>134055529.98999999</v>
      </c>
      <c r="L3" s="64">
        <f t="shared" si="0"/>
        <v>11689358.809999987</v>
      </c>
    </row>
    <row r="4" spans="1:12" x14ac:dyDescent="0.3">
      <c r="A4" s="71" t="s">
        <v>342</v>
      </c>
      <c r="B4" s="64">
        <f>Conto_economico!C4</f>
        <v>140799980.34999999</v>
      </c>
      <c r="C4" s="64">
        <f>Conto_economico!D4</f>
        <v>106437013.90000001</v>
      </c>
      <c r="D4" s="64">
        <f>Conto_economico!E4</f>
        <v>203733415.20999998</v>
      </c>
      <c r="E4" s="64">
        <f>Conto_economico!F4</f>
        <v>194301336.06</v>
      </c>
      <c r="F4" s="64">
        <f>Conto_economico!G4</f>
        <v>192662268.72</v>
      </c>
      <c r="G4" s="64">
        <f>Conto_economico!H4</f>
        <v>206291590.75</v>
      </c>
      <c r="H4" s="64">
        <f>Conto_economico!I4</f>
        <v>215650644.38</v>
      </c>
      <c r="I4" s="64">
        <f>Conto_economico!J4</f>
        <v>204151122.59</v>
      </c>
      <c r="J4" s="64">
        <f>Conto_economico!K4</f>
        <v>204415222.93000001</v>
      </c>
      <c r="K4" s="64">
        <f>Conto_economico!L4</f>
        <v>205440224.90000001</v>
      </c>
      <c r="L4" s="64">
        <f t="shared" si="0"/>
        <v>1025001.9699999988</v>
      </c>
    </row>
    <row r="5" spans="1:12" x14ac:dyDescent="0.3">
      <c r="A5" s="71" t="s">
        <v>347</v>
      </c>
      <c r="B5" s="65">
        <f>Conto_economico!C21</f>
        <v>298840809.13000005</v>
      </c>
      <c r="C5" s="65">
        <f>Conto_economico!D21</f>
        <v>298579666.18000001</v>
      </c>
      <c r="D5" s="65">
        <f>Conto_economico!E21</f>
        <v>365655345.58000004</v>
      </c>
      <c r="E5" s="65">
        <f>Conto_economico!F21</f>
        <v>338132955.19999999</v>
      </c>
      <c r="F5" s="65">
        <f>Conto_economico!G21</f>
        <v>337041167.55000007</v>
      </c>
      <c r="G5" s="65">
        <f>Conto_economico!H21</f>
        <v>347603857.38</v>
      </c>
      <c r="H5" s="65">
        <f>Conto_economico!I21</f>
        <v>322844494.29000008</v>
      </c>
      <c r="I5" s="65">
        <f>Conto_economico!J21</f>
        <v>341875168.78999996</v>
      </c>
      <c r="J5" s="65">
        <f>Conto_economico!K21</f>
        <v>350018934.43000001</v>
      </c>
      <c r="K5" s="65">
        <f>Conto_economico!L21</f>
        <v>387150183.77999997</v>
      </c>
      <c r="L5" s="64">
        <f t="shared" si="0"/>
        <v>37131249.349999964</v>
      </c>
    </row>
    <row r="6" spans="1:12" x14ac:dyDescent="0.3">
      <c r="A6" s="71" t="s">
        <v>343</v>
      </c>
      <c r="B6" s="64">
        <f>Conto_economico!C12</f>
        <v>130469876.95</v>
      </c>
      <c r="C6" s="64">
        <f>Conto_economico!D12</f>
        <v>129076743.72</v>
      </c>
      <c r="D6" s="64">
        <f>Conto_economico!E12</f>
        <v>133818605.81</v>
      </c>
      <c r="E6" s="64">
        <f>Conto_economico!F12</f>
        <v>126296403.51000001</v>
      </c>
      <c r="F6" s="64">
        <f>Conto_economico!G12</f>
        <v>132004017.34999999</v>
      </c>
      <c r="G6" s="64">
        <f>Conto_economico!H12</f>
        <v>142718962.56999999</v>
      </c>
      <c r="H6" s="64">
        <f>Conto_economico!I12</f>
        <v>135251931.38</v>
      </c>
      <c r="I6" s="64">
        <f>Conto_economico!J12</f>
        <v>147187250.5</v>
      </c>
      <c r="J6" s="64">
        <f>Conto_economico!K12</f>
        <v>159147626.75999999</v>
      </c>
      <c r="K6" s="64">
        <f>Conto_economico!L12</f>
        <v>164377296.24000001</v>
      </c>
      <c r="L6" s="64">
        <f t="shared" si="0"/>
        <v>5229669.4800000191</v>
      </c>
    </row>
    <row r="7" spans="1:12" x14ac:dyDescent="0.3">
      <c r="A7" s="71" t="s">
        <v>344</v>
      </c>
      <c r="B7" s="64">
        <f>Conto_economico!C15</f>
        <v>99791647.620000005</v>
      </c>
      <c r="C7" s="64">
        <f>Conto_economico!D15</f>
        <v>96944606.430000007</v>
      </c>
      <c r="D7" s="64">
        <f>Conto_economico!E15</f>
        <v>98505521.230000004</v>
      </c>
      <c r="E7" s="64">
        <f>Conto_economico!F15</f>
        <v>100800673.34</v>
      </c>
      <c r="F7" s="64">
        <f>Conto_economico!G15</f>
        <v>98442091.980000004</v>
      </c>
      <c r="G7" s="64">
        <f>Conto_economico!H15</f>
        <v>98549115.200000003</v>
      </c>
      <c r="H7" s="64">
        <f>Conto_economico!I15</f>
        <v>98264801.689999998</v>
      </c>
      <c r="I7" s="64">
        <f>Conto_economico!J15</f>
        <v>100649719.97</v>
      </c>
      <c r="J7" s="64">
        <f>Conto_economico!K15</f>
        <v>101882941.12</v>
      </c>
      <c r="K7" s="64">
        <f>Conto_economico!L15</f>
        <v>105009420.8</v>
      </c>
      <c r="L7" s="64">
        <f t="shared" si="0"/>
        <v>3126479.6799999923</v>
      </c>
    </row>
    <row r="8" spans="1:12" x14ac:dyDescent="0.3">
      <c r="A8" s="71" t="s">
        <v>345</v>
      </c>
      <c r="B8" s="64">
        <f>Conto_economico!C16</f>
        <v>31281546.219999999</v>
      </c>
      <c r="C8" s="64">
        <f>Conto_economico!D16</f>
        <v>32191984.530000001</v>
      </c>
      <c r="D8" s="64">
        <f>Conto_economico!E16</f>
        <v>20338132.509999998</v>
      </c>
      <c r="E8" s="64">
        <f>Conto_economico!F16</f>
        <v>13719998.08</v>
      </c>
      <c r="F8" s="64">
        <f>Conto_economico!G16</f>
        <v>29714448.350000001</v>
      </c>
      <c r="G8" s="64">
        <f>Conto_economico!H16</f>
        <v>28033064.649999999</v>
      </c>
      <c r="H8" s="64">
        <f>Conto_economico!I16</f>
        <v>20189371.41</v>
      </c>
      <c r="I8" s="64">
        <f>Conto_economico!J16</f>
        <v>20571008.140000001</v>
      </c>
      <c r="J8" s="64">
        <f>Conto_economico!K16</f>
        <v>23167263.690000001</v>
      </c>
      <c r="K8" s="64">
        <f>Conto_economico!L16</f>
        <v>21285717.039999999</v>
      </c>
      <c r="L8" s="64">
        <f t="shared" si="0"/>
        <v>-1881546.6500000022</v>
      </c>
    </row>
    <row r="9" spans="1:12" x14ac:dyDescent="0.3">
      <c r="A9" s="47" t="s">
        <v>365</v>
      </c>
      <c r="B9" s="66">
        <f>Conto_economico!C29</f>
        <v>77903048.369999915</v>
      </c>
      <c r="C9" s="66">
        <f>Conto_economico!D29</f>
        <v>55568954.480000049</v>
      </c>
      <c r="D9" s="66">
        <f>Conto_economico!E29</f>
        <v>88004373.279999912</v>
      </c>
      <c r="E9" s="66">
        <f>Conto_economico!F29</f>
        <v>76649193.829999998</v>
      </c>
      <c r="F9" s="66">
        <f>Conto_economico!G29</f>
        <v>89471393.079999998</v>
      </c>
      <c r="G9" s="66">
        <f>Conto_economico!H29</f>
        <v>87601243.759999931</v>
      </c>
      <c r="H9" s="66">
        <f>Conto_economico!I29</f>
        <v>80025311.079999983</v>
      </c>
      <c r="I9" s="66">
        <f>Conto_economico!J29</f>
        <v>67218369.789999992</v>
      </c>
      <c r="J9" s="66">
        <f>Conto_economico!K29</f>
        <v>67012825.740000069</v>
      </c>
      <c r="K9" s="66">
        <f>Conto_economico!L29</f>
        <v>57538947.959999993</v>
      </c>
      <c r="L9" s="66">
        <f t="shared" si="0"/>
        <v>-9473877.7800000757</v>
      </c>
    </row>
    <row r="10" spans="1:12" x14ac:dyDescent="0.3">
      <c r="A10" s="47" t="s">
        <v>307</v>
      </c>
      <c r="B10" s="66">
        <f t="shared" ref="B10:G10" si="1">B2-B5</f>
        <v>44818249.919999897</v>
      </c>
      <c r="C10" s="66">
        <f t="shared" si="1"/>
        <v>21204864.840000033</v>
      </c>
      <c r="D10" s="66">
        <f t="shared" si="1"/>
        <v>4249752.2899999022</v>
      </c>
      <c r="E10" s="66">
        <f t="shared" si="1"/>
        <v>15616903.25</v>
      </c>
      <c r="F10" s="66">
        <f t="shared" si="1"/>
        <v>19994840.419999957</v>
      </c>
      <c r="G10" s="66">
        <f t="shared" si="1"/>
        <v>20031843.789999962</v>
      </c>
      <c r="H10" s="66">
        <f t="shared" ref="H10:K10" si="2">H2-H5</f>
        <v>36172530.759999931</v>
      </c>
      <c r="I10" s="66">
        <f t="shared" ref="I10:J10" si="3">I2-I5</f>
        <v>17027344.090000033</v>
      </c>
      <c r="J10" s="66">
        <f t="shared" si="3"/>
        <v>23715225.01000005</v>
      </c>
      <c r="K10" s="66">
        <f t="shared" si="2"/>
        <v>1804411.5600000024</v>
      </c>
      <c r="L10" s="66">
        <f t="shared" si="0"/>
        <v>-21910813.450000048</v>
      </c>
    </row>
    <row r="11" spans="1:12" x14ac:dyDescent="0.3">
      <c r="A11" s="71" t="s">
        <v>308</v>
      </c>
      <c r="B11" s="64">
        <f>Conto_economico!C22-Conto_economico!C23</f>
        <v>-4474152.3900000006</v>
      </c>
      <c r="C11" s="64">
        <f>Conto_economico!D22-Conto_economico!D23</f>
        <v>-4257617.0999999996</v>
      </c>
      <c r="D11" s="64">
        <f>Conto_economico!E22-Conto_economico!E23</f>
        <v>6338519.8299999991</v>
      </c>
      <c r="E11" s="64">
        <f>Conto_economico!F22-Conto_economico!F23</f>
        <v>4561097.6100000003</v>
      </c>
      <c r="F11" s="64">
        <f>Conto_economico!G22-Conto_economico!G23</f>
        <v>5734529.8800000008</v>
      </c>
      <c r="G11" s="64">
        <f>Conto_economico!H22-Conto_economico!H23</f>
        <v>5138061.1900000013</v>
      </c>
      <c r="H11" s="64">
        <f>Conto_economico!I22-Conto_economico!I23</f>
        <v>4473359.24</v>
      </c>
      <c r="I11" s="64">
        <f>Conto_economico!J22-Conto_economico!J23</f>
        <v>2495469.6900000004</v>
      </c>
      <c r="J11" s="64">
        <f>Conto_economico!K22-Conto_economico!K23</f>
        <v>7458125.2400000002</v>
      </c>
      <c r="K11" s="64">
        <f>Conto_economico!L22-Conto_economico!L23</f>
        <v>16248061.479999999</v>
      </c>
      <c r="L11" s="64">
        <f t="shared" si="0"/>
        <v>8789936.2399999984</v>
      </c>
    </row>
    <row r="12" spans="1:12" x14ac:dyDescent="0.3">
      <c r="A12" s="71" t="s">
        <v>309</v>
      </c>
      <c r="B12" s="65">
        <f>Conto_economico!C25-Conto_economico!C26</f>
        <v>-19313473.550000001</v>
      </c>
      <c r="C12" s="65">
        <f>Conto_economico!D25-Conto_economico!D26</f>
        <v>8929757.0899999999</v>
      </c>
      <c r="D12" s="65">
        <f>Conto_economico!E25-Conto_economico!E26</f>
        <v>32194001.68</v>
      </c>
      <c r="E12" s="65">
        <f>Conto_economico!F25-Conto_economico!F26</f>
        <v>99632468.120000005</v>
      </c>
      <c r="F12" s="65">
        <f>Conto_economico!G25-Conto_economico!G26</f>
        <v>44732442.539999999</v>
      </c>
      <c r="G12" s="65">
        <f>Conto_economico!H25-Conto_economico!H26</f>
        <v>91606927.810000002</v>
      </c>
      <c r="H12" s="65">
        <f>Conto_economico!I25-Conto_economico!I26</f>
        <v>5886808.9599999972</v>
      </c>
      <c r="I12" s="65">
        <f>Conto_economico!J25-Conto_economico!J26</f>
        <v>57903194.259999998</v>
      </c>
      <c r="J12" s="65">
        <f>Conto_economico!K25-Conto_economico!K26</f>
        <v>16768439.82</v>
      </c>
      <c r="K12" s="65">
        <f>Conto_economico!L25-Conto_economico!L26</f>
        <v>24318703.57</v>
      </c>
      <c r="L12" s="64">
        <f t="shared" si="0"/>
        <v>7550263.75</v>
      </c>
    </row>
    <row r="13" spans="1:12" x14ac:dyDescent="0.3">
      <c r="A13" s="71" t="s">
        <v>255</v>
      </c>
      <c r="B13" s="65">
        <f>Conto_economico!C24</f>
        <v>0</v>
      </c>
      <c r="C13" s="65">
        <f>Conto_economico!D24</f>
        <v>0</v>
      </c>
      <c r="D13" s="65">
        <f>Conto_economico!E24</f>
        <v>-1062104.8500000001</v>
      </c>
      <c r="E13" s="65">
        <f>Conto_economico!F24</f>
        <v>2698766.34</v>
      </c>
      <c r="F13" s="65">
        <f>Conto_economico!G24</f>
        <v>-33275.89</v>
      </c>
      <c r="G13" s="65">
        <f>Conto_economico!H24</f>
        <v>-977401.72</v>
      </c>
      <c r="H13" s="65">
        <f>Conto_economico!I24</f>
        <v>0</v>
      </c>
      <c r="I13" s="65">
        <f>Conto_economico!J24</f>
        <v>0</v>
      </c>
      <c r="J13" s="65">
        <f>Conto_economico!K24</f>
        <v>0</v>
      </c>
      <c r="K13" s="65">
        <f>Conto_economico!L24</f>
        <v>4582953.43</v>
      </c>
      <c r="L13" s="64">
        <f t="shared" si="0"/>
        <v>4582953.43</v>
      </c>
    </row>
    <row r="14" spans="1:12" x14ac:dyDescent="0.3">
      <c r="A14" s="47" t="s">
        <v>310</v>
      </c>
      <c r="B14" s="66">
        <f t="shared" ref="B14:G14" si="4">SUM(B10:B13)</f>
        <v>21030623.979999896</v>
      </c>
      <c r="C14" s="66">
        <f t="shared" si="4"/>
        <v>25877004.830000032</v>
      </c>
      <c r="D14" s="66">
        <f t="shared" si="4"/>
        <v>41720168.949999899</v>
      </c>
      <c r="E14" s="66">
        <f t="shared" si="4"/>
        <v>122509235.32000001</v>
      </c>
      <c r="F14" s="66">
        <f t="shared" si="4"/>
        <v>70428536.949999958</v>
      </c>
      <c r="G14" s="66">
        <f t="shared" si="4"/>
        <v>115799431.06999996</v>
      </c>
      <c r="H14" s="66">
        <f t="shared" ref="H14:K14" si="5">SUM(H10:H13)</f>
        <v>46532698.959999934</v>
      </c>
      <c r="I14" s="66">
        <f t="shared" ref="I14:J14" si="6">SUM(I10:I13)</f>
        <v>77426008.040000036</v>
      </c>
      <c r="J14" s="66">
        <f t="shared" si="6"/>
        <v>47941790.070000052</v>
      </c>
      <c r="K14" s="66">
        <f t="shared" si="5"/>
        <v>46954130.039999999</v>
      </c>
      <c r="L14" s="66">
        <f t="shared" si="0"/>
        <v>-987660.03000005335</v>
      </c>
    </row>
    <row r="15" spans="1:12" x14ac:dyDescent="0.3">
      <c r="A15" s="71" t="s">
        <v>258</v>
      </c>
      <c r="B15" s="64">
        <f>Conto_economico!C27</f>
        <v>6650284.5099999998</v>
      </c>
      <c r="C15" s="64">
        <f>Conto_economico!D27</f>
        <v>7436897.9000000004</v>
      </c>
      <c r="D15" s="64">
        <f>Conto_economico!E27</f>
        <v>4200000</v>
      </c>
      <c r="E15" s="64">
        <f>Conto_economico!F27</f>
        <v>4200000</v>
      </c>
      <c r="F15" s="64">
        <f>Conto_economico!G27</f>
        <v>4582500</v>
      </c>
      <c r="G15" s="64">
        <f>Conto_economico!H27</f>
        <v>4582500</v>
      </c>
      <c r="H15" s="64">
        <f>Conto_economico!I27</f>
        <v>4582500</v>
      </c>
      <c r="I15" s="64">
        <f>Conto_economico!J27</f>
        <v>3907071.38</v>
      </c>
      <c r="J15" s="64">
        <f>Conto_economico!K27</f>
        <v>4135105.14</v>
      </c>
      <c r="K15" s="64">
        <f>Conto_economico!L27</f>
        <v>4582500</v>
      </c>
      <c r="L15" s="64">
        <f t="shared" si="0"/>
        <v>447394.85999999987</v>
      </c>
    </row>
    <row r="16" spans="1:12" x14ac:dyDescent="0.3">
      <c r="A16" s="70" t="s">
        <v>259</v>
      </c>
      <c r="B16" s="67">
        <f t="shared" ref="B16:G16" si="7">B14-B15</f>
        <v>14380339.469999896</v>
      </c>
      <c r="C16" s="67">
        <f t="shared" si="7"/>
        <v>18440106.93000003</v>
      </c>
      <c r="D16" s="67">
        <f t="shared" si="7"/>
        <v>37520168.949999899</v>
      </c>
      <c r="E16" s="67">
        <f t="shared" si="7"/>
        <v>118309235.32000001</v>
      </c>
      <c r="F16" s="67">
        <f t="shared" si="7"/>
        <v>65846036.949999958</v>
      </c>
      <c r="G16" s="67">
        <f t="shared" si="7"/>
        <v>111216931.06999996</v>
      </c>
      <c r="H16" s="67">
        <f t="shared" ref="H16:K16" si="8">H14-H15</f>
        <v>41950198.959999934</v>
      </c>
      <c r="I16" s="67">
        <f t="shared" ref="I16:J16" si="9">I14-I15</f>
        <v>73518936.660000041</v>
      </c>
      <c r="J16" s="67">
        <f t="shared" si="9"/>
        <v>43806684.930000052</v>
      </c>
      <c r="K16" s="67">
        <f t="shared" si="8"/>
        <v>42371630.039999999</v>
      </c>
      <c r="L16" s="67">
        <f t="shared" si="0"/>
        <v>-1435054.8900000528</v>
      </c>
    </row>
    <row r="18" spans="2:3" x14ac:dyDescent="0.3">
      <c r="B18" s="96"/>
      <c r="C18" s="96"/>
    </row>
    <row r="19" spans="2:3" x14ac:dyDescent="0.3">
      <c r="B19" s="102"/>
      <c r="C19" s="102"/>
    </row>
    <row r="20" spans="2:3" x14ac:dyDescent="0.3">
      <c r="B20" s="96"/>
      <c r="C20" s="96"/>
    </row>
  </sheetData>
  <conditionalFormatting sqref="B16:G16 K16:L16">
    <cfRule type="cellIs" dxfId="82" priority="22" operator="greaterThan">
      <formula>0</formula>
    </cfRule>
  </conditionalFormatting>
  <conditionalFormatting sqref="B10:G10 B14:G14 K14:L14 K10:L10">
    <cfRule type="cellIs" dxfId="81" priority="21" operator="lessThan">
      <formula>0</formula>
    </cfRule>
  </conditionalFormatting>
  <conditionalFormatting sqref="H16">
    <cfRule type="cellIs" dxfId="80" priority="10" operator="greaterThan">
      <formula>0</formula>
    </cfRule>
  </conditionalFormatting>
  <conditionalFormatting sqref="H14 H10">
    <cfRule type="cellIs" dxfId="79" priority="9" operator="lessThan">
      <formula>0</formula>
    </cfRule>
  </conditionalFormatting>
  <conditionalFormatting sqref="I16">
    <cfRule type="cellIs" dxfId="78" priority="8" operator="greaterThan">
      <formula>0</formula>
    </cfRule>
  </conditionalFormatting>
  <conditionalFormatting sqref="I14 I10">
    <cfRule type="cellIs" dxfId="77" priority="7" operator="lessThan">
      <formula>0</formula>
    </cfRule>
  </conditionalFormatting>
  <conditionalFormatting sqref="B9:I9 K9:L9">
    <cfRule type="cellIs" dxfId="76" priority="6" operator="lessThan">
      <formula>0</formula>
    </cfRule>
  </conditionalFormatting>
  <conditionalFormatting sqref="J16">
    <cfRule type="cellIs" dxfId="75" priority="3" operator="greaterThan">
      <formula>0</formula>
    </cfRule>
  </conditionalFormatting>
  <conditionalFormatting sqref="J14 J10">
    <cfRule type="cellIs" dxfId="74" priority="2" operator="lessThan">
      <formula>0</formula>
    </cfRule>
  </conditionalFormatting>
  <conditionalFormatting sqref="J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opLeftCell="B1" workbookViewId="0">
      <selection activeCell="J2" sqref="J2:J28"/>
    </sheetView>
  </sheetViews>
  <sheetFormatPr defaultRowHeight="14.4" x14ac:dyDescent="0.3"/>
  <cols>
    <col min="1" max="1" width="51.6640625" style="32" bestFit="1" customWidth="1"/>
    <col min="2" max="10" width="13.88671875" bestFit="1" customWidth="1"/>
    <col min="11" max="12" width="12.6640625" bestFit="1" customWidth="1"/>
  </cols>
  <sheetData>
    <row r="1" spans="1:10" x14ac:dyDescent="0.3">
      <c r="A1" s="73"/>
      <c r="B1" s="98">
        <v>2015</v>
      </c>
      <c r="C1" s="98">
        <v>2016</v>
      </c>
      <c r="D1" s="98">
        <v>2017</v>
      </c>
      <c r="E1" s="98">
        <v>2018</v>
      </c>
      <c r="F1" s="98">
        <v>2019</v>
      </c>
      <c r="G1" s="98">
        <v>2020</v>
      </c>
      <c r="H1" s="98">
        <v>2021</v>
      </c>
      <c r="I1" s="98">
        <v>2022</v>
      </c>
      <c r="J1" s="98">
        <v>2023</v>
      </c>
    </row>
    <row r="2" spans="1:10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3">
      <c r="A3" s="32" t="s">
        <v>213</v>
      </c>
      <c r="B3" s="1">
        <v>73385.31</v>
      </c>
      <c r="C3" s="1">
        <v>1062071.1000000001</v>
      </c>
      <c r="D3" s="1">
        <v>446083.05</v>
      </c>
      <c r="E3" s="1">
        <v>467753.74</v>
      </c>
      <c r="F3" s="1">
        <v>163813.44</v>
      </c>
      <c r="G3" s="1">
        <v>82859.62</v>
      </c>
      <c r="H3" s="1">
        <v>78182.03</v>
      </c>
      <c r="I3" s="1">
        <v>94153.68</v>
      </c>
      <c r="J3" s="1">
        <v>139775.65</v>
      </c>
    </row>
    <row r="4" spans="1:10" x14ac:dyDescent="0.3">
      <c r="A4" s="32" t="s">
        <v>214</v>
      </c>
      <c r="B4" s="1">
        <v>1815618333.8399999</v>
      </c>
      <c r="C4" s="1">
        <v>1743291314.9300001</v>
      </c>
      <c r="D4" s="1">
        <v>1812860668.24</v>
      </c>
      <c r="E4" s="1">
        <v>1930526500.77</v>
      </c>
      <c r="F4" s="1">
        <v>2012968578.97</v>
      </c>
      <c r="G4" s="1">
        <v>2032371429.45</v>
      </c>
      <c r="H4" s="1">
        <v>2081054435.6099999</v>
      </c>
      <c r="I4" s="1">
        <v>2110168424.48</v>
      </c>
      <c r="J4" s="1">
        <v>2135942744.1800001</v>
      </c>
    </row>
    <row r="5" spans="1:10" x14ac:dyDescent="0.3">
      <c r="A5" s="32" t="s">
        <v>228</v>
      </c>
      <c r="B5" s="1">
        <f>1818006+2071440.66+69720757.85</f>
        <v>73610204.50999999</v>
      </c>
      <c r="C5" s="1">
        <f>20840482.78+2377213.64+104724493.7</f>
        <v>127942190.12</v>
      </c>
      <c r="D5" s="1">
        <v>123371035.95999999</v>
      </c>
      <c r="E5" s="1">
        <v>118726350.53</v>
      </c>
      <c r="F5" s="1">
        <v>110076000.26000001</v>
      </c>
      <c r="G5" s="1">
        <v>111273378.73</v>
      </c>
      <c r="H5" s="1">
        <v>113052357.37</v>
      </c>
      <c r="I5" s="1">
        <v>117965222.94</v>
      </c>
      <c r="J5" s="1">
        <v>121200137.48999999</v>
      </c>
    </row>
    <row r="6" spans="1:10" x14ac:dyDescent="0.3">
      <c r="A6" s="32" t="s">
        <v>229</v>
      </c>
      <c r="B6" s="1">
        <v>0</v>
      </c>
      <c r="C6" s="1">
        <v>520831.57</v>
      </c>
      <c r="D6" s="1">
        <v>37009010.039999999</v>
      </c>
      <c r="E6" s="1">
        <v>35747594.409999996</v>
      </c>
      <c r="F6" s="1">
        <v>33551887.02</v>
      </c>
      <c r="G6" s="1">
        <v>42095250.590000004</v>
      </c>
      <c r="H6" s="1">
        <v>43999781.07</v>
      </c>
      <c r="I6" s="1">
        <v>51459.69</v>
      </c>
      <c r="J6" s="1">
        <v>62215.15</v>
      </c>
    </row>
    <row r="7" spans="1:10" x14ac:dyDescent="0.3">
      <c r="A7" s="32" t="s">
        <v>230</v>
      </c>
      <c r="B7" s="1">
        <v>30234747.77</v>
      </c>
      <c r="C7" s="1">
        <v>40967913.369999997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3">
      <c r="A8" s="32" t="s">
        <v>231</v>
      </c>
      <c r="B8" s="1">
        <v>1047319.72</v>
      </c>
      <c r="C8" s="1">
        <v>1012832.07</v>
      </c>
      <c r="D8" s="1">
        <v>1012399.56</v>
      </c>
      <c r="E8" s="1">
        <v>1035560.42</v>
      </c>
      <c r="F8" s="1">
        <v>914231.86</v>
      </c>
      <c r="G8" s="1">
        <v>942285.29</v>
      </c>
      <c r="H8" s="1">
        <v>951602.38</v>
      </c>
      <c r="I8" s="1">
        <v>951984.44</v>
      </c>
      <c r="J8" s="1">
        <v>948016.8</v>
      </c>
    </row>
    <row r="9" spans="1:10" x14ac:dyDescent="0.3">
      <c r="A9" s="32" t="s">
        <v>215</v>
      </c>
      <c r="B9" s="1">
        <v>142337957.41</v>
      </c>
      <c r="C9" s="1">
        <v>188785603.75</v>
      </c>
      <c r="D9" s="1">
        <v>190394150.46000001</v>
      </c>
      <c r="E9" s="1">
        <v>212717150.66999999</v>
      </c>
      <c r="F9" s="1">
        <v>147964038.03999999</v>
      </c>
      <c r="G9" s="1">
        <v>129683372.45</v>
      </c>
      <c r="H9" s="1">
        <v>126055340.73999999</v>
      </c>
      <c r="I9" s="1">
        <v>74271332.349999994</v>
      </c>
      <c r="J9" s="1">
        <v>95449304.450000003</v>
      </c>
    </row>
    <row r="10" spans="1:10" x14ac:dyDescent="0.3">
      <c r="A10" s="32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3">
      <c r="A11" s="32" t="s">
        <v>216</v>
      </c>
      <c r="B11" s="1">
        <v>165174011.11000001</v>
      </c>
      <c r="C11" s="1">
        <v>151487345.52000001</v>
      </c>
      <c r="D11" s="1">
        <v>142744343.75999999</v>
      </c>
      <c r="E11" s="1">
        <v>144731587.06999999</v>
      </c>
      <c r="F11" s="1">
        <v>166546480.69</v>
      </c>
      <c r="G11" s="1">
        <v>219468330.13</v>
      </c>
      <c r="H11" s="1">
        <v>249199582.06</v>
      </c>
      <c r="I11" s="1">
        <v>293090406.35000002</v>
      </c>
      <c r="J11" s="1">
        <v>283195290.16000003</v>
      </c>
    </row>
    <row r="12" spans="1:10" x14ac:dyDescent="0.3">
      <c r="A12" s="32" t="s">
        <v>217</v>
      </c>
      <c r="B12" s="1">
        <v>88858.34</v>
      </c>
      <c r="C12" s="1">
        <v>434784.48</v>
      </c>
      <c r="D12" s="1">
        <v>277949.62</v>
      </c>
      <c r="E12" s="1">
        <v>0</v>
      </c>
      <c r="F12" s="1">
        <v>0</v>
      </c>
      <c r="G12" s="1">
        <v>32316.63</v>
      </c>
      <c r="H12" s="1">
        <v>0</v>
      </c>
      <c r="I12" s="1">
        <v>102878.21</v>
      </c>
      <c r="J12" s="1">
        <v>102878.21</v>
      </c>
    </row>
    <row r="13" spans="1:10" x14ac:dyDescent="0.3">
      <c r="A13" s="10" t="s">
        <v>218</v>
      </c>
      <c r="B13" s="11">
        <f t="shared" ref="B13:J13" si="0">SUM(B2:B12)</f>
        <v>2228184818.0100002</v>
      </c>
      <c r="C13" s="11">
        <f t="shared" si="0"/>
        <v>2255504886.9099998</v>
      </c>
      <c r="D13" s="11">
        <f t="shared" si="0"/>
        <v>2308115640.6899996</v>
      </c>
      <c r="E13" s="11">
        <f t="shared" si="0"/>
        <v>2443952497.6100001</v>
      </c>
      <c r="F13" s="11">
        <f t="shared" si="0"/>
        <v>2472185030.2800002</v>
      </c>
      <c r="G13" s="11">
        <f t="shared" ref="G13" si="1">SUM(G2:G12)</f>
        <v>2535949222.8899999</v>
      </c>
      <c r="H13" s="11">
        <f t="shared" ref="H13" si="2">SUM(H2:H12)</f>
        <v>2614391281.2599998</v>
      </c>
      <c r="I13" s="11">
        <f t="shared" ref="I13" si="3">SUM(I2:I12)</f>
        <v>2596695862.1399999</v>
      </c>
      <c r="J13" s="11">
        <f t="shared" si="0"/>
        <v>2637040362.0900002</v>
      </c>
    </row>
    <row r="14" spans="1:10" x14ac:dyDescent="0.3">
      <c r="A14" s="32" t="s">
        <v>219</v>
      </c>
      <c r="B14" s="1">
        <v>978172160.25</v>
      </c>
      <c r="C14" s="1">
        <v>978172160.25</v>
      </c>
      <c r="D14" s="1">
        <v>813445037.74000001</v>
      </c>
      <c r="E14" s="1">
        <v>455026925.95999998</v>
      </c>
      <c r="F14" s="1">
        <v>410496886.80000001</v>
      </c>
      <c r="G14" s="1">
        <v>262023058.91999999</v>
      </c>
      <c r="H14" s="1">
        <v>349099848.31999999</v>
      </c>
      <c r="I14" s="1">
        <v>349099848.31999999</v>
      </c>
      <c r="J14" s="1">
        <v>349099848.31999999</v>
      </c>
    </row>
    <row r="15" spans="1:10" x14ac:dyDescent="0.3">
      <c r="A15" s="32" t="s">
        <v>220</v>
      </c>
      <c r="B15" s="1">
        <f>818635125.82+2618219.3</f>
        <v>821253345.12</v>
      </c>
      <c r="C15" s="1">
        <f>479220378.91+3401183.3</f>
        <v>482621562.21000004</v>
      </c>
      <c r="D15" s="1">
        <v>685935958.51999998</v>
      </c>
      <c r="E15" s="1">
        <v>1165728480.9300001</v>
      </c>
      <c r="F15" s="1">
        <v>1275351503.48</v>
      </c>
      <c r="G15" s="1">
        <v>1514222752.53</v>
      </c>
      <c r="H15" s="1">
        <v>1452108061.95</v>
      </c>
      <c r="I15" s="1">
        <v>1462333275.5</v>
      </c>
      <c r="J15" s="1">
        <v>1463675110.75</v>
      </c>
    </row>
    <row r="16" spans="1:10" x14ac:dyDescent="0.3">
      <c r="A16" s="32" t="s">
        <v>235</v>
      </c>
      <c r="B16" s="1">
        <v>2618219.2999999998</v>
      </c>
      <c r="C16" s="1">
        <v>3401183.3</v>
      </c>
      <c r="D16" s="1">
        <v>3401183.3</v>
      </c>
      <c r="E16" s="1">
        <v>5437258.6100000003</v>
      </c>
      <c r="F16" s="1">
        <v>5437258.6100000003</v>
      </c>
      <c r="G16" s="1">
        <v>5437258.6100000003</v>
      </c>
      <c r="H16" s="1">
        <v>5437258.6100000003</v>
      </c>
      <c r="I16" s="1">
        <v>7110292.1699999999</v>
      </c>
      <c r="J16" s="1">
        <v>8452127.4199999999</v>
      </c>
    </row>
    <row r="17" spans="1:12" x14ac:dyDescent="0.3">
      <c r="A17" s="32" t="s">
        <v>221</v>
      </c>
      <c r="B17" s="1">
        <v>0</v>
      </c>
      <c r="C17" s="1">
        <v>37520168.950000003</v>
      </c>
      <c r="D17" s="1">
        <v>118309235.31999999</v>
      </c>
      <c r="E17" s="1">
        <v>65846036.950000003</v>
      </c>
      <c r="F17" s="1">
        <v>111216931.06999999</v>
      </c>
      <c r="G17" s="1">
        <v>41950198.960000001</v>
      </c>
      <c r="H17" s="1">
        <v>73518936.659999996</v>
      </c>
      <c r="I17" s="1">
        <v>43806684.93</v>
      </c>
      <c r="J17" s="1">
        <v>42371630.039999999</v>
      </c>
    </row>
    <row r="18" spans="1:12" x14ac:dyDescent="0.3">
      <c r="A18" s="32" t="s">
        <v>362</v>
      </c>
      <c r="B18" s="1"/>
      <c r="C18" s="1"/>
      <c r="D18" s="1"/>
      <c r="E18" s="1"/>
      <c r="F18" s="1"/>
      <c r="G18" s="1">
        <v>22553588.370000001</v>
      </c>
      <c r="H18" s="1">
        <v>41950198.960000001</v>
      </c>
      <c r="I18" s="1">
        <v>99806691.849999994</v>
      </c>
      <c r="J18" s="1">
        <v>135584952.06</v>
      </c>
    </row>
    <row r="19" spans="1:12" x14ac:dyDescent="0.3">
      <c r="A19" s="32" t="s">
        <v>363</v>
      </c>
      <c r="B19" s="1"/>
      <c r="C19" s="1"/>
      <c r="D19" s="1"/>
      <c r="E19" s="1"/>
      <c r="F19" s="1"/>
      <c r="G19" s="1">
        <v>0</v>
      </c>
      <c r="H19" s="1">
        <v>0</v>
      </c>
      <c r="I19" s="1">
        <v>0</v>
      </c>
      <c r="J19" s="1">
        <v>0</v>
      </c>
    </row>
    <row r="20" spans="1:12" x14ac:dyDescent="0.3">
      <c r="A20" s="32" t="s">
        <v>222</v>
      </c>
      <c r="B20" s="1">
        <v>0</v>
      </c>
      <c r="C20" s="1">
        <v>62864125.259999998</v>
      </c>
      <c r="D20" s="1">
        <v>65384348.399999999</v>
      </c>
      <c r="E20" s="1">
        <v>76098849.510000005</v>
      </c>
      <c r="F20" s="1">
        <v>83256529.459999993</v>
      </c>
      <c r="G20" s="1">
        <v>94623732.359999999</v>
      </c>
      <c r="H20" s="1">
        <v>105389819.2</v>
      </c>
      <c r="I20" s="1">
        <v>31008184</v>
      </c>
      <c r="J20" s="1">
        <v>39015004</v>
      </c>
    </row>
    <row r="21" spans="1:12" x14ac:dyDescent="0.3">
      <c r="A21" s="32" t="s">
        <v>209</v>
      </c>
      <c r="B21" s="1">
        <f>32151027.48+812733.92+150661876.33</f>
        <v>183625637.73000002</v>
      </c>
      <c r="C21" s="1">
        <f>27927734.14+415407.3+141018181.42</f>
        <v>169361322.85999998</v>
      </c>
      <c r="D21" s="1">
        <v>147186752.38999999</v>
      </c>
      <c r="E21" s="1">
        <v>116588745.51000001</v>
      </c>
      <c r="F21" s="1">
        <v>107140327.61</v>
      </c>
      <c r="G21" s="1">
        <v>109054095.8</v>
      </c>
      <c r="H21" s="1">
        <v>104903227.15000001</v>
      </c>
      <c r="I21" s="1">
        <v>98927856.859999999</v>
      </c>
      <c r="J21" s="1">
        <v>87105376.079999998</v>
      </c>
    </row>
    <row r="22" spans="1:12" x14ac:dyDescent="0.3">
      <c r="A22" s="32" t="s">
        <v>223</v>
      </c>
      <c r="B22" s="1">
        <v>73686179.019999996</v>
      </c>
      <c r="C22" s="1">
        <v>51164788.619999997</v>
      </c>
      <c r="D22" s="1">
        <v>40356663.789999999</v>
      </c>
      <c r="E22" s="1">
        <v>39625058.659999996</v>
      </c>
      <c r="F22" s="1">
        <v>55472005.219999999</v>
      </c>
      <c r="G22" s="1">
        <v>46799549.359999999</v>
      </c>
      <c r="H22" s="1">
        <v>50591591.979999997</v>
      </c>
      <c r="I22" s="1">
        <v>84227754.109999999</v>
      </c>
      <c r="J22" s="1">
        <v>82715239.5</v>
      </c>
    </row>
    <row r="23" spans="1:12" x14ac:dyDescent="0.3">
      <c r="A23" s="32" t="s">
        <v>224</v>
      </c>
      <c r="B23" s="1">
        <v>0</v>
      </c>
      <c r="C23" s="1">
        <f>4534398.87+11578064.67</f>
        <v>16112463.539999999</v>
      </c>
      <c r="D23" s="1">
        <v>16625000.560000001</v>
      </c>
      <c r="E23" s="1">
        <v>12845628.43</v>
      </c>
      <c r="F23" s="1">
        <v>6679185.21</v>
      </c>
      <c r="G23" s="1">
        <v>9871304.3800000008</v>
      </c>
      <c r="H23" s="1">
        <v>14444778.91</v>
      </c>
      <c r="I23" s="1">
        <v>14456211.970000001</v>
      </c>
      <c r="J23" s="1">
        <v>18077835.52</v>
      </c>
    </row>
    <row r="24" spans="1:12" x14ac:dyDescent="0.3">
      <c r="A24" s="32" t="s">
        <v>225</v>
      </c>
      <c r="B24" s="1">
        <f>564285.96+22984110.25+366988.69</f>
        <v>23915384.900000002</v>
      </c>
      <c r="C24" s="1">
        <f>30274528.27+522855.66+94840788.45</f>
        <v>125638172.38</v>
      </c>
      <c r="D24" s="1">
        <v>95326692.540000007</v>
      </c>
      <c r="E24" s="1">
        <v>125099100.41</v>
      </c>
      <c r="F24" s="1">
        <v>54852367.810000002</v>
      </c>
      <c r="G24" s="1">
        <v>62097908.329999998</v>
      </c>
      <c r="H24" s="1">
        <v>67257546.359999999</v>
      </c>
      <c r="I24" s="1">
        <v>42878405.439999998</v>
      </c>
      <c r="J24" s="1">
        <v>42354017.810000002</v>
      </c>
      <c r="K24" s="1"/>
      <c r="L24" s="1"/>
    </row>
    <row r="25" spans="1:12" x14ac:dyDescent="0.3">
      <c r="A25" s="32" t="s">
        <v>226</v>
      </c>
      <c r="B25" s="1">
        <v>147532110.99000001</v>
      </c>
      <c r="C25" s="1">
        <v>332050122.83999997</v>
      </c>
      <c r="D25" s="1">
        <v>325545951.43000001</v>
      </c>
      <c r="E25" s="1">
        <v>387093671.25</v>
      </c>
      <c r="F25" s="1">
        <v>367719293.62</v>
      </c>
      <c r="G25" s="1">
        <v>372753033.88</v>
      </c>
      <c r="H25" s="1">
        <v>355127271.76999998</v>
      </c>
      <c r="I25" s="1">
        <v>370150949.16000003</v>
      </c>
      <c r="J25" s="1">
        <v>377041348.00999999</v>
      </c>
    </row>
    <row r="26" spans="1:12" x14ac:dyDescent="0.3">
      <c r="A26" s="72" t="s">
        <v>227</v>
      </c>
      <c r="B26" s="3">
        <f t="shared" ref="B26:J26" si="4">SUM(B14:B25)-B16</f>
        <v>2228184818.0099998</v>
      </c>
      <c r="C26" s="3">
        <f t="shared" si="4"/>
        <v>2255504886.9099998</v>
      </c>
      <c r="D26" s="3">
        <f t="shared" si="4"/>
        <v>2308115640.6899996</v>
      </c>
      <c r="E26" s="3">
        <f t="shared" si="4"/>
        <v>2443952497.6100001</v>
      </c>
      <c r="F26" s="3">
        <f t="shared" si="4"/>
        <v>2472185030.2799997</v>
      </c>
      <c r="G26" s="3">
        <f t="shared" ref="G26" si="5">SUM(G14:G25)-G16</f>
        <v>2535949222.8899999</v>
      </c>
      <c r="H26" s="3">
        <f t="shared" ref="H26" si="6">SUM(H14:H25)-H16</f>
        <v>2614391281.2599998</v>
      </c>
      <c r="I26" s="3">
        <f t="shared" ref="I26" si="7">SUM(I14:I25)-I16</f>
        <v>2596695862.1399994</v>
      </c>
      <c r="J26" s="3">
        <f t="shared" si="4"/>
        <v>2637040362.0900002</v>
      </c>
    </row>
    <row r="27" spans="1:12" x14ac:dyDescent="0.3">
      <c r="A27" s="10" t="s">
        <v>267</v>
      </c>
      <c r="B27" s="11">
        <f t="shared" ref="B27:G27" si="8">B14+B15+B17+B18+B19</f>
        <v>1799425505.3699999</v>
      </c>
      <c r="C27" s="11">
        <f t="shared" si="8"/>
        <v>1498313891.4100001</v>
      </c>
      <c r="D27" s="11">
        <f t="shared" si="8"/>
        <v>1617690231.5799999</v>
      </c>
      <c r="E27" s="11">
        <f t="shared" si="8"/>
        <v>1686601443.8400002</v>
      </c>
      <c r="F27" s="11">
        <f t="shared" si="8"/>
        <v>1797065321.3499999</v>
      </c>
      <c r="G27" s="11">
        <f t="shared" si="8"/>
        <v>1840749598.78</v>
      </c>
      <c r="H27" s="11">
        <f>H14+H15+H17+H18+H19</f>
        <v>1916677045.8900001</v>
      </c>
      <c r="I27" s="11">
        <f>I14+I15+I17+I18+I19</f>
        <v>1955046500.5999999</v>
      </c>
      <c r="J27" s="11">
        <f>J14+J15+J17+J18+J19</f>
        <v>1990731541.1699998</v>
      </c>
    </row>
    <row r="28" spans="1:12" x14ac:dyDescent="0.3">
      <c r="B28" s="6">
        <f>B27/B26*100</f>
        <v>80.757461895691108</v>
      </c>
      <c r="C28" s="6">
        <f t="shared" ref="C28:J28" si="9">C27/C26*100</f>
        <v>66.429201732418434</v>
      </c>
      <c r="D28" s="6">
        <f t="shared" si="9"/>
        <v>70.087052964833234</v>
      </c>
      <c r="E28" s="6">
        <f t="shared" si="9"/>
        <v>69.011220369027967</v>
      </c>
      <c r="F28" s="6">
        <f t="shared" si="9"/>
        <v>72.691376225446362</v>
      </c>
      <c r="G28" s="6">
        <f t="shared" si="9"/>
        <v>72.586216717788147</v>
      </c>
      <c r="H28" s="6">
        <f t="shared" ref="H28:I28" si="10">H27/H26*100</f>
        <v>73.312554996215482</v>
      </c>
      <c r="I28" s="6">
        <f t="shared" si="10"/>
        <v>75.289776099877912</v>
      </c>
      <c r="J28" s="6">
        <f t="shared" si="9"/>
        <v>75.491128986445815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7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38" t="s">
        <v>210</v>
      </c>
      <c r="B1" s="138"/>
      <c r="C1" s="2" t="s">
        <v>211</v>
      </c>
      <c r="D1" s="2">
        <v>2016</v>
      </c>
      <c r="E1" s="2">
        <v>2017</v>
      </c>
      <c r="F1" s="2">
        <v>2018</v>
      </c>
      <c r="G1" s="111">
        <v>2019</v>
      </c>
      <c r="H1" s="121">
        <v>2020</v>
      </c>
      <c r="I1" s="125">
        <v>2021</v>
      </c>
      <c r="J1" s="131">
        <v>2022</v>
      </c>
      <c r="K1" s="107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35.228549999999998</v>
      </c>
      <c r="E3" s="7">
        <v>36.290500000000002</v>
      </c>
      <c r="F3" s="7">
        <v>40.58</v>
      </c>
      <c r="G3" s="7">
        <v>34.020000000000003</v>
      </c>
      <c r="H3" s="7">
        <v>32.54</v>
      </c>
      <c r="I3" s="7">
        <v>33.31</v>
      </c>
      <c r="J3" s="7">
        <v>32.159999999999997</v>
      </c>
      <c r="K3" s="7">
        <v>32.81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96.616140000000001</v>
      </c>
      <c r="E5" s="7">
        <v>97.843609999999998</v>
      </c>
      <c r="F5" s="7">
        <v>95.33</v>
      </c>
      <c r="G5" s="7">
        <v>97.25</v>
      </c>
      <c r="H5" s="7">
        <v>99.85</v>
      </c>
      <c r="I5" s="7">
        <v>101.67</v>
      </c>
      <c r="J5" s="7">
        <v>104.17</v>
      </c>
      <c r="K5" s="7">
        <v>107.62</v>
      </c>
    </row>
    <row r="6" spans="1:11" x14ac:dyDescent="0.3">
      <c r="A6" t="s">
        <v>83</v>
      </c>
      <c r="B6" t="s">
        <v>84</v>
      </c>
      <c r="D6" s="7">
        <v>98.02552</v>
      </c>
      <c r="E6" s="7">
        <v>97.258269999999996</v>
      </c>
      <c r="F6" s="7">
        <v>97.01</v>
      </c>
      <c r="G6" s="7">
        <v>95.57</v>
      </c>
      <c r="H6" s="7">
        <v>96.93</v>
      </c>
      <c r="I6" s="7">
        <v>97.12</v>
      </c>
      <c r="J6" s="7">
        <v>101.97</v>
      </c>
      <c r="K6" s="7">
        <v>100.43</v>
      </c>
    </row>
    <row r="7" spans="1:11" x14ac:dyDescent="0.3">
      <c r="A7" t="s">
        <v>85</v>
      </c>
      <c r="B7" t="s">
        <v>86</v>
      </c>
      <c r="D7" s="7">
        <v>47.071460000000002</v>
      </c>
      <c r="E7" s="7">
        <v>49.529269999999997</v>
      </c>
      <c r="F7" s="7">
        <v>48.49</v>
      </c>
      <c r="G7" s="7">
        <v>48.1</v>
      </c>
      <c r="H7" s="7">
        <v>45.4</v>
      </c>
      <c r="I7" s="7">
        <v>49.45</v>
      </c>
      <c r="J7" s="7">
        <v>53.29</v>
      </c>
      <c r="K7" s="7">
        <v>58.09</v>
      </c>
    </row>
    <row r="8" spans="1:11" x14ac:dyDescent="0.3">
      <c r="A8" t="s">
        <v>87</v>
      </c>
      <c r="B8" t="s">
        <v>88</v>
      </c>
      <c r="D8" s="7">
        <v>47.758119999999998</v>
      </c>
      <c r="E8" s="7">
        <v>49.232959999999999</v>
      </c>
      <c r="F8" s="7">
        <v>49.34</v>
      </c>
      <c r="G8" s="7">
        <v>47.26</v>
      </c>
      <c r="H8" s="7">
        <v>44.08</v>
      </c>
      <c r="I8" s="7">
        <v>47.24</v>
      </c>
      <c r="J8" s="7">
        <v>52.17</v>
      </c>
      <c r="K8" s="7">
        <v>54.21</v>
      </c>
    </row>
    <row r="9" spans="1:11" x14ac:dyDescent="0.3">
      <c r="A9" t="s">
        <v>89</v>
      </c>
      <c r="B9" t="s">
        <v>90</v>
      </c>
      <c r="D9" s="7">
        <v>82.676779999999994</v>
      </c>
      <c r="E9" s="7">
        <v>97.776300000000006</v>
      </c>
      <c r="F9" s="7">
        <v>72.47</v>
      </c>
      <c r="G9" s="7">
        <v>91.94</v>
      </c>
      <c r="H9" s="7">
        <v>92.89</v>
      </c>
      <c r="I9" s="7">
        <v>92.71</v>
      </c>
      <c r="J9" s="7">
        <v>93.28</v>
      </c>
      <c r="K9" s="7">
        <v>86.25</v>
      </c>
    </row>
    <row r="10" spans="1:11" x14ac:dyDescent="0.3">
      <c r="A10" t="s">
        <v>91</v>
      </c>
      <c r="B10" t="s">
        <v>92</v>
      </c>
      <c r="D10" s="7">
        <v>80.044259999999994</v>
      </c>
      <c r="E10" s="7">
        <v>91.721279999999993</v>
      </c>
      <c r="F10" s="7">
        <v>84.56</v>
      </c>
      <c r="G10" s="7">
        <v>95.66</v>
      </c>
      <c r="H10" s="7">
        <v>103</v>
      </c>
      <c r="I10" s="7">
        <v>91.32</v>
      </c>
      <c r="J10" s="7">
        <v>91.49</v>
      </c>
      <c r="K10" s="7">
        <v>82.05</v>
      </c>
    </row>
    <row r="11" spans="1:11" x14ac:dyDescent="0.3">
      <c r="A11" t="s">
        <v>93</v>
      </c>
      <c r="B11" t="s">
        <v>94</v>
      </c>
      <c r="D11" s="7">
        <v>44.887729999999998</v>
      </c>
      <c r="E11" s="7">
        <v>44.444099999999999</v>
      </c>
      <c r="F11" s="7">
        <v>38.04</v>
      </c>
      <c r="G11" s="7">
        <v>37.479999999999997</v>
      </c>
      <c r="H11" s="7">
        <v>72.290000000000006</v>
      </c>
      <c r="I11" s="7">
        <v>45.64</v>
      </c>
      <c r="J11" s="7">
        <v>47.31</v>
      </c>
      <c r="K11" s="7">
        <v>47.8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43.458460000000002</v>
      </c>
      <c r="E12" s="7">
        <v>41.691800000000001</v>
      </c>
      <c r="F12" s="7">
        <v>44.38</v>
      </c>
      <c r="G12" s="7">
        <v>39</v>
      </c>
      <c r="H12" s="7">
        <v>46.89</v>
      </c>
      <c r="I12" s="7">
        <v>44.95</v>
      </c>
      <c r="J12" s="7">
        <v>46.41</v>
      </c>
      <c r="K12" s="7">
        <v>45.47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30.66384</v>
      </c>
      <c r="E17" s="7">
        <v>31.145050000000001</v>
      </c>
      <c r="F17" s="7">
        <v>33.57</v>
      </c>
      <c r="G17" s="7">
        <v>32.24</v>
      </c>
      <c r="H17" s="7">
        <v>34.85</v>
      </c>
      <c r="I17" s="7">
        <v>34.74</v>
      </c>
      <c r="J17" s="7">
        <v>33.49</v>
      </c>
      <c r="K17" s="7">
        <v>32.39</v>
      </c>
    </row>
    <row r="18" spans="1:11" x14ac:dyDescent="0.3">
      <c r="A18" t="s">
        <v>105</v>
      </c>
      <c r="B18" t="s">
        <v>106</v>
      </c>
      <c r="D18" s="7">
        <v>7.6822100000000004</v>
      </c>
      <c r="E18" s="7">
        <v>3.8946299999999998</v>
      </c>
      <c r="F18" s="7">
        <v>10.24</v>
      </c>
      <c r="G18" s="7">
        <v>4.8899999999999997</v>
      </c>
      <c r="H18" s="7">
        <v>8.1300000000000008</v>
      </c>
      <c r="I18" s="7">
        <v>6.5</v>
      </c>
      <c r="J18" s="7">
        <v>6.73</v>
      </c>
      <c r="K18" s="7">
        <v>2.89</v>
      </c>
    </row>
    <row r="19" spans="1:11" x14ac:dyDescent="0.3">
      <c r="A19" t="s">
        <v>107</v>
      </c>
      <c r="B19" t="s">
        <v>108</v>
      </c>
      <c r="D19" s="7">
        <v>1.1891499999999999</v>
      </c>
      <c r="E19" s="7">
        <v>1.12446</v>
      </c>
      <c r="F19" s="7">
        <v>1.1200000000000001</v>
      </c>
      <c r="G19" s="7">
        <v>1.48</v>
      </c>
      <c r="H19" s="7">
        <v>1.02</v>
      </c>
      <c r="I19" s="7">
        <v>1.08</v>
      </c>
      <c r="J19" s="7">
        <v>1.36</v>
      </c>
      <c r="K19" s="7">
        <v>2</v>
      </c>
    </row>
    <row r="20" spans="1:11" x14ac:dyDescent="0.3">
      <c r="A20" t="s">
        <v>109</v>
      </c>
      <c r="B20" t="s">
        <v>110</v>
      </c>
      <c r="D20" s="7">
        <v>511.51728000000003</v>
      </c>
      <c r="E20" s="7">
        <v>494.81</v>
      </c>
      <c r="F20" s="7">
        <v>524.03599999999994</v>
      </c>
      <c r="G20" s="7">
        <v>506.75</v>
      </c>
      <c r="H20" s="7">
        <v>505.327</v>
      </c>
      <c r="I20" s="7">
        <v>522.91700000000003</v>
      </c>
      <c r="J20" s="7">
        <v>534.28</v>
      </c>
      <c r="K20" s="7">
        <v>548.09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20.06859</v>
      </c>
      <c r="E22" s="7">
        <v>20.119599999999998</v>
      </c>
      <c r="F22" s="7">
        <v>22.59</v>
      </c>
      <c r="G22" s="7">
        <v>26.44</v>
      </c>
      <c r="H22" s="7">
        <v>28.26</v>
      </c>
      <c r="I22" s="7">
        <v>29.26</v>
      </c>
      <c r="J22" s="7">
        <v>28.99</v>
      </c>
      <c r="K22" s="7">
        <v>29.46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1.6512</v>
      </c>
      <c r="E24" s="7">
        <v>1.5478799999999999</v>
      </c>
      <c r="F24" s="7">
        <v>1.39</v>
      </c>
      <c r="G24" s="7">
        <v>1.28</v>
      </c>
      <c r="H24" s="7">
        <v>1.24</v>
      </c>
      <c r="I24" s="7">
        <v>1.1399999999999999</v>
      </c>
      <c r="J24" s="7">
        <v>1.04</v>
      </c>
      <c r="K24" s="7">
        <v>0.96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3.5E-4</v>
      </c>
      <c r="E26" s="7">
        <v>0.16103000000000001</v>
      </c>
      <c r="F26" s="7">
        <v>0</v>
      </c>
      <c r="G26" s="7">
        <v>0</v>
      </c>
      <c r="H26" s="7">
        <v>0.24</v>
      </c>
      <c r="I26" s="7">
        <v>0.04</v>
      </c>
      <c r="J26" s="7">
        <v>0.04</v>
      </c>
      <c r="K26" s="7">
        <v>4.0000000000000001E-3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7.49458</v>
      </c>
      <c r="E28" s="7">
        <v>7.3579699999999999</v>
      </c>
      <c r="F28" s="7">
        <v>23.55</v>
      </c>
      <c r="G28" s="7">
        <v>10.97</v>
      </c>
      <c r="H28" s="7">
        <v>13.82</v>
      </c>
      <c r="I28" s="7">
        <v>9.52</v>
      </c>
      <c r="J28" s="7">
        <v>14.15</v>
      </c>
      <c r="K28" s="7">
        <v>16.329999999999998</v>
      </c>
    </row>
    <row r="29" spans="1:11" x14ac:dyDescent="0.3">
      <c r="A29" t="s">
        <v>124</v>
      </c>
      <c r="B29" t="s">
        <v>125</v>
      </c>
      <c r="D29" s="7">
        <v>134.16596000000001</v>
      </c>
      <c r="E29" s="7">
        <v>125.92</v>
      </c>
      <c r="F29" s="7">
        <v>485.10199999999998</v>
      </c>
      <c r="G29" s="7">
        <v>198.3</v>
      </c>
      <c r="H29" s="7">
        <v>238.68700000000001</v>
      </c>
      <c r="I29" s="7">
        <v>158.083</v>
      </c>
      <c r="J29" s="7">
        <v>259.37</v>
      </c>
      <c r="K29" s="7">
        <v>257.82</v>
      </c>
    </row>
    <row r="30" spans="1:11" x14ac:dyDescent="0.3">
      <c r="A30" t="s">
        <v>126</v>
      </c>
      <c r="B30" t="s">
        <v>127</v>
      </c>
      <c r="D30" s="7">
        <v>1.7265999999999999</v>
      </c>
      <c r="E30" s="7">
        <v>3.2</v>
      </c>
      <c r="F30" s="7">
        <v>0.97699999999999998</v>
      </c>
      <c r="G30" s="7">
        <v>1.046</v>
      </c>
      <c r="H30" s="7">
        <v>0</v>
      </c>
      <c r="I30" s="7">
        <v>7.1429999999999998</v>
      </c>
      <c r="J30" s="7">
        <v>14.67</v>
      </c>
      <c r="K30" s="7">
        <v>88.84</v>
      </c>
    </row>
    <row r="31" spans="1:11" x14ac:dyDescent="0.3">
      <c r="A31" t="s">
        <v>128</v>
      </c>
      <c r="B31" t="s">
        <v>129</v>
      </c>
      <c r="D31" s="7">
        <v>135.89256</v>
      </c>
      <c r="E31" s="7">
        <v>129.12</v>
      </c>
      <c r="F31" s="7">
        <v>486.07799999999997</v>
      </c>
      <c r="G31" s="7">
        <v>199.346</v>
      </c>
      <c r="H31" s="7">
        <v>238.68700000000001</v>
      </c>
      <c r="I31" s="7">
        <v>165.226</v>
      </c>
      <c r="J31" s="7">
        <v>274.04000000000002</v>
      </c>
      <c r="K31" s="7">
        <v>346.66</v>
      </c>
    </row>
    <row r="32" spans="1:11" x14ac:dyDescent="0.3">
      <c r="A32" t="s">
        <v>130</v>
      </c>
      <c r="B32" t="s">
        <v>131</v>
      </c>
      <c r="D32" s="7">
        <v>26.497109999999999</v>
      </c>
      <c r="E32" s="7">
        <v>30.923590000000001</v>
      </c>
      <c r="F32" s="7">
        <v>25.27</v>
      </c>
      <c r="G32" s="7">
        <v>56.91</v>
      </c>
      <c r="H32" s="7">
        <v>78.61</v>
      </c>
      <c r="I32" s="7">
        <v>79.569999999999993</v>
      </c>
      <c r="J32" s="7">
        <v>50.29</v>
      </c>
      <c r="K32" s="7">
        <v>39.36</v>
      </c>
    </row>
    <row r="33" spans="1:11" x14ac:dyDescent="0.3">
      <c r="A33" t="s">
        <v>132</v>
      </c>
      <c r="B33" t="s">
        <v>133</v>
      </c>
      <c r="D33" s="7">
        <v>0</v>
      </c>
      <c r="E33" s="7">
        <v>20.4453</v>
      </c>
      <c r="F33" s="7">
        <v>9.57</v>
      </c>
      <c r="G33" s="7">
        <v>31.67</v>
      </c>
      <c r="H33" s="7">
        <v>1.0900000000000001</v>
      </c>
      <c r="I33" s="7">
        <v>-3.36</v>
      </c>
      <c r="J33" s="7">
        <v>8.1199999999999992</v>
      </c>
      <c r="K33" s="7">
        <v>1.98</v>
      </c>
    </row>
    <row r="34" spans="1:11" x14ac:dyDescent="0.3">
      <c r="A34" t="s">
        <v>134</v>
      </c>
      <c r="B34" t="s">
        <v>135</v>
      </c>
      <c r="D34" s="7">
        <v>1.3031699999999999</v>
      </c>
      <c r="E34" s="7">
        <v>3.1706599999999998</v>
      </c>
      <c r="F34" s="7">
        <v>0.45</v>
      </c>
      <c r="G34" s="7">
        <v>3.45</v>
      </c>
      <c r="H34" s="7">
        <v>11.72</v>
      </c>
      <c r="I34" s="7">
        <v>0</v>
      </c>
      <c r="J34" s="7">
        <v>0</v>
      </c>
      <c r="K34" s="7">
        <v>0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57.200530000000001</v>
      </c>
      <c r="E36" s="7">
        <v>47.557070000000003</v>
      </c>
      <c r="F36" s="7">
        <v>56.48</v>
      </c>
      <c r="G36" s="7">
        <v>71.349999999999994</v>
      </c>
      <c r="H36" s="7">
        <v>76.2</v>
      </c>
      <c r="I36" s="7">
        <v>69.16</v>
      </c>
      <c r="J36" s="7">
        <v>68.77</v>
      </c>
      <c r="K36" s="7">
        <v>68.290000000000006</v>
      </c>
    </row>
    <row r="37" spans="1:11" x14ac:dyDescent="0.3">
      <c r="A37" t="s">
        <v>139</v>
      </c>
      <c r="B37" t="s">
        <v>140</v>
      </c>
      <c r="D37" s="7">
        <v>80.400049999999993</v>
      </c>
      <c r="E37" s="7">
        <v>68.794150000000002</v>
      </c>
      <c r="F37" s="7">
        <v>69.09</v>
      </c>
      <c r="G37" s="7">
        <v>71.86</v>
      </c>
      <c r="H37" s="7">
        <v>66.180000000000007</v>
      </c>
      <c r="I37" s="7">
        <v>39.72</v>
      </c>
      <c r="J37" s="7">
        <v>48.83</v>
      </c>
      <c r="K37" s="7">
        <v>59.5</v>
      </c>
    </row>
    <row r="38" spans="1:11" x14ac:dyDescent="0.3">
      <c r="A38" t="s">
        <v>141</v>
      </c>
      <c r="B38" t="s">
        <v>142</v>
      </c>
      <c r="D38" s="7">
        <v>100</v>
      </c>
      <c r="E38" s="7">
        <v>100</v>
      </c>
      <c r="F38" s="7">
        <v>0</v>
      </c>
      <c r="G38" s="7">
        <v>100</v>
      </c>
      <c r="H38" s="7">
        <v>1.27</v>
      </c>
      <c r="I38" s="7">
        <v>99.15</v>
      </c>
      <c r="J38" s="7">
        <v>0</v>
      </c>
      <c r="K38" s="7">
        <v>93.76</v>
      </c>
    </row>
    <row r="39" spans="1:11" x14ac:dyDescent="0.3">
      <c r="A39" t="s">
        <v>143</v>
      </c>
      <c r="B39" t="s">
        <v>144</v>
      </c>
      <c r="D39" s="7">
        <v>56.408659999999998</v>
      </c>
      <c r="E39" s="7">
        <v>50.839190000000002</v>
      </c>
      <c r="F39" s="7">
        <v>50.91</v>
      </c>
      <c r="G39" s="7">
        <v>55.18</v>
      </c>
      <c r="H39" s="7">
        <v>53.14</v>
      </c>
      <c r="I39" s="7">
        <v>57.64</v>
      </c>
      <c r="J39" s="7">
        <v>63.4</v>
      </c>
      <c r="K39" s="7">
        <v>67.08</v>
      </c>
    </row>
    <row r="40" spans="1:11" x14ac:dyDescent="0.3">
      <c r="A40" t="s">
        <v>145</v>
      </c>
      <c r="B40" t="s">
        <v>146</v>
      </c>
      <c r="D40" s="7">
        <v>75.927170000000004</v>
      </c>
      <c r="E40" s="7">
        <v>38.664549999999998</v>
      </c>
      <c r="F40" s="7">
        <v>56.61</v>
      </c>
      <c r="G40" s="7">
        <v>58.79</v>
      </c>
      <c r="H40" s="7">
        <v>66.17</v>
      </c>
      <c r="I40" s="7">
        <v>28.372</v>
      </c>
      <c r="J40" s="7">
        <v>41.2</v>
      </c>
      <c r="K40" s="7">
        <v>48.72</v>
      </c>
    </row>
    <row r="41" spans="1:11" x14ac:dyDescent="0.3">
      <c r="A41" t="s">
        <v>147</v>
      </c>
      <c r="B41" t="s">
        <v>148</v>
      </c>
      <c r="D41" s="7">
        <v>99.763300000000001</v>
      </c>
      <c r="E41" s="7">
        <v>0.16467000000000001</v>
      </c>
      <c r="F41" s="7">
        <v>100</v>
      </c>
      <c r="G41" s="7">
        <v>3.0336947957074907</v>
      </c>
      <c r="H41" s="7">
        <v>42.489359724789765</v>
      </c>
      <c r="I41" s="7">
        <v>0.14000000000000001</v>
      </c>
      <c r="J41" s="7">
        <v>0.68</v>
      </c>
      <c r="K41" s="7">
        <v>46.54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73.335639999999998</v>
      </c>
      <c r="E43" s="7">
        <v>71.641260000000003</v>
      </c>
      <c r="F43" s="7">
        <v>81.86</v>
      </c>
      <c r="G43" s="7">
        <v>68.849999999999994</v>
      </c>
      <c r="H43" s="7">
        <v>70.59</v>
      </c>
      <c r="I43" s="7">
        <v>75.38</v>
      </c>
      <c r="J43" s="7">
        <v>74.849999999999994</v>
      </c>
      <c r="K43" s="7">
        <v>76.67</v>
      </c>
    </row>
    <row r="44" spans="1:11" x14ac:dyDescent="0.3">
      <c r="A44" t="s">
        <v>152</v>
      </c>
      <c r="B44" t="s">
        <v>153</v>
      </c>
      <c r="D44" s="7">
        <v>58.451149999999998</v>
      </c>
      <c r="E44" s="7">
        <v>59.536290000000001</v>
      </c>
      <c r="F44" s="7">
        <v>59.75</v>
      </c>
      <c r="G44" s="7">
        <v>56.09</v>
      </c>
      <c r="H44" s="7">
        <v>55.2</v>
      </c>
      <c r="I44" s="7">
        <v>46.11</v>
      </c>
      <c r="J44" s="7">
        <v>51.75</v>
      </c>
      <c r="K44" s="7">
        <v>51.29</v>
      </c>
    </row>
    <row r="45" spans="1:11" x14ac:dyDescent="0.3">
      <c r="A45" t="s">
        <v>154</v>
      </c>
      <c r="B45" t="s">
        <v>155</v>
      </c>
      <c r="D45" s="7">
        <v>75.876900000000006</v>
      </c>
      <c r="E45" s="7">
        <v>67.003230000000002</v>
      </c>
      <c r="F45" s="7">
        <v>77.400000000000006</v>
      </c>
      <c r="G45" s="7">
        <v>88.05</v>
      </c>
      <c r="H45" s="7">
        <v>83.28</v>
      </c>
      <c r="I45" s="7">
        <v>65.849999999999994</v>
      </c>
      <c r="J45" s="7">
        <v>61.6</v>
      </c>
      <c r="K45" s="7">
        <v>64.91</v>
      </c>
    </row>
    <row r="46" spans="1:11" x14ac:dyDescent="0.3">
      <c r="A46" t="s">
        <v>156</v>
      </c>
      <c r="B46" t="s">
        <v>157</v>
      </c>
      <c r="D46" s="7">
        <v>10.368880000000001</v>
      </c>
      <c r="E46" s="7">
        <v>22.313379999999999</v>
      </c>
      <c r="F46" s="7">
        <v>25.2</v>
      </c>
      <c r="G46" s="7">
        <v>81.150000000000006</v>
      </c>
      <c r="H46" s="7">
        <v>43.9</v>
      </c>
      <c r="I46" s="7">
        <v>63.75</v>
      </c>
      <c r="J46" s="7">
        <v>78.11</v>
      </c>
      <c r="K46" s="7">
        <v>87.2</v>
      </c>
    </row>
    <row r="47" spans="1:11" x14ac:dyDescent="0.3">
      <c r="A47" t="s">
        <v>158</v>
      </c>
      <c r="B47" t="s">
        <v>159</v>
      </c>
      <c r="D47" s="7">
        <v>-8.65</v>
      </c>
      <c r="E47" s="7">
        <v>2.79</v>
      </c>
      <c r="F47" s="7">
        <v>-5.51</v>
      </c>
      <c r="G47" s="7">
        <v>-6.47</v>
      </c>
      <c r="H47" s="7">
        <v>-12.11</v>
      </c>
      <c r="I47" s="7">
        <v>-13.55</v>
      </c>
      <c r="J47" s="7">
        <v>-11.99</v>
      </c>
      <c r="K47" s="7">
        <v>-14.09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3.5460500000000001</v>
      </c>
      <c r="F49" s="7">
        <v>0.109</v>
      </c>
      <c r="G49" s="7">
        <v>0.75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0</v>
      </c>
      <c r="E50" s="7">
        <v>12.724220000000001</v>
      </c>
      <c r="F50" s="7">
        <v>8.5999999999999993E-2</v>
      </c>
      <c r="G50" s="7">
        <v>9.65</v>
      </c>
      <c r="H50" s="7">
        <v>3.66</v>
      </c>
      <c r="I50" s="7">
        <v>4.46</v>
      </c>
      <c r="J50" s="7">
        <v>4.46</v>
      </c>
      <c r="K50" s="7">
        <v>11.95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5.7054200000000002</v>
      </c>
      <c r="E51" s="7">
        <v>6.0863300000000002</v>
      </c>
      <c r="F51" s="7">
        <v>8.01</v>
      </c>
      <c r="G51" s="7">
        <v>3.02</v>
      </c>
      <c r="H51" s="7">
        <v>1.06</v>
      </c>
      <c r="I51" s="7">
        <v>1.26</v>
      </c>
      <c r="J51" s="7">
        <v>1.1399999999999999</v>
      </c>
      <c r="K51" s="7">
        <v>3.32</v>
      </c>
    </row>
    <row r="52" spans="1:11" x14ac:dyDescent="0.3">
      <c r="A52" t="s">
        <v>167</v>
      </c>
      <c r="B52" t="s">
        <v>168</v>
      </c>
      <c r="D52" s="7">
        <v>699.22199999999998</v>
      </c>
      <c r="E52" s="7">
        <v>722.33</v>
      </c>
      <c r="F52" s="7">
        <v>572.07399999999996</v>
      </c>
      <c r="G52" s="7">
        <v>525.71299999999997</v>
      </c>
      <c r="H52" s="7">
        <v>437.88</v>
      </c>
      <c r="I52" s="7">
        <v>521.01599999999996</v>
      </c>
      <c r="J52" s="7">
        <v>501.2</v>
      </c>
      <c r="K52" s="7">
        <v>434.22</v>
      </c>
    </row>
    <row r="53" spans="1:11" x14ac:dyDescent="0.3">
      <c r="A53" t="s">
        <v>169</v>
      </c>
      <c r="D53" s="7">
        <v>4.5442763838719973</v>
      </c>
      <c r="E53" s="7">
        <v>9.9417157487687433</v>
      </c>
      <c r="F53" s="7">
        <v>3.9489700727084216</v>
      </c>
      <c r="G53" s="7">
        <v>9.5691350804474631</v>
      </c>
      <c r="H53" s="7">
        <v>8.1577796490306778</v>
      </c>
      <c r="I53" s="7">
        <v>19.190146330026408</v>
      </c>
      <c r="J53" s="7">
        <v>6.1479209105347641</v>
      </c>
      <c r="K53" s="7">
        <v>16.944361828525473</v>
      </c>
    </row>
    <row r="54" spans="1:11" x14ac:dyDescent="0.3">
      <c r="A54" t="s">
        <v>170</v>
      </c>
      <c r="B54" t="s">
        <v>171</v>
      </c>
      <c r="D54" s="7">
        <v>3.78539351556195</v>
      </c>
      <c r="E54" s="7">
        <v>3.3411013277023227</v>
      </c>
      <c r="F54" s="7">
        <v>2.7099439713669691</v>
      </c>
      <c r="G54" s="7">
        <v>8.547557188219713</v>
      </c>
      <c r="H54" s="7">
        <v>6.9014809722125632</v>
      </c>
      <c r="I54" s="7">
        <v>6.4633820431689637</v>
      </c>
      <c r="J54" s="7">
        <v>4.918494633982669</v>
      </c>
      <c r="K54" s="7">
        <v>4.4916258686461781</v>
      </c>
    </row>
    <row r="55" spans="1:11" x14ac:dyDescent="0.3">
      <c r="A55" t="s">
        <v>172</v>
      </c>
      <c r="B55" t="s">
        <v>173</v>
      </c>
      <c r="D55" s="7">
        <v>0.75888286831004748</v>
      </c>
      <c r="E55" s="7">
        <v>6.600614421066421</v>
      </c>
      <c r="F55" s="7">
        <v>1.2390261013414525</v>
      </c>
      <c r="G55" s="7">
        <v>1.0215778922277503</v>
      </c>
      <c r="H55" s="7">
        <v>1.2562986768181148</v>
      </c>
      <c r="I55" s="7">
        <v>12.726764286857446</v>
      </c>
      <c r="J55" s="7">
        <v>1.2294262765520949</v>
      </c>
      <c r="K55" s="7">
        <v>12.452735959879297</v>
      </c>
    </row>
    <row r="56" spans="1:11" x14ac:dyDescent="0.3">
      <c r="A56" t="s">
        <v>174</v>
      </c>
      <c r="B56" t="s">
        <v>175</v>
      </c>
      <c r="D56" s="7">
        <v>24.66208479673659</v>
      </c>
      <c r="E56" s="7">
        <v>25.437494978875723</v>
      </c>
      <c r="F56" s="7">
        <v>33.779009435014792</v>
      </c>
      <c r="G56" s="7">
        <v>43.881648577179412</v>
      </c>
      <c r="H56" s="7">
        <v>40.380588966535129</v>
      </c>
      <c r="I56" s="7">
        <v>39.197669929799517</v>
      </c>
      <c r="J56" s="7">
        <v>35.50925414788972</v>
      </c>
      <c r="K56" s="7">
        <v>35.918623451628569</v>
      </c>
    </row>
    <row r="57" spans="1:11" x14ac:dyDescent="0.3">
      <c r="A57" t="s">
        <v>176</v>
      </c>
      <c r="B57" t="s">
        <v>177</v>
      </c>
      <c r="D57" s="7">
        <v>70.793638819391418</v>
      </c>
      <c r="E57" s="7">
        <v>64.620789272355523</v>
      </c>
      <c r="F57" s="7">
        <v>62.272020492276795</v>
      </c>
      <c r="G57" s="7">
        <v>46.549216342373128</v>
      </c>
      <c r="H57" s="7">
        <v>51.461631384434192</v>
      </c>
      <c r="I57" s="7">
        <v>41.612183740174075</v>
      </c>
      <c r="J57" s="7">
        <v>58.342824941575508</v>
      </c>
      <c r="K57" s="7">
        <v>47.137014719845958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7" t="s">
        <v>355</v>
      </c>
      <c r="G59" s="7" t="s">
        <v>355</v>
      </c>
      <c r="H59" s="7" t="s">
        <v>355</v>
      </c>
      <c r="I59" s="7" t="s">
        <v>355</v>
      </c>
      <c r="J59" s="7" t="s">
        <v>355</v>
      </c>
      <c r="K59" s="7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7" t="s">
        <v>355</v>
      </c>
      <c r="G60" s="7" t="s">
        <v>355</v>
      </c>
      <c r="H60" s="7" t="s">
        <v>355</v>
      </c>
      <c r="I60" s="7" t="s">
        <v>355</v>
      </c>
      <c r="J60" s="7" t="s">
        <v>355</v>
      </c>
      <c r="K60" s="7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0.35811999999999999</v>
      </c>
      <c r="E64" s="7">
        <v>0.1062</v>
      </c>
      <c r="F64" s="7">
        <v>0.1062</v>
      </c>
      <c r="G64" s="7">
        <v>7.0000000000000007E-2</v>
      </c>
      <c r="H64" s="7">
        <v>1.4999999999999999E-2</v>
      </c>
      <c r="I64" s="7">
        <v>0</v>
      </c>
      <c r="J64" s="7">
        <v>0</v>
      </c>
      <c r="K64" s="7">
        <v>1.4E-2</v>
      </c>
    </row>
    <row r="65" spans="1:11" x14ac:dyDescent="0.3">
      <c r="A65" s="8" t="s">
        <v>190</v>
      </c>
      <c r="B65" s="8" t="s">
        <v>191</v>
      </c>
      <c r="C65" s="9"/>
      <c r="D65" s="7">
        <v>4.5999999999999999E-3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3.0000000000000001E-3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82.230119999999999</v>
      </c>
      <c r="E68" s="7">
        <v>86.906400000000005</v>
      </c>
      <c r="F68" s="30">
        <v>71.61</v>
      </c>
      <c r="G68" s="30">
        <v>72.637423800864553</v>
      </c>
      <c r="H68" s="30">
        <v>64.958092096673994</v>
      </c>
      <c r="I68" s="30">
        <v>59.390222239991076</v>
      </c>
      <c r="J68" s="30">
        <v>75.315210659969409</v>
      </c>
      <c r="K68" s="30">
        <v>86.9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15.04006</v>
      </c>
      <c r="E70" s="30">
        <v>35.46266</v>
      </c>
      <c r="F70" s="7">
        <v>13.52</v>
      </c>
      <c r="G70" s="7">
        <v>14.61</v>
      </c>
      <c r="H70" s="7">
        <v>14.08</v>
      </c>
      <c r="I70" s="7">
        <v>14.46</v>
      </c>
      <c r="J70" s="7">
        <v>13.81</v>
      </c>
      <c r="K70" s="7">
        <v>14.47</v>
      </c>
    </row>
    <row r="71" spans="1:11" x14ac:dyDescent="0.3">
      <c r="A71" t="s">
        <v>200</v>
      </c>
      <c r="B71" t="s">
        <v>201</v>
      </c>
      <c r="D71" s="7">
        <v>15.849500000000001</v>
      </c>
      <c r="E71" s="30">
        <v>37.96998</v>
      </c>
      <c r="F71" s="7">
        <v>14.58</v>
      </c>
      <c r="G71" s="7">
        <v>15.63</v>
      </c>
      <c r="H71" s="7">
        <v>15.86</v>
      </c>
      <c r="I71" s="7">
        <v>15.67</v>
      </c>
      <c r="J71" s="7">
        <v>14.96</v>
      </c>
      <c r="K71" s="7">
        <v>15.59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75.607460272791783</v>
      </c>
      <c r="E73" s="7">
        <v>72.743870000000001</v>
      </c>
      <c r="F73" s="7">
        <v>70.998000000000005</v>
      </c>
      <c r="G73" s="7">
        <v>73.882103587373592</v>
      </c>
      <c r="H73" s="7">
        <v>73.68957487131749</v>
      </c>
      <c r="I73" s="7">
        <v>75.199771309561854</v>
      </c>
      <c r="J73" s="7">
        <v>74.496079330969451</v>
      </c>
      <c r="K73" s="7">
        <v>76.402769728554503</v>
      </c>
    </row>
    <row r="74" spans="1:11" x14ac:dyDescent="0.3">
      <c r="B74" t="s">
        <v>203</v>
      </c>
      <c r="D74" s="7">
        <v>77.88367923296822</v>
      </c>
      <c r="E74" s="7">
        <v>75.074969999999993</v>
      </c>
      <c r="F74" s="7">
        <v>76.543999999999997</v>
      </c>
      <c r="G74" s="7">
        <v>77.669352836863624</v>
      </c>
      <c r="H74" s="7">
        <v>77.97516792813461</v>
      </c>
      <c r="I74" s="7">
        <v>76.640120715853271</v>
      </c>
      <c r="J74" s="7">
        <v>76.810195794834215</v>
      </c>
      <c r="K74" s="7">
        <v>80.200545406832575</v>
      </c>
    </row>
    <row r="75" spans="1:11" x14ac:dyDescent="0.3">
      <c r="B75" t="s">
        <v>204</v>
      </c>
      <c r="D75" s="7">
        <v>67.078002774724325</v>
      </c>
      <c r="E75" s="7">
        <v>65.175970000000007</v>
      </c>
      <c r="F75" s="7">
        <v>55.572000000000003</v>
      </c>
      <c r="G75" s="7">
        <v>63.499709150511677</v>
      </c>
      <c r="H75" s="7">
        <v>61.318377882245031</v>
      </c>
      <c r="I75" s="7">
        <v>71.170375090154451</v>
      </c>
      <c r="J75" s="7">
        <v>67.472847083230164</v>
      </c>
      <c r="K75" s="7">
        <v>64.841871807340141</v>
      </c>
    </row>
    <row r="76" spans="1:11" x14ac:dyDescent="0.3">
      <c r="A76" s="8" t="s">
        <v>37</v>
      </c>
      <c r="B76" s="8"/>
      <c r="C76" s="9">
        <v>47</v>
      </c>
      <c r="D76" s="7">
        <v>67.971143913634819</v>
      </c>
      <c r="E76" s="7">
        <v>74.11782745420588</v>
      </c>
      <c r="F76" s="30">
        <v>69.827760061014345</v>
      </c>
      <c r="G76" s="30">
        <v>79.800603137667466</v>
      </c>
      <c r="H76" s="30">
        <v>79.794414445538791</v>
      </c>
      <c r="I76" s="30">
        <v>80.405628051663641</v>
      </c>
      <c r="J76" s="30">
        <v>81.012290015273535</v>
      </c>
      <c r="K76" s="30">
        <v>78.661094743019035</v>
      </c>
    </row>
    <row r="77" spans="1:11" x14ac:dyDescent="0.3">
      <c r="A77" s="31" t="s">
        <v>338</v>
      </c>
      <c r="B77" s="31"/>
      <c r="C77" s="63"/>
      <c r="D77" s="30">
        <v>66.057330411359004</v>
      </c>
      <c r="E77" s="30">
        <v>70.954572301689737</v>
      </c>
      <c r="F77" s="30">
        <v>68.408194967402039</v>
      </c>
      <c r="G77" s="30">
        <v>79.581643178454911</v>
      </c>
      <c r="H77" s="30">
        <v>78.339828042205724</v>
      </c>
      <c r="I77" s="30">
        <v>79.095590179482997</v>
      </c>
      <c r="J77" s="30">
        <v>79.937388454694556</v>
      </c>
      <c r="K77" s="30">
        <v>76.864729979759204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9.4355266772810253</v>
      </c>
      <c r="E79" s="7">
        <v>9.5250391287726064</v>
      </c>
      <c r="F79" s="30">
        <v>7.6027225153769669</v>
      </c>
      <c r="G79" s="30">
        <v>9.1074189650565902</v>
      </c>
      <c r="H79" s="30">
        <v>9.0315168295622446</v>
      </c>
      <c r="I79" s="30">
        <v>11.568152111983734</v>
      </c>
      <c r="J79" s="30">
        <v>10.972237584338016</v>
      </c>
      <c r="K79" s="30">
        <v>11.210812008419186</v>
      </c>
    </row>
    <row r="80" spans="1:11" x14ac:dyDescent="0.3">
      <c r="A80">
        <v>9</v>
      </c>
      <c r="B80" t="s">
        <v>350</v>
      </c>
      <c r="D80" s="7">
        <v>9.1197697489301213</v>
      </c>
      <c r="E80" s="7">
        <v>9.9196447634447136</v>
      </c>
      <c r="F80" s="30">
        <v>8.7902723607879132</v>
      </c>
      <c r="G80" s="30">
        <v>10.210680665378101</v>
      </c>
      <c r="H80" s="30">
        <v>10.808637397324594</v>
      </c>
      <c r="I80" s="30">
        <v>11.153687173930043</v>
      </c>
      <c r="J80" s="30">
        <v>10.485565756000444</v>
      </c>
      <c r="K80" s="30">
        <v>9.4272737343524984</v>
      </c>
    </row>
    <row r="81" spans="1:11" x14ac:dyDescent="0.3">
      <c r="A81">
        <v>10</v>
      </c>
      <c r="B81" t="s">
        <v>206</v>
      </c>
      <c r="D81" s="7">
        <v>5.6569824183757618</v>
      </c>
      <c r="E81" s="7">
        <v>6.2813743692269206</v>
      </c>
      <c r="F81" s="30">
        <v>5.0113073973321089</v>
      </c>
      <c r="G81" s="30">
        <v>7.6934451409128979</v>
      </c>
      <c r="H81" s="30">
        <v>7.3832165937327154</v>
      </c>
      <c r="I81" s="30">
        <v>7.5408041290091932</v>
      </c>
      <c r="J81" s="30">
        <v>9.5896471629244555</v>
      </c>
      <c r="K81" s="30">
        <v>9.5602082640966</v>
      </c>
    </row>
    <row r="82" spans="1:11" x14ac:dyDescent="0.3">
      <c r="A82">
        <v>12</v>
      </c>
      <c r="B82" t="s">
        <v>207</v>
      </c>
      <c r="D82" s="7">
        <v>26.005273776649666</v>
      </c>
      <c r="E82" s="7">
        <v>25.015587727887173</v>
      </c>
      <c r="F82" s="30">
        <v>20.614423213485846</v>
      </c>
      <c r="G82" s="30">
        <v>25.9666885189014</v>
      </c>
      <c r="H82" s="30">
        <v>28.268241002510429</v>
      </c>
      <c r="I82" s="30">
        <v>30.407873716666849</v>
      </c>
      <c r="J82" s="30">
        <v>28.536666297975888</v>
      </c>
      <c r="K82" s="30">
        <v>26.420737786640082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81.845160000000007</v>
      </c>
      <c r="E84" s="7">
        <v>83.08564461988945</v>
      </c>
      <c r="F84" s="7">
        <v>86.924130190168199</v>
      </c>
      <c r="G84" s="7">
        <v>79.231869332064591</v>
      </c>
      <c r="H84" s="7">
        <v>80.879919802856577</v>
      </c>
      <c r="I84" s="7">
        <v>78.509</v>
      </c>
      <c r="J84" s="7">
        <v>76.293509686619217</v>
      </c>
      <c r="K84" s="7">
        <v>80.438412141448666</v>
      </c>
    </row>
    <row r="85" spans="1:11" x14ac:dyDescent="0.3">
      <c r="A85">
        <v>9</v>
      </c>
      <c r="B85" t="s">
        <v>350</v>
      </c>
      <c r="D85" s="7">
        <v>79.761110000000002</v>
      </c>
      <c r="E85" s="7">
        <v>81.78045184260256</v>
      </c>
      <c r="F85" s="7">
        <v>85.249042133718248</v>
      </c>
      <c r="G85" s="7">
        <v>79.462430691908281</v>
      </c>
      <c r="H85" s="7">
        <v>85.359700366262814</v>
      </c>
      <c r="I85" s="7">
        <v>83.918999999999997</v>
      </c>
      <c r="J85" s="7">
        <v>86.985671318027514</v>
      </c>
      <c r="K85" s="7">
        <v>86.248725970592218</v>
      </c>
    </row>
    <row r="86" spans="1:11" x14ac:dyDescent="0.3">
      <c r="A86">
        <v>10</v>
      </c>
      <c r="B86" t="s">
        <v>206</v>
      </c>
      <c r="D86" s="7">
        <v>64.935789999999997</v>
      </c>
      <c r="E86" s="7">
        <v>77.824430608878444</v>
      </c>
      <c r="F86" s="7">
        <v>74.490301710304749</v>
      </c>
      <c r="G86" s="7">
        <v>60.047567641780105</v>
      </c>
      <c r="H86" s="7">
        <v>60.663778177582969</v>
      </c>
      <c r="I86" s="7">
        <v>63.58</v>
      </c>
      <c r="J86" s="7">
        <v>75.402167358008015</v>
      </c>
      <c r="K86" s="7">
        <v>68.315862967905858</v>
      </c>
    </row>
    <row r="87" spans="1:11" x14ac:dyDescent="0.3">
      <c r="A87">
        <v>12</v>
      </c>
      <c r="B87" t="s">
        <v>207</v>
      </c>
      <c r="D87" s="7">
        <v>82.789959999999994</v>
      </c>
      <c r="E87" s="7">
        <v>83.099250999625866</v>
      </c>
      <c r="F87" s="7">
        <v>86.926808872693627</v>
      </c>
      <c r="G87" s="7">
        <v>86.516822375492907</v>
      </c>
      <c r="H87" s="7">
        <v>82.609090601610902</v>
      </c>
      <c r="I87" s="7">
        <v>78.367999999999995</v>
      </c>
      <c r="J87" s="7">
        <v>79.804029695045259</v>
      </c>
      <c r="K87" s="7">
        <v>80.913729652809764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2024-12-27T11:55:15Z</dcterms:modified>
</cp:coreProperties>
</file>