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I27" i="5"/>
  <c r="I28" i="5" s="1"/>
  <c r="I26" i="5"/>
  <c r="I13" i="5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I15" i="10"/>
  <c r="I13" i="10"/>
  <c r="I12" i="10"/>
  <c r="I11" i="10"/>
  <c r="I10" i="10"/>
  <c r="I14" i="10" s="1"/>
  <c r="I16" i="10" s="1"/>
  <c r="I9" i="10"/>
  <c r="I8" i="10"/>
  <c r="I7" i="10"/>
  <c r="I6" i="10"/>
  <c r="I5" i="10"/>
  <c r="I4" i="10"/>
  <c r="I3" i="10"/>
  <c r="I2" i="10"/>
  <c r="L27" i="6"/>
  <c r="L26" i="6"/>
  <c r="L25" i="6"/>
  <c r="L24" i="6"/>
  <c r="L23" i="6"/>
  <c r="L22" i="6"/>
  <c r="L20" i="6"/>
  <c r="L19" i="6"/>
  <c r="L18" i="6"/>
  <c r="L17" i="6"/>
  <c r="L16" i="6"/>
  <c r="L15" i="6"/>
  <c r="L14" i="6"/>
  <c r="L13" i="6"/>
  <c r="L12" i="6"/>
  <c r="L11" i="6"/>
  <c r="L9" i="6"/>
  <c r="L8" i="6"/>
  <c r="L7" i="6"/>
  <c r="L6" i="6"/>
  <c r="L5" i="6"/>
  <c r="L4" i="6"/>
  <c r="L3" i="6"/>
  <c r="L2" i="6"/>
  <c r="J21" i="6"/>
  <c r="J10" i="6"/>
  <c r="J29" i="6" s="1"/>
  <c r="I23" i="1"/>
  <c r="I19" i="1"/>
  <c r="I13" i="1"/>
  <c r="I7" i="1"/>
  <c r="I21" i="1" s="1"/>
  <c r="J28" i="6" l="1"/>
  <c r="K28" i="8"/>
  <c r="K26" i="8"/>
  <c r="K25" i="8"/>
  <c r="K23" i="8"/>
  <c r="K22" i="8"/>
  <c r="K20" i="8"/>
  <c r="K19" i="8"/>
  <c r="K18" i="8"/>
  <c r="K17" i="8"/>
  <c r="K16" i="8"/>
  <c r="K13" i="8"/>
  <c r="K12" i="8"/>
  <c r="K7" i="8"/>
  <c r="K18" i="7"/>
  <c r="K15" i="7"/>
  <c r="K14" i="7"/>
  <c r="K13" i="7"/>
  <c r="K12" i="7"/>
  <c r="K6" i="7"/>
  <c r="H6" i="9"/>
  <c r="H5" i="9"/>
  <c r="H4" i="9"/>
  <c r="H3" i="9"/>
  <c r="H2" i="9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H10" i="8" s="1"/>
  <c r="H19" i="7"/>
  <c r="H18" i="7"/>
  <c r="H17" i="7"/>
  <c r="H14" i="7"/>
  <c r="H13" i="7"/>
  <c r="H12" i="7"/>
  <c r="H10" i="7"/>
  <c r="H9" i="7"/>
  <c r="H8" i="7"/>
  <c r="H7" i="7"/>
  <c r="H6" i="7"/>
  <c r="H11" i="7" s="1"/>
  <c r="H4" i="7"/>
  <c r="H3" i="7"/>
  <c r="H2" i="7"/>
  <c r="AA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27" i="8"/>
  <c r="H20" i="8"/>
  <c r="H30" i="8" s="1"/>
  <c r="H31" i="8" s="1"/>
  <c r="H21" i="8"/>
  <c r="H15" i="7"/>
  <c r="H5" i="7"/>
  <c r="H20" i="7" s="1"/>
  <c r="H21" i="7" s="1"/>
  <c r="H16" i="7"/>
  <c r="T53" i="2" l="1"/>
  <c r="V53" i="2" s="1"/>
  <c r="U52" i="2"/>
  <c r="T52" i="2"/>
  <c r="V52" i="2" s="1"/>
  <c r="V51" i="2"/>
  <c r="U51" i="2"/>
  <c r="T51" i="2"/>
  <c r="U50" i="2"/>
  <c r="T50" i="2"/>
  <c r="V50" i="2" s="1"/>
  <c r="U49" i="2"/>
  <c r="T49" i="2"/>
  <c r="V49" i="2" s="1"/>
  <c r="U48" i="2"/>
  <c r="U61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V15" i="2" s="1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20" i="2" l="1"/>
  <c r="T54" i="2"/>
  <c r="T57" i="2"/>
  <c r="T58" i="2"/>
  <c r="U20" i="2"/>
  <c r="U21" i="2" s="1"/>
  <c r="U59" i="2" s="1"/>
  <c r="U54" i="2"/>
  <c r="U55" i="2" s="1"/>
  <c r="U58" i="2"/>
  <c r="V14" i="2"/>
  <c r="U60" i="2"/>
  <c r="G3" i="13"/>
  <c r="G4" i="13"/>
  <c r="V54" i="2" l="1"/>
  <c r="T55" i="2"/>
  <c r="V55" i="2" s="1"/>
  <c r="V20" i="2"/>
  <c r="T21" i="2"/>
  <c r="C9" i="10"/>
  <c r="D9" i="10"/>
  <c r="E9" i="10"/>
  <c r="F9" i="10"/>
  <c r="G9" i="10"/>
  <c r="H9" i="10"/>
  <c r="B9" i="10"/>
  <c r="I29" i="6"/>
  <c r="H29" i="6"/>
  <c r="G29" i="6"/>
  <c r="F29" i="6"/>
  <c r="E29" i="6"/>
  <c r="D29" i="6"/>
  <c r="C29" i="6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8" l="1"/>
  <c r="G27" i="8"/>
  <c r="G20" i="8"/>
  <c r="G10" i="8"/>
  <c r="G5" i="7"/>
  <c r="G15" i="7"/>
  <c r="G11" i="7"/>
  <c r="G30" i="8" l="1"/>
  <c r="G31" i="8" s="1"/>
  <c r="G21" i="8"/>
  <c r="G20" i="7"/>
  <c r="G16" i="7"/>
  <c r="R57" i="2"/>
  <c r="R54" i="2"/>
  <c r="R55" i="2" s="1"/>
  <c r="Q53" i="2"/>
  <c r="S53" i="2" s="1"/>
  <c r="R52" i="2"/>
  <c r="Q52" i="2"/>
  <c r="S52" i="2" s="1"/>
  <c r="R51" i="2"/>
  <c r="S51" i="2" s="1"/>
  <c r="Q51" i="2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R20" i="2" s="1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8" i="5" s="1"/>
  <c r="H26" i="5"/>
  <c r="H13" i="5"/>
  <c r="H15" i="10"/>
  <c r="H13" i="10"/>
  <c r="H12" i="10"/>
  <c r="H11" i="10"/>
  <c r="H8" i="10"/>
  <c r="H7" i="10"/>
  <c r="H6" i="10"/>
  <c r="H5" i="10"/>
  <c r="H4" i="10"/>
  <c r="H3" i="10"/>
  <c r="H2" i="10"/>
  <c r="I21" i="6"/>
  <c r="I10" i="6"/>
  <c r="I28" i="6" s="1"/>
  <c r="H23" i="1"/>
  <c r="H19" i="1"/>
  <c r="H13" i="1"/>
  <c r="H7" i="1"/>
  <c r="H21" i="1" s="1"/>
  <c r="H10" i="10" l="1"/>
  <c r="H14" i="10" s="1"/>
  <c r="H16" i="10" s="1"/>
  <c r="R21" i="2"/>
  <c r="Q56" i="2"/>
  <c r="G2" i="9" s="1"/>
  <c r="Q57" i="2"/>
  <c r="S15" i="2"/>
  <c r="R56" i="2"/>
  <c r="S16" i="2"/>
  <c r="G4" i="9"/>
  <c r="G21" i="7"/>
  <c r="Q20" i="2"/>
  <c r="Q54" i="2"/>
  <c r="Q58" i="2"/>
  <c r="G5" i="9" s="1"/>
  <c r="R58" i="2"/>
  <c r="S14" i="2"/>
  <c r="R60" i="2"/>
  <c r="G5" i="13"/>
  <c r="G3" i="9" l="1"/>
  <c r="R59" i="2"/>
  <c r="S54" i="2"/>
  <c r="Q55" i="2"/>
  <c r="S55" i="2" s="1"/>
  <c r="S20" i="2"/>
  <c r="Q21" i="2"/>
  <c r="G11" i="13"/>
  <c r="G10" i="13"/>
  <c r="G9" i="13"/>
  <c r="G8" i="13"/>
  <c r="G7" i="13"/>
  <c r="G6" i="13"/>
  <c r="S21" i="2" l="1"/>
  <c r="Q59" i="2"/>
  <c r="G6" i="9" s="1"/>
  <c r="I9" i="12"/>
  <c r="I8" i="12"/>
  <c r="I7" i="12"/>
  <c r="I6" i="12"/>
  <c r="I5" i="12"/>
  <c r="I4" i="12"/>
  <c r="I3" i="12"/>
  <c r="I2" i="12"/>
  <c r="F29" i="8" l="1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27" i="8" l="1"/>
  <c r="F5" i="7"/>
  <c r="F15" i="7"/>
  <c r="F15" i="8"/>
  <c r="F10" i="8"/>
  <c r="F20" i="8"/>
  <c r="F11" i="7"/>
  <c r="F21" i="8" l="1"/>
  <c r="F16" i="7"/>
  <c r="F30" i="8"/>
  <c r="F20" i="7"/>
  <c r="F31" i="8" l="1"/>
  <c r="F21" i="7"/>
  <c r="N53" i="2"/>
  <c r="P53" i="2" s="1"/>
  <c r="O52" i="2"/>
  <c r="N52" i="2"/>
  <c r="P52" i="2" s="1"/>
  <c r="O51" i="2"/>
  <c r="P51" i="2" s="1"/>
  <c r="N51" i="2"/>
  <c r="P50" i="2"/>
  <c r="O50" i="2"/>
  <c r="O54" i="2" s="1"/>
  <c r="O55" i="2" s="1"/>
  <c r="N50" i="2"/>
  <c r="P49" i="2"/>
  <c r="O49" i="2"/>
  <c r="N49" i="2"/>
  <c r="P48" i="2"/>
  <c r="O48" i="2"/>
  <c r="O61" i="2" s="1"/>
  <c r="N48" i="2"/>
  <c r="N54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P15" i="2" s="1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G27" i="5"/>
  <c r="G28" i="5" s="1"/>
  <c r="G26" i="5"/>
  <c r="G13" i="5"/>
  <c r="G15" i="10"/>
  <c r="G13" i="10"/>
  <c r="G12" i="10"/>
  <c r="G11" i="10"/>
  <c r="G8" i="10"/>
  <c r="G7" i="10"/>
  <c r="G6" i="10"/>
  <c r="G5" i="10"/>
  <c r="G4" i="10"/>
  <c r="G3" i="10"/>
  <c r="G2" i="10"/>
  <c r="H21" i="6"/>
  <c r="H10" i="6"/>
  <c r="H28" i="6" s="1"/>
  <c r="G23" i="1"/>
  <c r="G19" i="1"/>
  <c r="G13" i="1"/>
  <c r="G7" i="1"/>
  <c r="G21" i="1" s="1"/>
  <c r="O20" i="2" l="1"/>
  <c r="O57" i="2"/>
  <c r="F4" i="9"/>
  <c r="N56" i="2"/>
  <c r="P16" i="2"/>
  <c r="O56" i="2"/>
  <c r="P14" i="2"/>
  <c r="N57" i="2"/>
  <c r="G10" i="10"/>
  <c r="G14" i="10" s="1"/>
  <c r="G16" i="10" s="1"/>
  <c r="N55" i="2"/>
  <c r="P55" i="2" s="1"/>
  <c r="P54" i="2"/>
  <c r="O60" i="2"/>
  <c r="N20" i="2"/>
  <c r="N58" i="2"/>
  <c r="O58" i="2"/>
  <c r="J27" i="5"/>
  <c r="F27" i="5"/>
  <c r="E27" i="5"/>
  <c r="D27" i="5"/>
  <c r="C27" i="5"/>
  <c r="B27" i="5"/>
  <c r="F2" i="9" l="1"/>
  <c r="F5" i="9"/>
  <c r="F3" i="9"/>
  <c r="O21" i="2"/>
  <c r="O59" i="2" s="1"/>
  <c r="N21" i="2"/>
  <c r="P20" i="2"/>
  <c r="P21" i="2" l="1"/>
  <c r="N59" i="2"/>
  <c r="F6" i="9" s="1"/>
  <c r="H9" i="12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27" i="8"/>
  <c r="E10" i="8"/>
  <c r="E15" i="8"/>
  <c r="E20" i="8"/>
  <c r="E11" i="7"/>
  <c r="E15" i="7"/>
  <c r="E21" i="8" l="1"/>
  <c r="E30" i="8"/>
  <c r="E16" i="7"/>
  <c r="E20" i="7"/>
  <c r="E21" i="7" l="1"/>
  <c r="E31" i="8"/>
  <c r="L61" i="2"/>
  <c r="L60" i="2"/>
  <c r="L58" i="2"/>
  <c r="K58" i="2"/>
  <c r="E5" i="9" s="1"/>
  <c r="L57" i="2"/>
  <c r="K57" i="2"/>
  <c r="E3" i="9" s="1"/>
  <c r="L56" i="2"/>
  <c r="K56" i="2"/>
  <c r="E2" i="9" s="1"/>
  <c r="M54" i="2"/>
  <c r="L54" i="2"/>
  <c r="L55" i="2" s="1"/>
  <c r="L59" i="2" s="1"/>
  <c r="K54" i="2"/>
  <c r="K55" i="2" s="1"/>
  <c r="K59" i="2" s="1"/>
  <c r="E6" i="9" s="1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26" i="5"/>
  <c r="J13" i="5"/>
  <c r="J15" i="10"/>
  <c r="J13" i="10"/>
  <c r="J12" i="10"/>
  <c r="J11" i="10"/>
  <c r="J8" i="10"/>
  <c r="J7" i="10"/>
  <c r="J6" i="10"/>
  <c r="J4" i="10"/>
  <c r="J3" i="10"/>
  <c r="K21" i="6"/>
  <c r="L21" i="6" s="1"/>
  <c r="K10" i="6"/>
  <c r="J23" i="1"/>
  <c r="J19" i="1"/>
  <c r="J13" i="1"/>
  <c r="J7" i="1"/>
  <c r="G2" i="12"/>
  <c r="L2" i="12"/>
  <c r="G3" i="12"/>
  <c r="L3" i="12"/>
  <c r="G4" i="12"/>
  <c r="L4" i="12"/>
  <c r="G5" i="12"/>
  <c r="L5" i="12"/>
  <c r="G6" i="12"/>
  <c r="L6" i="12"/>
  <c r="G7" i="12"/>
  <c r="L7" i="12"/>
  <c r="G8" i="12"/>
  <c r="L8" i="12"/>
  <c r="G9" i="12"/>
  <c r="L9" i="12"/>
  <c r="K4" i="9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W58" i="2"/>
  <c r="Z58" i="2" s="1"/>
  <c r="X57" i="2"/>
  <c r="W57" i="2"/>
  <c r="Z57" i="2" s="1"/>
  <c r="X56" i="2"/>
  <c r="K2" i="9" s="1"/>
  <c r="W56" i="2"/>
  <c r="Z56" i="2" s="1"/>
  <c r="K5" i="9" l="1"/>
  <c r="AA58" i="2"/>
  <c r="K3" i="9"/>
  <c r="AA57" i="2"/>
  <c r="L10" i="6"/>
  <c r="K29" i="6"/>
  <c r="J5" i="10"/>
  <c r="J2" i="10"/>
  <c r="I2" i="9"/>
  <c r="J2" i="9" s="1"/>
  <c r="I3" i="9"/>
  <c r="J3" i="9" s="1"/>
  <c r="I5" i="9"/>
  <c r="J5" i="9" s="1"/>
  <c r="M55" i="2"/>
  <c r="D5" i="7"/>
  <c r="J28" i="5"/>
  <c r="K28" i="6"/>
  <c r="L28" i="6" s="1"/>
  <c r="J21" i="1"/>
  <c r="D27" i="8"/>
  <c r="D10" i="8"/>
  <c r="D15" i="8"/>
  <c r="D20" i="8"/>
  <c r="D11" i="7"/>
  <c r="D15" i="7"/>
  <c r="L29" i="6" l="1"/>
  <c r="J9" i="10"/>
  <c r="J10" i="10"/>
  <c r="D21" i="8"/>
  <c r="D20" i="7"/>
  <c r="D16" i="7"/>
  <c r="H53" i="2"/>
  <c r="D29" i="8" s="1"/>
  <c r="I52" i="2"/>
  <c r="H52" i="2"/>
  <c r="I51" i="2"/>
  <c r="H51" i="2"/>
  <c r="J51" i="2" s="1"/>
  <c r="J50" i="2"/>
  <c r="I50" i="2"/>
  <c r="H50" i="2"/>
  <c r="I49" i="2"/>
  <c r="H49" i="2"/>
  <c r="J49" i="2" s="1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I57" i="2" s="1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J14" i="10" l="1"/>
  <c r="J52" i="2"/>
  <c r="D28" i="8"/>
  <c r="D30" i="8" s="1"/>
  <c r="D31" i="8" s="1"/>
  <c r="I54" i="2"/>
  <c r="I55" i="2" s="1"/>
  <c r="I61" i="2"/>
  <c r="H58" i="2"/>
  <c r="D5" i="9" s="1"/>
  <c r="H56" i="2"/>
  <c r="D2" i="9" s="1"/>
  <c r="J16" i="2"/>
  <c r="D4" i="9"/>
  <c r="I60" i="2"/>
  <c r="I56" i="2"/>
  <c r="I58" i="2"/>
  <c r="J15" i="2"/>
  <c r="H57" i="2"/>
  <c r="D3" i="9" s="1"/>
  <c r="H54" i="2"/>
  <c r="H55" i="2" s="1"/>
  <c r="J55" i="2" s="1"/>
  <c r="J53" i="2"/>
  <c r="D21" i="7"/>
  <c r="J14" i="2"/>
  <c r="I20" i="2"/>
  <c r="I21" i="2" s="1"/>
  <c r="I59" i="2" s="1"/>
  <c r="J48" i="2"/>
  <c r="H20" i="2"/>
  <c r="J16" i="10" l="1"/>
  <c r="J54" i="2"/>
  <c r="J20" i="2"/>
  <c r="H21" i="2"/>
  <c r="H59" i="2" s="1"/>
  <c r="D6" i="9" s="1"/>
  <c r="J21" i="2" l="1"/>
  <c r="F26" i="5" l="1"/>
  <c r="F13" i="5"/>
  <c r="F15" i="10"/>
  <c r="F13" i="10"/>
  <c r="F12" i="10"/>
  <c r="F11" i="10"/>
  <c r="F8" i="10"/>
  <c r="F7" i="10"/>
  <c r="F6" i="10"/>
  <c r="F4" i="10"/>
  <c r="F3" i="10"/>
  <c r="G21" i="6"/>
  <c r="G10" i="6"/>
  <c r="F23" i="1"/>
  <c r="F19" i="1"/>
  <c r="F13" i="1"/>
  <c r="F7" i="1"/>
  <c r="C23" i="1"/>
  <c r="D23" i="1"/>
  <c r="E23" i="1"/>
  <c r="B23" i="1"/>
  <c r="F5" i="10" l="1"/>
  <c r="F2" i="10"/>
  <c r="F28" i="5"/>
  <c r="G28" i="6"/>
  <c r="F21" i="1"/>
  <c r="F10" i="10" l="1"/>
  <c r="B15" i="10"/>
  <c r="B13" i="10"/>
  <c r="B12" i="10"/>
  <c r="B11" i="10"/>
  <c r="B8" i="10"/>
  <c r="B7" i="10"/>
  <c r="B6" i="10"/>
  <c r="B4" i="10"/>
  <c r="B3" i="10"/>
  <c r="C15" i="10"/>
  <c r="C13" i="10"/>
  <c r="C12" i="10"/>
  <c r="C11" i="10"/>
  <c r="C8" i="10"/>
  <c r="C7" i="10"/>
  <c r="C6" i="10"/>
  <c r="C4" i="10"/>
  <c r="C3" i="10"/>
  <c r="F14" i="10" l="1"/>
  <c r="C5" i="6"/>
  <c r="C10" i="6" s="1"/>
  <c r="B2" i="10" s="1"/>
  <c r="C21" i="6"/>
  <c r="B5" i="10" s="1"/>
  <c r="D21" i="6"/>
  <c r="C5" i="10" s="1"/>
  <c r="D10" i="6"/>
  <c r="C2" i="10" s="1"/>
  <c r="C20" i="5"/>
  <c r="C26" i="5" s="1"/>
  <c r="B9" i="5"/>
  <c r="B4" i="5"/>
  <c r="B26" i="5"/>
  <c r="C13" i="5"/>
  <c r="E12" i="1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C4" i="9" s="1"/>
  <c r="F15" i="2"/>
  <c r="E15" i="2"/>
  <c r="F14" i="2"/>
  <c r="E14" i="2"/>
  <c r="F20" i="2" l="1"/>
  <c r="F21" i="2" s="1"/>
  <c r="F60" i="2"/>
  <c r="F58" i="2"/>
  <c r="F56" i="2"/>
  <c r="E57" i="2"/>
  <c r="C3" i="9" s="1"/>
  <c r="E20" i="2"/>
  <c r="E21" i="2" s="1"/>
  <c r="E58" i="2"/>
  <c r="C5" i="9" s="1"/>
  <c r="E56" i="2"/>
  <c r="C2" i="9" s="1"/>
  <c r="F57" i="2"/>
  <c r="F61" i="2"/>
  <c r="F16" i="10"/>
  <c r="C10" i="10"/>
  <c r="C14" i="10" s="1"/>
  <c r="C16" i="10" s="1"/>
  <c r="B10" i="10"/>
  <c r="B14" i="10" s="1"/>
  <c r="B16" i="10" s="1"/>
  <c r="C28" i="6"/>
  <c r="D28" i="6"/>
  <c r="B13" i="5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B15" i="2"/>
  <c r="B57" i="2" s="1"/>
  <c r="B3" i="9" s="1"/>
  <c r="C14" i="2"/>
  <c r="B14" i="2"/>
  <c r="C20" i="2" l="1"/>
  <c r="C21" i="2" s="1"/>
  <c r="C57" i="2"/>
  <c r="C61" i="2"/>
  <c r="B4" i="9"/>
  <c r="B20" i="2"/>
  <c r="B21" i="2" s="1"/>
  <c r="B58" i="2"/>
  <c r="B5" i="9" s="1"/>
  <c r="B56" i="2"/>
  <c r="B2" i="9" s="1"/>
  <c r="C58" i="2"/>
  <c r="C60" i="2"/>
  <c r="C56" i="2"/>
  <c r="B13" i="1"/>
  <c r="B19" i="1"/>
  <c r="B7" i="1"/>
  <c r="B21" i="1" l="1"/>
  <c r="E21" i="6" l="1"/>
  <c r="F21" i="6"/>
  <c r="F10" i="6"/>
  <c r="E10" i="6"/>
  <c r="D19" i="1" l="1"/>
  <c r="C19" i="1"/>
  <c r="E19" i="1"/>
  <c r="C13" i="1"/>
  <c r="D13" i="1"/>
  <c r="E13" i="1"/>
  <c r="C7" i="1"/>
  <c r="D7" i="1"/>
  <c r="E7" i="1"/>
  <c r="E26" i="5" l="1"/>
  <c r="D26" i="5"/>
  <c r="E13" i="5"/>
  <c r="D13" i="5"/>
  <c r="E28" i="6"/>
  <c r="F28" i="6"/>
  <c r="E28" i="5" l="1"/>
  <c r="C21" i="1"/>
  <c r="D21" i="1"/>
  <c r="E21" i="1"/>
  <c r="D6" i="10" l="1"/>
  <c r="E6" i="10"/>
  <c r="D7" i="10"/>
  <c r="E7" i="10"/>
  <c r="D8" i="10"/>
  <c r="E8" i="10"/>
  <c r="D3" i="10"/>
  <c r="E3" i="10"/>
  <c r="D4" i="10"/>
  <c r="E4" i="10"/>
  <c r="F2" i="12" l="1"/>
  <c r="F3" i="12"/>
  <c r="F4" i="12"/>
  <c r="F5" i="12"/>
  <c r="F6" i="12"/>
  <c r="F7" i="12"/>
  <c r="F8" i="12"/>
  <c r="F9" i="12"/>
  <c r="E9" i="12"/>
  <c r="E8" i="12"/>
  <c r="E7" i="12"/>
  <c r="E6" i="12"/>
  <c r="E5" i="12"/>
  <c r="E4" i="12"/>
  <c r="E3" i="12"/>
  <c r="E2" i="12"/>
  <c r="D11" i="10"/>
  <c r="E11" i="10"/>
  <c r="D12" i="10"/>
  <c r="E12" i="10"/>
  <c r="D13" i="10"/>
  <c r="E13" i="10"/>
  <c r="D15" i="10"/>
  <c r="E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I19" i="8"/>
  <c r="M19" i="8" s="1"/>
  <c r="I18" i="8"/>
  <c r="I17" i="8"/>
  <c r="M17" i="8" s="1"/>
  <c r="I16" i="8"/>
  <c r="I14" i="8"/>
  <c r="K14" i="8" s="1"/>
  <c r="I13" i="8"/>
  <c r="M13" i="8" s="1"/>
  <c r="I12" i="8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I13" i="7"/>
  <c r="I12" i="7"/>
  <c r="I10" i="7"/>
  <c r="K10" i="7" s="1"/>
  <c r="I9" i="7"/>
  <c r="K9" i="7" s="1"/>
  <c r="I8" i="7"/>
  <c r="K8" i="7" s="1"/>
  <c r="I7" i="7"/>
  <c r="K7" i="7" s="1"/>
  <c r="I6" i="7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8" i="7" l="1"/>
  <c r="J21" i="7"/>
  <c r="J17" i="7"/>
  <c r="J12" i="7"/>
  <c r="M21" i="7"/>
  <c r="J9" i="7"/>
  <c r="J13" i="7"/>
  <c r="J3" i="7"/>
  <c r="J4" i="7"/>
  <c r="J2" i="7"/>
  <c r="J10" i="7"/>
  <c r="J5" i="7"/>
  <c r="J6" i="7"/>
  <c r="J11" i="7"/>
  <c r="J15" i="7"/>
  <c r="J14" i="7"/>
  <c r="J18" i="7"/>
  <c r="J7" i="7"/>
  <c r="J16" i="7"/>
  <c r="D5" i="10"/>
  <c r="E5" i="10"/>
  <c r="D2" i="10"/>
  <c r="E2" i="10"/>
  <c r="D10" i="10" l="1"/>
  <c r="D14" i="10" s="1"/>
  <c r="D16" i="10" s="1"/>
  <c r="E10" i="10"/>
  <c r="E54" i="2"/>
  <c r="E55" i="2" s="1"/>
  <c r="E59" i="2" s="1"/>
  <c r="C6" i="9" s="1"/>
  <c r="F54" i="2"/>
  <c r="F55" i="2" s="1"/>
  <c r="F59" i="2" s="1"/>
  <c r="E14" i="10" l="1"/>
  <c r="E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X59" i="2" l="1"/>
  <c r="Y55" i="2"/>
  <c r="W59" i="2"/>
  <c r="I31" i="8"/>
  <c r="K31" i="8" s="1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K6" i="9"/>
  <c r="AA59" i="2"/>
  <c r="J23" i="8"/>
  <c r="J24" i="8"/>
  <c r="J10" i="8"/>
  <c r="J27" i="8"/>
  <c r="J26" i="8"/>
  <c r="J25" i="8"/>
  <c r="J18" i="8"/>
  <c r="J2" i="8"/>
  <c r="J14" i="8"/>
  <c r="M31" i="8"/>
  <c r="J15" i="8"/>
  <c r="J6" i="8"/>
  <c r="J16" i="8"/>
  <c r="J19" i="8"/>
  <c r="J5" i="8"/>
  <c r="J8" i="8"/>
  <c r="J17" i="8"/>
  <c r="J28" i="8"/>
  <c r="J20" i="8"/>
  <c r="J7" i="8"/>
  <c r="J11" i="8"/>
  <c r="J12" i="8"/>
  <c r="J21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<sst xmlns="http://schemas.openxmlformats.org/spreadsheetml/2006/main" count="499" uniqueCount="368">
  <si>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</si>
  <si>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</si>
  <si>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</si>
  <si>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</si>
  <si>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</si>
  <si>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</si>
  <si>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</si>
  <si>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</si>
  <si>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</si>
  <si>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</si>
  <si>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</si>
  <si>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</si>
  <si>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</si>
  <si>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</si>
  <si>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</si>
  <si>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</si>
  <si>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</si>
  <si>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</si>
  <si>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</si>
  <si>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</si>
  <si>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</si>
  <si>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</si>
  <si>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</si>
  <si>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</si>
  <si>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</si>
  <si>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</si>
  <si>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</si>
  <si>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</si>
  <si>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</si>
  <si>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</si>
  <si>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</si>
  <si>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</si>
  <si>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</si>
  <si>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</si>
  <si>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</si>
  <si>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</si>
  <si>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</si>
  <si>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</si>
  <si>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</si>
  <si>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</si>
  <si>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</si>
  <si>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</si>
  <si>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</si>
  <si>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</si>
  <si>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</si>
  <si>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</si>
  <si>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</si>
  <si>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</si>
  <si>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</si>
  <si>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</si>
  <si>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</si>
  <si>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</si>
  <si>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</si>
  <si>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</si>
  <si>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</si>
  <si>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</si>
  <si>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</si>
  <si>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</si>
  <si>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</si>
  <si>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</si>
  <si>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</si>
  <si>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</si>
  <si>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</si>
  <si>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</si>
  <si>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</si>
  <si>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</si>
  <si>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</si>
  <si>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</si>
  <si>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</si>
  <si>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</si>
  <si>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</si>
  <si>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</si>
  <si>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</si>
  <si>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</si>
  <si>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</si>
  <si>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</si>
  <si>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</si>
  <si>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</si>
  <si>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</si>
  <si>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</si>
  <si>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</si>
  <si>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</si>
  <si>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</si>
  <si>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</si>
  <si>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</si>
  <si>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</si>
  <si>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</si>
  <si>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</si>
  <si>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</si>
  <si>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</si>
  <si>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</si>
  <si>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</si>
  <si>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</si>
  <si>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</si>
  <si>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</si>
  <si>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</si>
  <si>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</si>
  <si>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</si>
  <si>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</si>
  <si>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</si>
  <si>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</si>
  <si>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</si>
  <si>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</si>
  <si>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</si>
  <si>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</si>
  <si>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</si>
  <si>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</si>
  <si>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</si>
  <si>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</si>
  <si>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</si>
  <si>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</si>
  <si>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</si>
  <si>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</si>
  <si>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</si>
  <si>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</si>
  <si>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</si>
  <si>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</si>
  <si>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</si>
  <si>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</si>
  <si>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</si>
  <si>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</si>
  <si>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</si>
  <si>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</si>
  <si>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</si>
  <si>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</si>
  <si>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</si>
  <si>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</si>
  <si>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</si>
  <si>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</si>
  <si>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</si>
  <si>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</si>
  <si>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</si>
  <si>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</si>
  <si>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</si>
  <si>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</si>
  <si>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</si>
  <si>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</si>
  <si>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</si>
  <si>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</si>
  <si>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</si>
  <si>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</si>
  <si>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</si>
  <si>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</si>
  <si>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</si>
  <si>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</si>
  <si>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</si>
  <si>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</si>
  <si>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</si>
  <si>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</si>
  <si>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</si>
  <si>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</si>
  <si>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</si>
  <si>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</si>
  <si>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</si>
  <si>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</si>
  <si>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</si>
  <si>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</si>
  <si>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</si>
  <si>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</si>
  <si>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</si>
  <si>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</si>
  <si>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</si>
  <si>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</si>
  <si>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</si>
  <si>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</si>
  <si>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</si>
  <si>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</si>
  <si>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</si>
  <si>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</si>
  <si>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</si>
  <si>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</si>
  <si>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</si>
  <si>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</si>
  <si>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</si>
  <si>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</si>
  <si>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</si>
  <si>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</si>
  <si>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</si>
  <si>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</si>
  <si>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</si>
  <si>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</si>
  <si>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</si>
  <si>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</si>
  <si>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</si>
  <si>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</si>
  <si>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</si>
  <si>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</si>
  <si>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</si>
  <si>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</si>
  <si>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</si>
  <si>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</si>
  <si>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</si>
  <si>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</si>
  <si>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</si>
  <si>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</si>
  <si>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</si>
  <si>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</si>
  <si>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</si>
  <si>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</si>
  <si>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</si>
  <si>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</si>
  <si>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</si>
  <si>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</si>
  <si>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</si>
  <si>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</si>
  <si>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</si>
  <si>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</si>
  <si>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</si>
  <si>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</si>
  <si>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</si>
  <si>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</si>
  <si>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</si>
  <si>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</si>
  <si>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</si>
  <si>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</si>
  <si>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</si>
  <si>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</si>
  <si>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</si>
  <si>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</si>
  <si>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</si>
  <si>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</si>
  <si>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</si>
  <si>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</si>
  <si>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</si>
  <si>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</si>
  <si>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</si>
  <si>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</si>
  <si>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</si>
  <si>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</si>
  <si>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</si>
  <si>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</si>
  <si>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</si>
  <si>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</si>
  <si>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</si>
  <si>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</si>
  <si>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</si>
  <si>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</si>
  <si>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</si>
  <si>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</si>
  <si>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</si>
  <si>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</si>
  <si>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</si>
  <si>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</si>
  <si>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</si>
  <si>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</si>
  <si>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</si>
  <si>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</si>
  <si>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</si>
  <si>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</si>
  <si>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</si>
  <si>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</si>
  <si>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</si>
  <si>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</si>
  <si>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</si>
  <si>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</si>
  <si>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</si>
  <si>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</si>
  <si>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</si>
  <si>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</si>
  <si>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</si>
  <si>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</si>
  <si>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</si>
  <si>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</si>
  <si>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</si>
  <si>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</si>
  <si>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</si>
  <si>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</si>
  <si>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</si>
  <si>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</si>
  <si>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</si>
  <si>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</si>
  <si>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</si>
  <si>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</si>
  <si>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</si>
  <si>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</si>
  <si>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</si>
  <si>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</si>
  <si>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</si>
  <si>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</si>
  <si>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</si>
  <si>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</si>
  <si>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</si>
  <si>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</si>
  <si>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</si>
  <si>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</si>
  <si>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</si>
  <si>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</si>
  <si>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</si>
  <si>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</si>
  <si>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</si>
  <si>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</si>
  <si>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</si>
  <si>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</si>
  <si>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</si>
  <si>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</si>
  <si>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</si>
  <si>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</si>
  <si>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</si>
  <si>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</si>
  <si>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</si>
  <si>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</si>
  <si>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</si>
  <si>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</si>
  <si>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</si>
  <si>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</si>
  <si>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</si>
  <si>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</si>
  <si>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</si>
  <si>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</si>
  <si>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</si>
  <si>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</si>
  <si>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</si>
  <si>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</si>
  <si>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</si>
  <si>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</si>
  <si>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</si>
  <si>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</si>
  <si>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</si>
  <si>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</si>
  <si>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</si>
  <si>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</si>
  <si>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</si>
  <si>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</si>
  <si>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</si>
  <si>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</si>
  <si>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</si>
  <si>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</si>
  <si>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</si>
  <si>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</si>
  <si>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</si>
  <si>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</si>
  <si>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</si>
  <si>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</si>
  <si>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</si>
  <si>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</si>
  <si>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</si>
  <si>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</si>
  <si>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</si>
  <si>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</si>
  <si>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</si>
  <si>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</si>
  <si>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</si>
  <si>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</si>
  <si>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</si>
  <si>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</si>
  <si>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</si>
  <si>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</si>
  <si>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</si>
  <si>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</si>
  <si>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</si>
  <si>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</si>
  <si>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</si>
  <si>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</si>
  <si>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</si>
  <si>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</si>
  <si>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</si>
  <si>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Cancellazione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</si>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</sst>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44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Border="1"/>
    <xf numFmtId="165" fontId="0" fillId="2" borderId="0" xfId="1" applyNumberFormat="1" applyFont="1" applyFill="1" applyBorder="1"/>
    <xf numFmtId="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0" fontId="0" fillId="0" borderId="0" xfId="0" applyAlignment="1">
      <alignment horizontal="center"/>
    </xf>
    <xf numFmtId="165" fontId="0" fillId="4" borderId="0" xfId="0" applyNumberFormat="1" applyFill="1"/>
    <xf numFmtId="165" fontId="0" fillId="0" borderId="0" xfId="0" applyNumberFormat="1" applyBorder="1"/>
    <xf numFmtId="165" fontId="0" fillId="0" borderId="0" xfId="3" applyNumberFormat="1" applyFont="1" applyBorder="1"/>
    <xf numFmtId="165" fontId="0" fillId="2" borderId="0" xfId="3" applyNumberFormat="1" applyFont="1" applyFill="1" applyBorder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2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05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93245466108836"/>
          <c:y val="5.4234059497589075E-2"/>
          <c:w val="0.85174730483182171"/>
          <c:h val="0.76931936675336399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190348755.28999999</c:v>
                </c:pt>
                <c:pt idx="1">
                  <c:v>217400507.5</c:v>
                </c:pt>
                <c:pt idx="2">
                  <c:v>257331335.33000001</c:v>
                </c:pt>
                <c:pt idx="3">
                  <c:v>266437997.34</c:v>
                </c:pt>
                <c:pt idx="4">
                  <c:v>345860981.12</c:v>
                </c:pt>
                <c:pt idx="5">
                  <c:v>418596933.63</c:v>
                </c:pt>
                <c:pt idx="6">
                  <c:v>409839833.44999999</c:v>
                </c:pt>
                <c:pt idx="7">
                  <c:v>399246823.74000001</c:v>
                </c:pt>
                <c:pt idx="8">
                  <c:v>444773565.41000003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140909554.69999999</c:v>
                </c:pt>
                <c:pt idx="1">
                  <c:v>132886969.88</c:v>
                </c:pt>
                <c:pt idx="2">
                  <c:v>131325821.88</c:v>
                </c:pt>
                <c:pt idx="3">
                  <c:v>96070040.680000007</c:v>
                </c:pt>
                <c:pt idx="4">
                  <c:v>128915514.33</c:v>
                </c:pt>
                <c:pt idx="5">
                  <c:v>127604536.81999999</c:v>
                </c:pt>
                <c:pt idx="6">
                  <c:v>115207650.83</c:v>
                </c:pt>
                <c:pt idx="7">
                  <c:v>84289108.180000007</c:v>
                </c:pt>
                <c:pt idx="8">
                  <c:v>102626470.16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517136"/>
        <c:axId val="1660516048"/>
      </c:lineChart>
      <c:catAx>
        <c:axId val="16605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0516048"/>
        <c:crosses val="autoZero"/>
        <c:auto val="1"/>
        <c:lblAlgn val="ctr"/>
        <c:lblOffset val="100"/>
        <c:noMultiLvlLbl val="0"/>
      </c:catAx>
      <c:valAx>
        <c:axId val="1660516048"/>
        <c:scaling>
          <c:orientation val="minMax"/>
          <c:max val="450000000"/>
          <c:min val="5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660517136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63390973923858E-3"/>
          <c:y val="6.8630399849759119E-2"/>
          <c:w val="0.99115366090260748"/>
          <c:h val="0.74493701847569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5.7257371886630408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51474377326082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360053440213761E-2"/>
                  <c:y val="3.8468936333909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7257371886630408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82.944058478368973</c:v>
                </c:pt>
                <c:pt idx="1">
                  <c:v>105.04685434528791</c:v>
                </c:pt>
                <c:pt idx="2">
                  <c:v>60.65</c:v>
                </c:pt>
                <c:pt idx="3">
                  <c:v>181.69</c:v>
                </c:pt>
                <c:pt idx="4">
                  <c:v>91.04</c:v>
                </c:pt>
                <c:pt idx="5">
                  <c:v>134.13142394228097</c:v>
                </c:pt>
                <c:pt idx="6">
                  <c:v>105.05</c:v>
                </c:pt>
                <c:pt idx="7">
                  <c:v>301.85547958154109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-1.3996084777210643E-16"/>
                  <c:y val="1.538757453356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72336"/>
        <c:axId val="980873424"/>
      </c:barChart>
      <c:catAx>
        <c:axId val="9808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980873424"/>
        <c:crosses val="autoZero"/>
        <c:auto val="1"/>
        <c:lblAlgn val="ctr"/>
        <c:lblOffset val="100"/>
        <c:noMultiLvlLbl val="0"/>
      </c:catAx>
      <c:valAx>
        <c:axId val="980873424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98087233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17E-2"/>
          <c:y val="2.5854108956602031E-2"/>
          <c:w val="0.95679921453118766"/>
          <c:h val="0.77663300397699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1.0900000000000001</c:v>
                </c:pt>
                <c:pt idx="1">
                  <c:v>2.56</c:v>
                </c:pt>
                <c:pt idx="2">
                  <c:v>9.9600000000000009</c:v>
                </c:pt>
                <c:pt idx="3">
                  <c:v>11</c:v>
                </c:pt>
                <c:pt idx="4">
                  <c:v>-5.31</c:v>
                </c:pt>
                <c:pt idx="5">
                  <c:v>3.91</c:v>
                </c:pt>
                <c:pt idx="6">
                  <c:v>2.62</c:v>
                </c:pt>
                <c:pt idx="7">
                  <c:v>22.84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73968"/>
        <c:axId val="980875056"/>
      </c:barChart>
      <c:catAx>
        <c:axId val="98087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980875056"/>
        <c:crosses val="autoZero"/>
        <c:auto val="1"/>
        <c:lblAlgn val="ctr"/>
        <c:lblOffset val="100"/>
        <c:noMultiLvlLbl val="0"/>
      </c:catAx>
      <c:valAx>
        <c:axId val="980875056"/>
        <c:scaling>
          <c:orientation val="minMax"/>
          <c:max val="40"/>
          <c:min val="-10"/>
        </c:scaling>
        <c:delete val="1"/>
        <c:axPos val="l"/>
        <c:numFmt formatCode="0" sourceLinked="0"/>
        <c:majorTickMark val="none"/>
        <c:minorTickMark val="none"/>
        <c:tickLblPos val="none"/>
        <c:crossAx val="9808739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471E-2"/>
          <c:y val="4.8014773776546726E-2"/>
          <c:w val="0.95679921453118766"/>
          <c:h val="0.75077889502039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85468826705940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836-48B9-9EF5-77B1A57AD4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85468826705940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36-48B9-9EF5-77B1A57AD4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81836033382425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836-48B9-9EF5-77B1A57AD4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5253634377867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36-48B9-9EF5-77B1A57AD4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268632503101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5428953144383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268632503101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600534402139E-2"/>
                  <c:y val="3.8468936333910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1242.6534280457483</c:v>
                </c:pt>
                <c:pt idx="1">
                  <c:v>1252.2366814157074</c:v>
                </c:pt>
                <c:pt idx="2">
                  <c:v>1177.3399999999999</c:v>
                </c:pt>
                <c:pt idx="3">
                  <c:v>1188.1199999999999</c:v>
                </c:pt>
                <c:pt idx="4">
                  <c:v>1231.5999999999999</c:v>
                </c:pt>
                <c:pt idx="5">
                  <c:v>1330.6236032970317</c:v>
                </c:pt>
                <c:pt idx="6">
                  <c:v>1349.05</c:v>
                </c:pt>
                <c:pt idx="7">
                  <c:v>1342.17243125697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69616"/>
        <c:axId val="980869072"/>
      </c:barChart>
      <c:catAx>
        <c:axId val="98086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980869072"/>
        <c:crosses val="autoZero"/>
        <c:auto val="1"/>
        <c:lblAlgn val="ctr"/>
        <c:lblOffset val="100"/>
        <c:noMultiLvlLbl val="0"/>
      </c:catAx>
      <c:valAx>
        <c:axId val="980869072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98086961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6702356758984545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186798</c:v>
                </c:pt>
                <c:pt idx="1">
                  <c:v>188310</c:v>
                </c:pt>
                <c:pt idx="2">
                  <c:v>189461</c:v>
                </c:pt>
                <c:pt idx="3">
                  <c:v>190717</c:v>
                </c:pt>
                <c:pt idx="4">
                  <c:v>191050</c:v>
                </c:pt>
                <c:pt idx="5">
                  <c:v>192775</c:v>
                </c:pt>
                <c:pt idx="6">
                  <c:v>194227</c:v>
                </c:pt>
                <c:pt idx="7">
                  <c:v>195386</c:v>
                </c:pt>
                <c:pt idx="8">
                  <c:v>196713</c:v>
                </c:pt>
                <c:pt idx="9">
                  <c:v>197486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75600"/>
        <c:axId val="980876144"/>
      </c:barChart>
      <c:catAx>
        <c:axId val="980875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980876144"/>
        <c:crosses val="autoZero"/>
        <c:auto val="1"/>
        <c:lblAlgn val="ctr"/>
        <c:lblOffset val="100"/>
        <c:noMultiLvlLbl val="0"/>
      </c:catAx>
      <c:valAx>
        <c:axId val="980876144"/>
        <c:scaling>
          <c:orientation val="minMax"/>
          <c:max val="22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98087560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190348755.28999999</c:v>
                </c:pt>
                <c:pt idx="1">
                  <c:v>217400507.5</c:v>
                </c:pt>
                <c:pt idx="2">
                  <c:v>257331335.33000001</c:v>
                </c:pt>
                <c:pt idx="3">
                  <c:v>266437997.34</c:v>
                </c:pt>
                <c:pt idx="4">
                  <c:v>345860981.12</c:v>
                </c:pt>
                <c:pt idx="5">
                  <c:v>418596933.63</c:v>
                </c:pt>
                <c:pt idx="6">
                  <c:v>409839833.44999999</c:v>
                </c:pt>
                <c:pt idx="7">
                  <c:v>399246823.74000001</c:v>
                </c:pt>
                <c:pt idx="8">
                  <c:v>444773565.41000003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51358060.25</c:v>
                </c:pt>
                <c:pt idx="1">
                  <c:v>62122455.899999999</c:v>
                </c:pt>
                <c:pt idx="2">
                  <c:v>100907175.2</c:v>
                </c:pt>
                <c:pt idx="3">
                  <c:v>131186723.33</c:v>
                </c:pt>
                <c:pt idx="4">
                  <c:v>153287529.56</c:v>
                </c:pt>
                <c:pt idx="5">
                  <c:v>175387298.72</c:v>
                </c:pt>
                <c:pt idx="6">
                  <c:v>186471352.11000001</c:v>
                </c:pt>
                <c:pt idx="7">
                  <c:v>201941002.66</c:v>
                </c:pt>
                <c:pt idx="8">
                  <c:v>251479529.13999999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0517680"/>
        <c:axId val="1660518768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26.981032879230028</c:v>
                </c:pt>
                <c:pt idx="1">
                  <c:v>28.575120000582331</c:v>
                </c:pt>
                <c:pt idx="2">
                  <c:v>39.212937309246584</c:v>
                </c:pt>
                <c:pt idx="3">
                  <c:v>49.237242675485717</c:v>
                </c:pt>
                <c:pt idx="4">
                  <c:v>44.32056170765771</c:v>
                </c:pt>
                <c:pt idx="5">
                  <c:v>41.898849377388352</c:v>
                </c:pt>
                <c:pt idx="6">
                  <c:v>45.498591618169129</c:v>
                </c:pt>
                <c:pt idx="7">
                  <c:v>50.580490727086982</c:v>
                </c:pt>
                <c:pt idx="8">
                  <c:v>56.541024174442953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3232"/>
        <c:axId val="1660519312"/>
      </c:lineChart>
      <c:catAx>
        <c:axId val="166051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518768"/>
        <c:crosses val="autoZero"/>
        <c:auto val="1"/>
        <c:lblAlgn val="ctr"/>
        <c:lblOffset val="100"/>
        <c:noMultiLvlLbl val="0"/>
      </c:catAx>
      <c:valAx>
        <c:axId val="16605187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517680"/>
        <c:crosses val="autoZero"/>
        <c:crossBetween val="between"/>
      </c:valAx>
      <c:valAx>
        <c:axId val="1660519312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3232"/>
        <c:crosses val="max"/>
        <c:crossBetween val="between"/>
      </c:valAx>
      <c:catAx>
        <c:axId val="166649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05193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699E-2"/>
          <c:y val="1.9227205294990456E-2"/>
          <c:w val="0.93107873641330208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BA-4304-83C7-07E0D29D1B2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6BA-4304-83C7-07E0D29D1B2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3EF-4EE1-84EC-90209335CF2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6BA-4304-83C7-07E0D29D1B2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717048124086541E-3"/>
                  <c:y val="3.8647342995169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6BA-4304-83C7-07E0D29D1B2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813534761955617E-3"/>
                  <c:y val="3.86461951761159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Conto_economico!$C$28:$K$28</c:f>
              <c:numCache>
                <c:formatCode>#,##0</c:formatCode>
                <c:ptCount val="9"/>
                <c:pt idx="0">
                  <c:v>53802298.590000004</c:v>
                </c:pt>
                <c:pt idx="1">
                  <c:v>-70480822.150000036</c:v>
                </c:pt>
                <c:pt idx="2">
                  <c:v>-43968756.270000041</c:v>
                </c:pt>
                <c:pt idx="3">
                  <c:v>28185064.609999977</c:v>
                </c:pt>
                <c:pt idx="4">
                  <c:v>-8585004.6600000504</c:v>
                </c:pt>
                <c:pt idx="5">
                  <c:v>27412278.600000013</c:v>
                </c:pt>
                <c:pt idx="6">
                  <c:v>16275424.439999981</c:v>
                </c:pt>
                <c:pt idx="7">
                  <c:v>-15994728.24000001</c:v>
                </c:pt>
                <c:pt idx="8">
                  <c:v>7949848.4799999986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492144"/>
        <c:axId val="1666495408"/>
      </c:barChart>
      <c:catAx>
        <c:axId val="166649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66495408"/>
        <c:crosses val="autoZero"/>
        <c:auto val="1"/>
        <c:lblAlgn val="ctr"/>
        <c:lblOffset val="100"/>
        <c:noMultiLvlLbl val="0"/>
      </c:catAx>
      <c:valAx>
        <c:axId val="1666495408"/>
        <c:scaling>
          <c:orientation val="minMax"/>
          <c:max val="70000000"/>
          <c:min val="-90000000"/>
        </c:scaling>
        <c:delete val="1"/>
        <c:axPos val="b"/>
        <c:numFmt formatCode="#,##0" sourceLinked="1"/>
        <c:majorTickMark val="none"/>
        <c:minorTickMark val="none"/>
        <c:tickLblPos val="none"/>
        <c:crossAx val="1666492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251820420.78</c:v>
                </c:pt>
                <c:pt idx="1">
                  <c:v>249897604.38</c:v>
                </c:pt>
                <c:pt idx="2">
                  <c:v>234950520.75</c:v>
                </c:pt>
                <c:pt idx="3">
                  <c:v>233706163.19</c:v>
                </c:pt>
                <c:pt idx="4">
                  <c:v>235792881.99000001</c:v>
                </c:pt>
                <c:pt idx="5">
                  <c:v>246098816.05000001</c:v>
                </c:pt>
                <c:pt idx="6">
                  <c:v>253772541.75</c:v>
                </c:pt>
                <c:pt idx="7">
                  <c:v>254844354.87</c:v>
                </c:pt>
                <c:pt idx="8">
                  <c:v>252744490.53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28973389.34</c:v>
                </c:pt>
                <c:pt idx="1">
                  <c:v>7821305.8200000003</c:v>
                </c:pt>
                <c:pt idx="2">
                  <c:v>41513002.829999998</c:v>
                </c:pt>
                <c:pt idx="3">
                  <c:v>69980725.069999993</c:v>
                </c:pt>
                <c:pt idx="4">
                  <c:v>83832867.450000003</c:v>
                </c:pt>
                <c:pt idx="5">
                  <c:v>82607748.060000002</c:v>
                </c:pt>
                <c:pt idx="6">
                  <c:v>81200886.599999994</c:v>
                </c:pt>
                <c:pt idx="7">
                  <c:v>58514540.829999998</c:v>
                </c:pt>
                <c:pt idx="8">
                  <c:v>75911105.900000006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5000792.32</c:v>
                </c:pt>
                <c:pt idx="1">
                  <c:v>8904312.8800000008</c:v>
                </c:pt>
                <c:pt idx="2">
                  <c:v>11793211.6</c:v>
                </c:pt>
                <c:pt idx="3">
                  <c:v>11889612.23</c:v>
                </c:pt>
                <c:pt idx="4">
                  <c:v>22935923.219999999</c:v>
                </c:pt>
                <c:pt idx="5">
                  <c:v>26298493.59</c:v>
                </c:pt>
                <c:pt idx="6">
                  <c:v>15456489.66</c:v>
                </c:pt>
                <c:pt idx="7">
                  <c:v>11423545.74</c:v>
                </c:pt>
                <c:pt idx="8">
                  <c:v>10266014.439999999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27507438.460000001</c:v>
                </c:pt>
                <c:pt idx="1">
                  <c:v>22596630.780000001</c:v>
                </c:pt>
                <c:pt idx="2">
                  <c:v>25684652.629999999</c:v>
                </c:pt>
                <c:pt idx="3">
                  <c:v>14199703.300000001</c:v>
                </c:pt>
                <c:pt idx="4">
                  <c:v>22146723.579999998</c:v>
                </c:pt>
                <c:pt idx="5">
                  <c:v>17700205.170000002</c:v>
                </c:pt>
                <c:pt idx="6">
                  <c:v>17984974.57</c:v>
                </c:pt>
                <c:pt idx="7">
                  <c:v>14351021.609999999</c:v>
                </c:pt>
                <c:pt idx="8">
                  <c:v>16449349.82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4320"/>
        <c:axId val="1666492688"/>
      </c:barChart>
      <c:catAx>
        <c:axId val="166649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6492688"/>
        <c:crosses val="autoZero"/>
        <c:auto val="1"/>
        <c:lblAlgn val="ctr"/>
        <c:lblOffset val="100"/>
        <c:noMultiLvlLbl val="0"/>
      </c:catAx>
      <c:valAx>
        <c:axId val="1666492688"/>
        <c:scaling>
          <c:orientation val="minMax"/>
          <c:max val="38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6494320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85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452006522.87</c:v>
                </c:pt>
                <c:pt idx="1">
                  <c:v>452006522.87</c:v>
                </c:pt>
                <c:pt idx="2">
                  <c:v>174378812.36000001</c:v>
                </c:pt>
                <c:pt idx="3">
                  <c:v>174378812.36000001</c:v>
                </c:pt>
                <c:pt idx="4">
                  <c:v>174378812.36000001</c:v>
                </c:pt>
                <c:pt idx="5">
                  <c:v>174378812.36000001</c:v>
                </c:pt>
                <c:pt idx="6">
                  <c:v>166150910.94999999</c:v>
                </c:pt>
                <c:pt idx="7">
                  <c:v>150015865</c:v>
                </c:pt>
                <c:pt idx="8">
                  <c:v>150015865.03999999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56341673.460000001</c:v>
                </c:pt>
                <c:pt idx="1">
                  <c:v>59608547.5</c:v>
                </c:pt>
                <c:pt idx="2">
                  <c:v>266755435.86000001</c:v>
                </c:pt>
                <c:pt idx="3">
                  <c:v>225419010.52000001</c:v>
                </c:pt>
                <c:pt idx="4">
                  <c:v>255603078.13</c:v>
                </c:pt>
                <c:pt idx="5">
                  <c:v>249360634.72999999</c:v>
                </c:pt>
                <c:pt idx="6">
                  <c:v>290936715.13</c:v>
                </c:pt>
                <c:pt idx="7">
                  <c:v>287515091.14999998</c:v>
                </c:pt>
                <c:pt idx="8">
                  <c:v>285986883.16000003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-70480822.150000006</c:v>
                </c:pt>
                <c:pt idx="2">
                  <c:v>-43968756.270000003</c:v>
                </c:pt>
                <c:pt idx="3">
                  <c:v>28185064.609999999</c:v>
                </c:pt>
                <c:pt idx="4">
                  <c:v>-8585004.6600000001</c:v>
                </c:pt>
                <c:pt idx="5">
                  <c:v>27412278.600000001</c:v>
                </c:pt>
                <c:pt idx="6">
                  <c:v>16275424.439999999</c:v>
                </c:pt>
                <c:pt idx="7">
                  <c:v>-15994728.1</c:v>
                </c:pt>
                <c:pt idx="8">
                  <c:v>7949848.4800000004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4864"/>
        <c:axId val="1666495952"/>
      </c:barChart>
      <c:catAx>
        <c:axId val="166649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6495952"/>
        <c:crosses val="autoZero"/>
        <c:auto val="1"/>
        <c:lblAlgn val="ctr"/>
        <c:lblOffset val="100"/>
        <c:noMultiLvlLbl val="0"/>
      </c:catAx>
      <c:valAx>
        <c:axId val="1666495952"/>
        <c:scaling>
          <c:orientation val="minMax"/>
          <c:max val="600000000"/>
          <c:min val="-2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666494864"/>
        <c:crosses val="autoZero"/>
        <c:crossBetween val="between"/>
        <c:majorUnit val="2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86E-2"/>
          <c:w val="0.91226637907374475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52.425803059693536</c:v>
                </c:pt>
                <c:pt idx="1">
                  <c:v>52.6</c:v>
                </c:pt>
                <c:pt idx="2">
                  <c:v>47.79</c:v>
                </c:pt>
                <c:pt idx="3">
                  <c:v>45.18</c:v>
                </c:pt>
                <c:pt idx="4">
                  <c:v>38.690414081851472</c:v>
                </c:pt>
                <c:pt idx="5">
                  <c:v>42.501224187652923</c:v>
                </c:pt>
                <c:pt idx="6">
                  <c:v>42.919347516494305</c:v>
                </c:pt>
                <c:pt idx="7">
                  <c:v>41.117348459907056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49.514893791022693</c:v>
                </c:pt>
                <c:pt idx="1">
                  <c:v>47.579702724084825</c:v>
                </c:pt>
                <c:pt idx="2">
                  <c:v>50.437282095795688</c:v>
                </c:pt>
                <c:pt idx="3">
                  <c:v>38.337193190546273</c:v>
                </c:pt>
                <c:pt idx="4">
                  <c:v>33.741748985406801</c:v>
                </c:pt>
                <c:pt idx="5">
                  <c:v>37.674936691601701</c:v>
                </c:pt>
                <c:pt idx="6">
                  <c:v>42.987608519709219</c:v>
                </c:pt>
                <c:pt idx="7">
                  <c:v>39.659188498019738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46.252320324621316</c:v>
                </c:pt>
                <c:pt idx="1">
                  <c:v>45.665289357830147</c:v>
                </c:pt>
                <c:pt idx="2">
                  <c:v>48.049963301380153</c:v>
                </c:pt>
                <c:pt idx="3">
                  <c:v>35.775905002237771</c:v>
                </c:pt>
                <c:pt idx="4">
                  <c:v>31.435231738636602</c:v>
                </c:pt>
                <c:pt idx="5">
                  <c:v>35.240155024047539</c:v>
                </c:pt>
                <c:pt idx="6">
                  <c:v>40.48545145374122</c:v>
                </c:pt>
                <c:pt idx="7">
                  <c:v>36.575903589579546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6496"/>
        <c:axId val="1666497040"/>
      </c:lineChart>
      <c:catAx>
        <c:axId val="166649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6497040"/>
        <c:crosses val="autoZero"/>
        <c:auto val="1"/>
        <c:lblAlgn val="ctr"/>
        <c:lblOffset val="100"/>
        <c:noMultiLvlLbl val="0"/>
      </c:catAx>
      <c:valAx>
        <c:axId val="1666497040"/>
        <c:scaling>
          <c:orientation val="minMax"/>
          <c:max val="55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649649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88"/>
          <c:w val="0.96177967444791568"/>
          <c:h val="0.1795680460155260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1944121207571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5.4188689594696315</c:v>
                </c:pt>
                <c:pt idx="1">
                  <c:v>1.9887005649717515</c:v>
                </c:pt>
                <c:pt idx="2">
                  <c:v>2.7081021087680357</c:v>
                </c:pt>
                <c:pt idx="3">
                  <c:v>2.3022692222956596</c:v>
                </c:pt>
                <c:pt idx="4">
                  <c:v>3.909191583610188</c:v>
                </c:pt>
                <c:pt idx="5">
                  <c:v>4.7330676124421727</c:v>
                </c:pt>
                <c:pt idx="6">
                  <c:v>4.2190403322767516</c:v>
                </c:pt>
                <c:pt idx="7">
                  <c:v>3.3055128486712055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22.801937672530332</c:v>
                </c:pt>
                <c:pt idx="1">
                  <c:v>23.163841807909606</c:v>
                </c:pt>
                <c:pt idx="2">
                  <c:v>27.802441731409548</c:v>
                </c:pt>
                <c:pt idx="3">
                  <c:v>21.998237497246087</c:v>
                </c:pt>
                <c:pt idx="4">
                  <c:v>21.373200442967885</c:v>
                </c:pt>
                <c:pt idx="5">
                  <c:v>22.469572657375174</c:v>
                </c:pt>
                <c:pt idx="6">
                  <c:v>20.679855721936828</c:v>
                </c:pt>
                <c:pt idx="7">
                  <c:v>20.777509334504725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15.620177234714403</c:v>
                </c:pt>
                <c:pt idx="1">
                  <c:v>14.305084745762711</c:v>
                </c:pt>
                <c:pt idx="2">
                  <c:v>15.26082130965594</c:v>
                </c:pt>
                <c:pt idx="3">
                  <c:v>13.692443269442608</c:v>
                </c:pt>
                <c:pt idx="4">
                  <c:v>11.627906976744185</c:v>
                </c:pt>
                <c:pt idx="5">
                  <c:v>12.402021225073531</c:v>
                </c:pt>
                <c:pt idx="6">
                  <c:v>22.767515575472729</c:v>
                </c:pt>
                <c:pt idx="7">
                  <c:v>24.412475291016911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15.926827483270367</c:v>
                </c:pt>
                <c:pt idx="1">
                  <c:v>13.423728813559324</c:v>
                </c:pt>
                <c:pt idx="2">
                  <c:v>13.118756936736961</c:v>
                </c:pt>
                <c:pt idx="3">
                  <c:v>11.698612029081294</c:v>
                </c:pt>
                <c:pt idx="4">
                  <c:v>11.738648947951273</c:v>
                </c:pt>
                <c:pt idx="5">
                  <c:v>13.21529198131427</c:v>
                </c:pt>
                <c:pt idx="6">
                  <c:v>12.98502568586731</c:v>
                </c:pt>
                <c:pt idx="7">
                  <c:v>11.98111135515045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0512"/>
        <c:axId val="980871248"/>
      </c:barChart>
      <c:catAx>
        <c:axId val="166649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980871248"/>
        <c:crosses val="autoZero"/>
        <c:auto val="1"/>
        <c:lblAlgn val="ctr"/>
        <c:lblOffset val="100"/>
        <c:noMultiLvlLbl val="0"/>
      </c:catAx>
      <c:valAx>
        <c:axId val="980871248"/>
        <c:scaling>
          <c:orientation val="minMax"/>
          <c:max val="7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649051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905608055479965"/>
          <c:w val="0.95561111111111163"/>
          <c:h val="0.113166402342320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314713238164824E-2"/>
          <c:y val="3.0301278829508036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65.40499507675564</c:v>
                </c:pt>
                <c:pt idx="1">
                  <c:v>55.823972536403019</c:v>
                </c:pt>
                <c:pt idx="2">
                  <c:v>47.47</c:v>
                </c:pt>
                <c:pt idx="3">
                  <c:v>55</c:v>
                </c:pt>
                <c:pt idx="4">
                  <c:v>63.504589230010019</c:v>
                </c:pt>
                <c:pt idx="5">
                  <c:v>65.508456963654439</c:v>
                </c:pt>
                <c:pt idx="6">
                  <c:v>68.262475244210947</c:v>
                </c:pt>
                <c:pt idx="7">
                  <c:v>68.461066465317415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85.206140462043066</c:v>
                </c:pt>
                <c:pt idx="1">
                  <c:v>85.7871994182306</c:v>
                </c:pt>
                <c:pt idx="2">
                  <c:v>85.966869852893652</c:v>
                </c:pt>
                <c:pt idx="3">
                  <c:v>81.718208436720957</c:v>
                </c:pt>
                <c:pt idx="4">
                  <c:v>84.492567109075878</c:v>
                </c:pt>
                <c:pt idx="5">
                  <c:v>76.514637355678232</c:v>
                </c:pt>
                <c:pt idx="6">
                  <c:v>86.895510884973888</c:v>
                </c:pt>
                <c:pt idx="7">
                  <c:v>85.257617905896566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85.207066287502755</c:v>
                </c:pt>
                <c:pt idx="1">
                  <c:v>81.277269796344726</c:v>
                </c:pt>
                <c:pt idx="2">
                  <c:v>83.50189658181489</c:v>
                </c:pt>
                <c:pt idx="3">
                  <c:v>69.946431583944801</c:v>
                </c:pt>
                <c:pt idx="4">
                  <c:v>69.349319093505713</c:v>
                </c:pt>
                <c:pt idx="5">
                  <c:v>85.765198182508399</c:v>
                </c:pt>
                <c:pt idx="6">
                  <c:v>91.014983361967325</c:v>
                </c:pt>
                <c:pt idx="7">
                  <c:v>71.448938026299601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58.282201774393869</c:v>
                </c:pt>
                <c:pt idx="1">
                  <c:v>52.453629075621755</c:v>
                </c:pt>
                <c:pt idx="2">
                  <c:v>53.930260097282257</c:v>
                </c:pt>
                <c:pt idx="3">
                  <c:v>49.671588259586052</c:v>
                </c:pt>
                <c:pt idx="4">
                  <c:v>44.876474170393443</c:v>
                </c:pt>
                <c:pt idx="5">
                  <c:v>52.364850878462299</c:v>
                </c:pt>
                <c:pt idx="6">
                  <c:v>66.679048222784061</c:v>
                </c:pt>
                <c:pt idx="7">
                  <c:v>66.663100097873155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70704"/>
        <c:axId val="980872880"/>
      </c:lineChart>
      <c:catAx>
        <c:axId val="98087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980872880"/>
        <c:crosses val="autoZero"/>
        <c:auto val="1"/>
        <c:lblAlgn val="ctr"/>
        <c:lblOffset val="100"/>
        <c:noMultiLvlLbl val="0"/>
      </c:catAx>
      <c:valAx>
        <c:axId val="980872880"/>
        <c:scaling>
          <c:orientation val="minMax"/>
          <c:max val="95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98087070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E-2"/>
          <c:y val="0"/>
          <c:w val="0.956799214531186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185.39</c:v>
                </c:pt>
                <c:pt idx="1">
                  <c:v>153.8543311991321</c:v>
                </c:pt>
                <c:pt idx="2">
                  <c:v>162.66999999999999</c:v>
                </c:pt>
                <c:pt idx="3">
                  <c:v>143.11000000000001</c:v>
                </c:pt>
                <c:pt idx="4">
                  <c:v>156.26</c:v>
                </c:pt>
                <c:pt idx="5">
                  <c:v>158.59976724675829</c:v>
                </c:pt>
                <c:pt idx="6">
                  <c:v>168.38</c:v>
                </c:pt>
                <c:pt idx="7">
                  <c:v>184.08565031065797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71792"/>
        <c:axId val="980874512"/>
      </c:barChart>
      <c:catAx>
        <c:axId val="9808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980874512"/>
        <c:crosses val="autoZero"/>
        <c:auto val="1"/>
        <c:lblAlgn val="ctr"/>
        <c:lblOffset val="100"/>
        <c:noMultiLvlLbl val="0"/>
      </c:catAx>
      <c:valAx>
        <c:axId val="980874512"/>
        <c:scaling>
          <c:orientation val="minMax"/>
          <c:max val="42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98087179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899161</xdr:colOff>
      <xdr:row>24</xdr:row>
      <xdr:rowOff>180975</xdr:rowOff>
    </xdr:from>
    <xdr:to>
      <xdr:col>8</xdr:col>
      <xdr:colOff>731521</xdr:colOff>
      <xdr:row>47</xdr:row>
      <xdr:rowOff>9525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708660</xdr:colOff>
      <xdr:row>49</xdr:row>
      <xdr:rowOff>47625</xdr:rowOff>
    </xdr:from>
    <xdr:to>
      <xdr:col>9</xdr:col>
      <xdr:colOff>220981</xdr:colOff>
      <xdr:row>70</xdr:row>
      <xdr:rowOff>85725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83821</xdr:colOff>
      <xdr:row>31</xdr:row>
      <xdr:rowOff>179069</xdr:rowOff>
    </xdr:from>
    <xdr:to>
      <xdr:col>10</xdr:col>
      <xdr:colOff>510541</xdr:colOff>
      <xdr:row>49</xdr:row>
      <xdr:rowOff>43814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8</xdr:col>
      <xdr:colOff>228601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8</xdr:col>
      <xdr:colOff>213360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9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02" bestFit="1" customWidth="1"/>
    <col min="13" max="13" width="7.109375" style="102" customWidth="1"/>
    <col min="14" max="15" width="15.33203125" style="102" bestFit="1" customWidth="1"/>
    <col min="16" max="16" width="7.109375" style="102" customWidth="1"/>
    <col min="17" max="18" width="15.33203125" style="102" bestFit="1" customWidth="1"/>
    <col min="19" max="19" width="7.109375" style="102" customWidth="1"/>
    <col min="20" max="21" width="15.33203125" style="102" bestFit="1" customWidth="1"/>
    <col min="22" max="22" width="7.109375" style="102" customWidth="1"/>
    <col min="23" max="24" width="15.33203125" bestFit="1" customWidth="1"/>
    <col min="25" max="25" width="7.109375" customWidth="1"/>
    <col min="26" max="27" width="8.88671875" style="102"/>
  </cols>
  <sheetData>
    <row r="1" spans="1:27" x14ac:dyDescent="0.3">
      <c r="B1" s="138">
        <v>2016</v>
      </c>
      <c r="C1" s="138"/>
      <c r="D1" s="139"/>
      <c r="E1" s="140">
        <v>2017</v>
      </c>
      <c r="F1" s="141"/>
      <c r="G1" s="142"/>
      <c r="H1" s="140">
        <v>2018</v>
      </c>
      <c r="I1" s="141"/>
      <c r="J1" s="142"/>
      <c r="K1" s="140">
        <v>2019</v>
      </c>
      <c r="L1" s="141"/>
      <c r="M1" s="142"/>
      <c r="N1" s="140">
        <v>2020</v>
      </c>
      <c r="O1" s="141"/>
      <c r="P1" s="142"/>
      <c r="Q1" s="140">
        <v>2021</v>
      </c>
      <c r="R1" s="141"/>
      <c r="S1" s="142"/>
      <c r="T1" s="140">
        <v>2022</v>
      </c>
      <c r="U1" s="141"/>
      <c r="V1" s="142"/>
      <c r="W1" s="140">
        <v>2023</v>
      </c>
      <c r="X1" s="141"/>
      <c r="Y1" s="142"/>
      <c r="Z1" s="137" t="s">
        <v>233</v>
      </c>
      <c r="AA1" s="137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99" t="s">
        <v>74</v>
      </c>
      <c r="J2" s="100" t="s">
        <v>234</v>
      </c>
      <c r="K2" s="21" t="s">
        <v>73</v>
      </c>
      <c r="L2" s="121" t="s">
        <v>74</v>
      </c>
      <c r="M2" s="122" t="s">
        <v>234</v>
      </c>
      <c r="N2" s="21" t="s">
        <v>73</v>
      </c>
      <c r="O2" s="126" t="s">
        <v>74</v>
      </c>
      <c r="P2" s="127" t="s">
        <v>234</v>
      </c>
      <c r="Q2" s="21" t="s">
        <v>73</v>
      </c>
      <c r="R2" s="130" t="s">
        <v>74</v>
      </c>
      <c r="S2" s="131" t="s">
        <v>234</v>
      </c>
      <c r="T2" s="21" t="s">
        <v>73</v>
      </c>
      <c r="U2" s="134" t="s">
        <v>74</v>
      </c>
      <c r="V2" s="135" t="s">
        <v>234</v>
      </c>
      <c r="W2" s="21" t="s">
        <v>73</v>
      </c>
      <c r="X2" s="15" t="s">
        <v>74</v>
      </c>
      <c r="Y2" s="16" t="s">
        <v>234</v>
      </c>
      <c r="Z2" s="111" t="s">
        <v>73</v>
      </c>
      <c r="AA2" s="111" t="s">
        <v>74</v>
      </c>
    </row>
    <row r="3" spans="1:27" x14ac:dyDescent="0.3">
      <c r="A3" t="s">
        <v>20</v>
      </c>
      <c r="B3" s="26">
        <v>149821308.02000001</v>
      </c>
      <c r="C3" s="26">
        <v>99125423.890000001</v>
      </c>
      <c r="D3" s="18">
        <f>IF(B3&gt;0,C3/B3*100,"-")</f>
        <v>66.162433902103899</v>
      </c>
      <c r="E3" s="26">
        <v>148979932.09</v>
      </c>
      <c r="F3" s="26">
        <v>106087583.48999999</v>
      </c>
      <c r="G3" s="18">
        <f>IF(E3&gt;0,F3/E3*100,"-")</f>
        <v>71.209311215091446</v>
      </c>
      <c r="H3" s="17">
        <v>142498595.83000001</v>
      </c>
      <c r="I3" s="17">
        <v>102705469.37</v>
      </c>
      <c r="J3" s="18">
        <f>IF(H3&gt;0,I3/H3*100,"-")</f>
        <v>72.074723804666135</v>
      </c>
      <c r="K3" s="113">
        <v>153367043.16999999</v>
      </c>
      <c r="L3" s="113">
        <v>104582600.23</v>
      </c>
      <c r="M3" s="18">
        <f>IF(K3&gt;0,L3/K3*100,"-")</f>
        <v>68.191052046348204</v>
      </c>
      <c r="N3" s="113">
        <v>138124816.33000001</v>
      </c>
      <c r="O3" s="113">
        <v>85418458.859999999</v>
      </c>
      <c r="P3" s="18">
        <f>IF(N3&gt;0,O3/N3*100,"-")</f>
        <v>61.841500412151163</v>
      </c>
      <c r="Q3" s="113">
        <v>149904864.15000001</v>
      </c>
      <c r="R3" s="113">
        <v>93003930.609999999</v>
      </c>
      <c r="S3" s="18">
        <f>IF(Q3&gt;0,R3/Q3*100,"-")</f>
        <v>62.041969843578279</v>
      </c>
      <c r="T3" s="113">
        <v>156216596.63999999</v>
      </c>
      <c r="U3" s="113">
        <v>104309470.86</v>
      </c>
      <c r="V3" s="18">
        <f>IF(T3&gt;0,U3/T3*100,"-")</f>
        <v>66.772336040824413</v>
      </c>
      <c r="W3" s="113">
        <v>166238329.93000001</v>
      </c>
      <c r="X3" s="113">
        <v>110769566.72</v>
      </c>
      <c r="Y3" s="18">
        <f>IF(W3&gt;0,X3/W3*100,"-")</f>
        <v>66.632988172248304</v>
      </c>
      <c r="Z3" s="105">
        <f>IF(T3&gt;0,W3/T3*100-100,"-")</f>
        <v>6.4152807739724693</v>
      </c>
      <c r="AA3" s="105">
        <f>IF(U3&gt;0,X3/U3*100-100,"-")</f>
        <v>6.1932016400221954</v>
      </c>
    </row>
    <row r="4" spans="1:27" x14ac:dyDescent="0.3">
      <c r="A4" t="s">
        <v>21</v>
      </c>
      <c r="B4" s="26">
        <v>40438637.920000002</v>
      </c>
      <c r="C4" s="26">
        <v>27659758.510000002</v>
      </c>
      <c r="D4" s="18">
        <f t="shared" ref="D4:D21" si="0">IF(B4&gt;0,C4/B4*100,"-")</f>
        <v>68.399332748841516</v>
      </c>
      <c r="E4" s="26">
        <v>40070570.770000003</v>
      </c>
      <c r="F4" s="26">
        <v>29990936.91</v>
      </c>
      <c r="G4" s="18">
        <f t="shared" ref="G4:G21" si="1">IF(E4&gt;0,F4/E4*100,"-")</f>
        <v>74.845295022484649</v>
      </c>
      <c r="H4" s="17">
        <v>38737501.630000003</v>
      </c>
      <c r="I4" s="17">
        <v>32087931.52</v>
      </c>
      <c r="J4" s="18">
        <f t="shared" ref="J4:J13" si="2">IF(H4&gt;0,I4/H4*100,"-")</f>
        <v>82.834282464798164</v>
      </c>
      <c r="K4" s="113">
        <v>49996031.420000002</v>
      </c>
      <c r="L4" s="113">
        <v>31975126.809999999</v>
      </c>
      <c r="M4" s="18">
        <f t="shared" ref="M4:M13" si="3">IF(K4&gt;0,L4/K4*100,"-")</f>
        <v>63.955329856859265</v>
      </c>
      <c r="N4" s="113">
        <v>57258003.619999997</v>
      </c>
      <c r="O4" s="113">
        <v>45553584.049999997</v>
      </c>
      <c r="P4" s="18">
        <f t="shared" ref="P4:P13" si="4">IF(N4&gt;0,O4/N4*100,"-")</f>
        <v>79.558456757106185</v>
      </c>
      <c r="Q4" s="113">
        <v>56854663.770000003</v>
      </c>
      <c r="R4" s="113">
        <v>46986570.859999999</v>
      </c>
      <c r="S4" s="18">
        <f t="shared" ref="S4:S13" si="5">IF(Q4&gt;0,R4/Q4*100,"-")</f>
        <v>82.643300908575569</v>
      </c>
      <c r="T4" s="113">
        <v>62688409.469999999</v>
      </c>
      <c r="U4" s="113">
        <v>38644722.119999997</v>
      </c>
      <c r="V4" s="18">
        <f t="shared" ref="V4:V13" si="6">IF(T4&gt;0,U4/T4*100,"-")</f>
        <v>61.645721189486736</v>
      </c>
      <c r="W4" s="113">
        <v>60892421.270000003</v>
      </c>
      <c r="X4" s="113">
        <v>38982245.369999997</v>
      </c>
      <c r="Y4" s="18">
        <f t="shared" ref="Y4:Y21" si="7">IF(W4&gt;0,X4/W4*100,"-")</f>
        <v>64.01822190178774</v>
      </c>
      <c r="Z4" s="105">
        <f t="shared" ref="Z4:AA55" si="8">IF(T4&gt;0,W4/T4*100-100,"-")</f>
        <v>-2.8649445969106608</v>
      </c>
      <c r="AA4" s="105">
        <f t="shared" si="8"/>
        <v>0.8734006391659932</v>
      </c>
    </row>
    <row r="5" spans="1:27" x14ac:dyDescent="0.3">
      <c r="A5" t="s">
        <v>22</v>
      </c>
      <c r="B5" s="26">
        <v>21310368.010000002</v>
      </c>
      <c r="C5" s="26">
        <v>7855264.96</v>
      </c>
      <c r="D5" s="18">
        <f t="shared" si="0"/>
        <v>36.861235602847756</v>
      </c>
      <c r="E5" s="26">
        <v>39179164.770000003</v>
      </c>
      <c r="F5" s="26">
        <v>10502385.470000001</v>
      </c>
      <c r="G5" s="18">
        <f t="shared" si="1"/>
        <v>26.806047376593934</v>
      </c>
      <c r="H5" s="17">
        <v>91241530.180000007</v>
      </c>
      <c r="I5" s="17">
        <v>70910048.719999999</v>
      </c>
      <c r="J5" s="18">
        <f t="shared" si="2"/>
        <v>77.716856107202119</v>
      </c>
      <c r="K5" s="113">
        <v>18848763.210000001</v>
      </c>
      <c r="L5" s="113">
        <v>10543384.710000001</v>
      </c>
      <c r="M5" s="18">
        <f t="shared" si="3"/>
        <v>55.936745517638663</v>
      </c>
      <c r="N5" s="113">
        <v>25495080.960000001</v>
      </c>
      <c r="O5" s="113">
        <v>7789789.9299999997</v>
      </c>
      <c r="P5" s="18">
        <f t="shared" si="4"/>
        <v>30.554089795681115</v>
      </c>
      <c r="Q5" s="113">
        <v>28646685.690000001</v>
      </c>
      <c r="R5" s="113">
        <v>8970566.0299999993</v>
      </c>
      <c r="S5" s="18">
        <f t="shared" si="5"/>
        <v>31.314498741931075</v>
      </c>
      <c r="T5" s="113">
        <v>32869255.93</v>
      </c>
      <c r="U5" s="113">
        <v>16391089.52</v>
      </c>
      <c r="V5" s="18">
        <f t="shared" si="6"/>
        <v>49.867540521474773</v>
      </c>
      <c r="W5" s="113">
        <v>43866569.460000001</v>
      </c>
      <c r="X5" s="113">
        <v>19351386.59</v>
      </c>
      <c r="Y5" s="18">
        <f t="shared" si="7"/>
        <v>44.114200923885058</v>
      </c>
      <c r="Z5" s="105">
        <f t="shared" si="8"/>
        <v>33.457750164531944</v>
      </c>
      <c r="AA5" s="105">
        <f t="shared" si="8"/>
        <v>18.060404504459072</v>
      </c>
    </row>
    <row r="6" spans="1:27" x14ac:dyDescent="0.3">
      <c r="A6" t="s">
        <v>23</v>
      </c>
      <c r="B6" s="26">
        <v>0</v>
      </c>
      <c r="C6" s="26">
        <v>0</v>
      </c>
      <c r="D6" s="18" t="str">
        <f t="shared" si="0"/>
        <v>-</v>
      </c>
      <c r="E6" s="26">
        <v>0</v>
      </c>
      <c r="F6" s="26">
        <v>0</v>
      </c>
      <c r="G6" s="18" t="str">
        <f t="shared" si="1"/>
        <v>-</v>
      </c>
      <c r="H6" s="17">
        <v>0</v>
      </c>
      <c r="I6" s="17">
        <v>0</v>
      </c>
      <c r="J6" s="18" t="str">
        <f t="shared" si="2"/>
        <v>-</v>
      </c>
      <c r="K6" s="113">
        <v>0</v>
      </c>
      <c r="L6" s="113">
        <v>0</v>
      </c>
      <c r="M6" s="18" t="str">
        <f t="shared" si="3"/>
        <v>-</v>
      </c>
      <c r="N6" s="113">
        <v>0</v>
      </c>
      <c r="O6" s="113">
        <v>0</v>
      </c>
      <c r="P6" s="18" t="str">
        <f t="shared" si="4"/>
        <v>-</v>
      </c>
      <c r="Q6" s="113">
        <v>0</v>
      </c>
      <c r="R6" s="113">
        <v>0</v>
      </c>
      <c r="S6" s="18" t="str">
        <f t="shared" si="5"/>
        <v>-</v>
      </c>
      <c r="T6" s="113">
        <v>0</v>
      </c>
      <c r="U6" s="113">
        <v>0</v>
      </c>
      <c r="V6" s="18" t="str">
        <f t="shared" si="6"/>
        <v>-</v>
      </c>
      <c r="W6" s="113">
        <v>0</v>
      </c>
      <c r="X6" s="113">
        <v>0</v>
      </c>
      <c r="Y6" s="18" t="str">
        <f t="shared" si="7"/>
        <v>-</v>
      </c>
      <c r="Z6" s="105" t="str">
        <f t="shared" si="8"/>
        <v>-</v>
      </c>
      <c r="AA6" s="105" t="str">
        <f t="shared" si="8"/>
        <v>-</v>
      </c>
    </row>
    <row r="7" spans="1:27" x14ac:dyDescent="0.3">
      <c r="A7" t="s">
        <v>24</v>
      </c>
      <c r="B7" s="26">
        <v>15028742.65</v>
      </c>
      <c r="C7" s="26">
        <v>2352409.02</v>
      </c>
      <c r="D7" s="18">
        <f t="shared" si="0"/>
        <v>15.652733397494167</v>
      </c>
      <c r="E7" s="26">
        <v>3930173.35</v>
      </c>
      <c r="F7" s="26">
        <v>723365.56</v>
      </c>
      <c r="G7" s="18">
        <f t="shared" si="1"/>
        <v>18.405436493023902</v>
      </c>
      <c r="H7" s="17">
        <v>4305173.1900000004</v>
      </c>
      <c r="I7" s="17">
        <v>261592.13</v>
      </c>
      <c r="J7" s="18">
        <f t="shared" si="2"/>
        <v>6.0762277951470747</v>
      </c>
      <c r="K7" s="113">
        <v>40193843.609999999</v>
      </c>
      <c r="L7" s="113">
        <v>954487.94</v>
      </c>
      <c r="M7" s="18">
        <f t="shared" si="3"/>
        <v>2.3747117823848249</v>
      </c>
      <c r="N7" s="113">
        <v>30021521.350000001</v>
      </c>
      <c r="O7" s="113">
        <v>3983390.74</v>
      </c>
      <c r="P7" s="18">
        <f t="shared" si="4"/>
        <v>13.26845063433136</v>
      </c>
      <c r="Q7" s="113">
        <v>13465915.52</v>
      </c>
      <c r="R7" s="113">
        <v>2941367.79</v>
      </c>
      <c r="S7" s="18">
        <f t="shared" si="5"/>
        <v>21.843058391621337</v>
      </c>
      <c r="T7" s="113">
        <v>46974121.780000001</v>
      </c>
      <c r="U7" s="113">
        <v>41296419.710000001</v>
      </c>
      <c r="V7" s="18">
        <f t="shared" si="6"/>
        <v>87.913127792806605</v>
      </c>
      <c r="W7" s="113">
        <v>48732321.479999997</v>
      </c>
      <c r="X7" s="113">
        <v>17007404.010000002</v>
      </c>
      <c r="Y7" s="18">
        <f t="shared" si="7"/>
        <v>34.899638460646557</v>
      </c>
      <c r="Z7" s="105">
        <f t="shared" si="8"/>
        <v>3.7429112740721422</v>
      </c>
      <c r="AA7" s="105">
        <f t="shared" si="8"/>
        <v>-58.816274801949412</v>
      </c>
    </row>
    <row r="8" spans="1:27" x14ac:dyDescent="0.3">
      <c r="A8" t="s">
        <v>25</v>
      </c>
      <c r="B8" s="26">
        <v>4129587</v>
      </c>
      <c r="C8" s="26">
        <v>250000</v>
      </c>
      <c r="D8" s="18">
        <f t="shared" si="0"/>
        <v>6.0538741525484268</v>
      </c>
      <c r="E8" s="26">
        <v>2800522.57</v>
      </c>
      <c r="F8" s="26">
        <v>1050069.94</v>
      </c>
      <c r="G8" s="18">
        <f t="shared" si="1"/>
        <v>37.495499991631917</v>
      </c>
      <c r="H8" s="17">
        <v>2498150.33</v>
      </c>
      <c r="I8" s="17">
        <v>2424163.23</v>
      </c>
      <c r="J8" s="18">
        <f t="shared" si="2"/>
        <v>97.038324751257051</v>
      </c>
      <c r="K8" s="113">
        <v>4496920.01</v>
      </c>
      <c r="L8" s="113">
        <v>0</v>
      </c>
      <c r="M8" s="18">
        <f t="shared" si="3"/>
        <v>0</v>
      </c>
      <c r="N8" s="113">
        <v>1912718.82</v>
      </c>
      <c r="O8" s="113">
        <v>1041756.8</v>
      </c>
      <c r="P8" s="18">
        <f t="shared" si="4"/>
        <v>54.464712173428609</v>
      </c>
      <c r="Q8" s="113">
        <v>4727671.18</v>
      </c>
      <c r="R8" s="113">
        <v>50024.85</v>
      </c>
      <c r="S8" s="18">
        <f t="shared" si="5"/>
        <v>1.0581287931281211</v>
      </c>
      <c r="T8" s="113">
        <v>859731.23</v>
      </c>
      <c r="U8" s="113">
        <v>180757.76000000001</v>
      </c>
      <c r="V8" s="18">
        <f t="shared" si="6"/>
        <v>21.024914960923311</v>
      </c>
      <c r="W8" s="113">
        <v>428871.11</v>
      </c>
      <c r="X8" s="113">
        <v>0</v>
      </c>
      <c r="Y8" s="18">
        <f t="shared" si="7"/>
        <v>0</v>
      </c>
      <c r="Z8" s="105">
        <f t="shared" si="8"/>
        <v>-50.115676267802904</v>
      </c>
      <c r="AA8" s="105">
        <f t="shared" si="8"/>
        <v>-100</v>
      </c>
    </row>
    <row r="9" spans="1:27" x14ac:dyDescent="0.3">
      <c r="A9" t="s">
        <v>26</v>
      </c>
      <c r="B9" s="26">
        <v>482254.18</v>
      </c>
      <c r="C9" s="26">
        <v>435972.38</v>
      </c>
      <c r="D9" s="18">
        <f t="shared" si="0"/>
        <v>90.403027714555009</v>
      </c>
      <c r="E9" s="26">
        <v>873629.7</v>
      </c>
      <c r="F9" s="26">
        <v>471078.1</v>
      </c>
      <c r="G9" s="18">
        <f t="shared" si="1"/>
        <v>53.921941985259892</v>
      </c>
      <c r="H9" s="17">
        <v>616313.75</v>
      </c>
      <c r="I9" s="17">
        <v>390753.24</v>
      </c>
      <c r="J9" s="18">
        <f t="shared" si="2"/>
        <v>63.401674877446759</v>
      </c>
      <c r="K9" s="113">
        <v>415494</v>
      </c>
      <c r="L9" s="113">
        <v>330212.36</v>
      </c>
      <c r="M9" s="18">
        <f t="shared" si="3"/>
        <v>79.474639826327206</v>
      </c>
      <c r="N9" s="113">
        <v>721211.91</v>
      </c>
      <c r="O9" s="113">
        <v>195647.43</v>
      </c>
      <c r="P9" s="18">
        <f t="shared" si="4"/>
        <v>27.127592776442082</v>
      </c>
      <c r="Q9" s="113">
        <v>951049.13</v>
      </c>
      <c r="R9" s="113">
        <v>941857.7</v>
      </c>
      <c r="S9" s="18">
        <f t="shared" si="5"/>
        <v>99.033548350966896</v>
      </c>
      <c r="T9" s="113">
        <v>694850.31</v>
      </c>
      <c r="U9" s="113">
        <v>539163.88</v>
      </c>
      <c r="V9" s="18">
        <f t="shared" si="6"/>
        <v>77.594249040487568</v>
      </c>
      <c r="W9" s="113">
        <v>500089.84</v>
      </c>
      <c r="X9" s="113">
        <v>482019.84000000003</v>
      </c>
      <c r="Y9" s="18">
        <f t="shared" si="7"/>
        <v>96.386649246863314</v>
      </c>
      <c r="Z9" s="105">
        <f t="shared" si="8"/>
        <v>-28.029126158121741</v>
      </c>
      <c r="AA9" s="105">
        <f t="shared" si="8"/>
        <v>-10.598640250159193</v>
      </c>
    </row>
    <row r="10" spans="1:27" x14ac:dyDescent="0.3">
      <c r="A10" t="s">
        <v>27</v>
      </c>
      <c r="B10" s="26">
        <v>3473670.78</v>
      </c>
      <c r="C10" s="26">
        <v>2877990.66</v>
      </c>
      <c r="D10" s="18">
        <f t="shared" si="0"/>
        <v>82.851566607011634</v>
      </c>
      <c r="E10" s="26">
        <v>6052754.9800000004</v>
      </c>
      <c r="F10" s="26">
        <v>5653228.3399999999</v>
      </c>
      <c r="G10" s="18">
        <f t="shared" si="1"/>
        <v>93.399259654155031</v>
      </c>
      <c r="H10" s="17">
        <v>3460424.27</v>
      </c>
      <c r="I10" s="17">
        <v>2848605.83</v>
      </c>
      <c r="J10" s="18">
        <f t="shared" si="2"/>
        <v>82.319554127968246</v>
      </c>
      <c r="K10" s="113">
        <v>3692370.39</v>
      </c>
      <c r="L10" s="113">
        <v>3134275.25</v>
      </c>
      <c r="M10" s="18">
        <f t="shared" si="3"/>
        <v>84.885179950757859</v>
      </c>
      <c r="N10" s="113">
        <v>3174487.98</v>
      </c>
      <c r="O10" s="113">
        <v>2339009.25</v>
      </c>
      <c r="P10" s="18">
        <f t="shared" si="4"/>
        <v>73.681465002743522</v>
      </c>
      <c r="Q10" s="113">
        <v>3914006.97</v>
      </c>
      <c r="R10" s="113">
        <v>3266281.3</v>
      </c>
      <c r="S10" s="18">
        <f t="shared" si="5"/>
        <v>83.45108542307986</v>
      </c>
      <c r="T10" s="113">
        <v>5200709.1500000004</v>
      </c>
      <c r="U10" s="113">
        <v>4702747.16</v>
      </c>
      <c r="V10" s="18">
        <f t="shared" si="6"/>
        <v>90.425113659740035</v>
      </c>
      <c r="W10" s="113">
        <v>3527805.73</v>
      </c>
      <c r="X10" s="113">
        <v>3238276.17</v>
      </c>
      <c r="Y10" s="18">
        <f t="shared" si="7"/>
        <v>91.792927894586754</v>
      </c>
      <c r="Z10" s="105">
        <f t="shared" si="8"/>
        <v>-32.166832863552855</v>
      </c>
      <c r="AA10" s="105">
        <f t="shared" si="8"/>
        <v>-31.140755396256509</v>
      </c>
    </row>
    <row r="11" spans="1:27" x14ac:dyDescent="0.3">
      <c r="A11" t="s">
        <v>28</v>
      </c>
      <c r="B11" s="26">
        <v>0</v>
      </c>
      <c r="C11" s="26">
        <v>0</v>
      </c>
      <c r="D11" s="18" t="str">
        <f t="shared" si="0"/>
        <v>-</v>
      </c>
      <c r="E11" s="26">
        <v>0</v>
      </c>
      <c r="F11" s="26">
        <v>0</v>
      </c>
      <c r="G11" s="18" t="str">
        <f t="shared" si="1"/>
        <v>-</v>
      </c>
      <c r="H11" s="17">
        <v>0</v>
      </c>
      <c r="I11" s="17">
        <v>0</v>
      </c>
      <c r="J11" s="18" t="str">
        <f t="shared" si="2"/>
        <v>-</v>
      </c>
      <c r="K11" s="113">
        <v>0</v>
      </c>
      <c r="L11" s="113">
        <v>0</v>
      </c>
      <c r="M11" s="18" t="str">
        <f t="shared" si="3"/>
        <v>-</v>
      </c>
      <c r="N11" s="113">
        <v>0</v>
      </c>
      <c r="O11" s="113">
        <v>0</v>
      </c>
      <c r="P11" s="18" t="str">
        <f t="shared" si="4"/>
        <v>-</v>
      </c>
      <c r="Q11" s="113">
        <v>0</v>
      </c>
      <c r="R11" s="113">
        <v>0</v>
      </c>
      <c r="S11" s="18" t="str">
        <f t="shared" si="5"/>
        <v>-</v>
      </c>
      <c r="T11" s="113">
        <v>0</v>
      </c>
      <c r="U11" s="113">
        <v>0</v>
      </c>
      <c r="V11" s="18" t="str">
        <f t="shared" si="6"/>
        <v>-</v>
      </c>
      <c r="W11" s="113">
        <v>0</v>
      </c>
      <c r="X11" s="113">
        <v>0</v>
      </c>
      <c r="Y11" s="18" t="str">
        <f t="shared" si="7"/>
        <v>-</v>
      </c>
      <c r="Z11" s="105" t="str">
        <f t="shared" si="8"/>
        <v>-</v>
      </c>
      <c r="AA11" s="105" t="str">
        <f t="shared" si="8"/>
        <v>-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26">
        <v>0</v>
      </c>
      <c r="F12" s="26">
        <v>0</v>
      </c>
      <c r="G12" s="18" t="str">
        <f t="shared" si="1"/>
        <v>-</v>
      </c>
      <c r="H12" s="17">
        <v>0</v>
      </c>
      <c r="I12" s="17">
        <v>0</v>
      </c>
      <c r="J12" s="18" t="str">
        <f t="shared" si="2"/>
        <v>-</v>
      </c>
      <c r="K12" s="113">
        <v>0</v>
      </c>
      <c r="L12" s="113">
        <v>0</v>
      </c>
      <c r="M12" s="18" t="str">
        <f t="shared" si="3"/>
        <v>-</v>
      </c>
      <c r="N12" s="113">
        <v>0</v>
      </c>
      <c r="O12" s="113">
        <v>0</v>
      </c>
      <c r="P12" s="18" t="str">
        <f t="shared" si="4"/>
        <v>-</v>
      </c>
      <c r="Q12" s="113">
        <v>0</v>
      </c>
      <c r="R12" s="113">
        <v>0</v>
      </c>
      <c r="S12" s="18" t="str">
        <f t="shared" si="5"/>
        <v>-</v>
      </c>
      <c r="T12" s="113">
        <v>0</v>
      </c>
      <c r="U12" s="113">
        <v>0</v>
      </c>
      <c r="V12" s="18" t="str">
        <f t="shared" si="6"/>
        <v>-</v>
      </c>
      <c r="W12" s="113">
        <v>2500000</v>
      </c>
      <c r="X12" s="113">
        <v>2500000</v>
      </c>
      <c r="Y12" s="18">
        <f t="shared" si="7"/>
        <v>100</v>
      </c>
      <c r="Z12" s="105" t="str">
        <f t="shared" si="8"/>
        <v>-</v>
      </c>
      <c r="AA12" s="105" t="str">
        <f t="shared" si="8"/>
        <v>-</v>
      </c>
    </row>
    <row r="13" spans="1:27" x14ac:dyDescent="0.3">
      <c r="A13" t="s">
        <v>30</v>
      </c>
      <c r="B13" s="26">
        <v>0</v>
      </c>
      <c r="C13" s="26">
        <v>0</v>
      </c>
      <c r="D13" s="18" t="str">
        <f t="shared" si="0"/>
        <v>-</v>
      </c>
      <c r="E13" s="26">
        <v>0</v>
      </c>
      <c r="F13" s="26">
        <v>0</v>
      </c>
      <c r="G13" s="18" t="str">
        <f t="shared" si="1"/>
        <v>-</v>
      </c>
      <c r="H13" s="17">
        <v>0</v>
      </c>
      <c r="I13" s="17">
        <v>0</v>
      </c>
      <c r="J13" s="18" t="str">
        <f t="shared" si="2"/>
        <v>-</v>
      </c>
      <c r="K13" s="113">
        <v>0</v>
      </c>
      <c r="L13" s="113">
        <v>0</v>
      </c>
      <c r="M13" s="18" t="str">
        <f t="shared" si="3"/>
        <v>-</v>
      </c>
      <c r="N13" s="113">
        <v>0</v>
      </c>
      <c r="O13" s="113">
        <v>0</v>
      </c>
      <c r="P13" s="18" t="str">
        <f t="shared" si="4"/>
        <v>-</v>
      </c>
      <c r="Q13" s="113">
        <v>0</v>
      </c>
      <c r="R13" s="113">
        <v>0</v>
      </c>
      <c r="S13" s="18" t="str">
        <f t="shared" si="5"/>
        <v>-</v>
      </c>
      <c r="T13" s="113">
        <v>0</v>
      </c>
      <c r="U13" s="113">
        <v>0</v>
      </c>
      <c r="V13" s="18" t="str">
        <f t="shared" si="6"/>
        <v>-</v>
      </c>
      <c r="W13" s="113">
        <v>0</v>
      </c>
      <c r="X13" s="113">
        <v>0</v>
      </c>
      <c r="Y13" s="18" t="str">
        <f t="shared" si="7"/>
        <v>-</v>
      </c>
      <c r="Z13" s="105" t="str">
        <f t="shared" si="8"/>
        <v>-</v>
      </c>
      <c r="AA13" s="105" t="str">
        <f t="shared" si="8"/>
        <v>-</v>
      </c>
    </row>
    <row r="14" spans="1:27" x14ac:dyDescent="0.3">
      <c r="A14" t="s">
        <v>31</v>
      </c>
      <c r="B14" s="26">
        <f>SUM(B3:B5)</f>
        <v>211570313.94999999</v>
      </c>
      <c r="C14" s="26">
        <f>SUM(C3:C5)</f>
        <v>134640447.36000001</v>
      </c>
      <c r="D14" s="18">
        <f>IF(B14&gt;0,C14/B14*100,"-")</f>
        <v>63.638629090383326</v>
      </c>
      <c r="E14" s="26">
        <f>SUM(E3:E5)</f>
        <v>228229667.63000003</v>
      </c>
      <c r="F14" s="26">
        <f>SUM(F3:F5)</f>
        <v>146580905.87</v>
      </c>
      <c r="G14" s="18">
        <f>IF(E14&gt;0,F14/E14*100,"-")</f>
        <v>64.225176065906183</v>
      </c>
      <c r="H14" s="17">
        <f>SUM(H3:H5)</f>
        <v>272477627.63999999</v>
      </c>
      <c r="I14" s="17">
        <f>SUM(I3:I5)</f>
        <v>205703449.61000001</v>
      </c>
      <c r="J14" s="18">
        <f t="shared" ref="J14:J21" si="9">IF(H14&gt;0,I14/H14*100,"-")</f>
        <v>75.493702507487086</v>
      </c>
      <c r="K14" s="113">
        <v>222211837.79999998</v>
      </c>
      <c r="L14" s="113">
        <v>147101111.75</v>
      </c>
      <c r="M14" s="18">
        <f>IF(K14&gt;0,L14/K14*100,"-")</f>
        <v>66.198593741165666</v>
      </c>
      <c r="N14" s="113">
        <f t="shared" ref="N14:O14" si="10">SUM(N3:N5)</f>
        <v>220877900.91000003</v>
      </c>
      <c r="O14" s="113">
        <f t="shared" si="10"/>
        <v>138761832.84</v>
      </c>
      <c r="P14" s="18">
        <f>IF(N14&gt;0,O14/N14*100,"-")</f>
        <v>62.822868321507897</v>
      </c>
      <c r="Q14" s="113">
        <f t="shared" ref="Q14:R14" si="11">SUM(Q3:Q5)</f>
        <v>235406213.61000001</v>
      </c>
      <c r="R14" s="113">
        <f t="shared" si="11"/>
        <v>148961067.5</v>
      </c>
      <c r="S14" s="18">
        <f>IF(Q14&gt;0,R14/Q14*100,"-")</f>
        <v>63.278307405591846</v>
      </c>
      <c r="T14" s="113">
        <f t="shared" ref="T14:U14" si="12">SUM(T3:T5)</f>
        <v>251774262.03999999</v>
      </c>
      <c r="U14" s="113">
        <f t="shared" si="12"/>
        <v>159345282.5</v>
      </c>
      <c r="V14" s="18">
        <f>IF(T14&gt;0,U14/T14*100,"-")</f>
        <v>63.288948286018375</v>
      </c>
      <c r="W14" s="113">
        <v>270997320.66000003</v>
      </c>
      <c r="X14" s="113">
        <v>169103198.68000001</v>
      </c>
      <c r="Y14" s="18">
        <f>IF(W14&gt;0,X14/W14*100,"-")</f>
        <v>62.400321253419733</v>
      </c>
      <c r="Z14" s="105">
        <f t="shared" si="8"/>
        <v>7.6350372211382052</v>
      </c>
      <c r="AA14" s="105">
        <f t="shared" si="8"/>
        <v>6.1237559260657832</v>
      </c>
    </row>
    <row r="15" spans="1:27" x14ac:dyDescent="0.3">
      <c r="A15" t="s">
        <v>32</v>
      </c>
      <c r="B15" s="25">
        <f>SUM(B6:B10)</f>
        <v>23114254.609999999</v>
      </c>
      <c r="C15" s="25">
        <f>SUM(C6:C10)</f>
        <v>5916372.0600000005</v>
      </c>
      <c r="D15" s="18">
        <f>IF(B15&gt;0,C15/B15*100,"-")</f>
        <v>25.596205284683421</v>
      </c>
      <c r="E15" s="25">
        <f>SUM(E6:E10)</f>
        <v>13657080.600000001</v>
      </c>
      <c r="F15" s="25">
        <f>SUM(F6:F10)</f>
        <v>7897741.9399999995</v>
      </c>
      <c r="G15" s="18">
        <f>IF(E15&gt;0,F15/E15*100,"-")</f>
        <v>57.828917989983886</v>
      </c>
      <c r="H15" s="95">
        <f>SUM(H6:H10)</f>
        <v>10880061.540000001</v>
      </c>
      <c r="I15" s="95">
        <f>SUM(I6:I10)</f>
        <v>5925114.4299999997</v>
      </c>
      <c r="J15" s="18">
        <f t="shared" si="9"/>
        <v>54.458464303870102</v>
      </c>
      <c r="K15" s="114">
        <v>48798628.009999998</v>
      </c>
      <c r="L15" s="114">
        <v>4418975.55</v>
      </c>
      <c r="M15" s="18">
        <f>IF(K15&gt;0,L15/K15*100,"-")</f>
        <v>9.0555323586032923</v>
      </c>
      <c r="N15" s="114">
        <f t="shared" ref="N15:O15" si="13">SUM(N6:N10)</f>
        <v>35829940.060000002</v>
      </c>
      <c r="O15" s="114">
        <f t="shared" si="13"/>
        <v>7559804.2199999997</v>
      </c>
      <c r="P15" s="18">
        <f>IF(N15&gt;0,O15/N15*100,"-")</f>
        <v>21.099126058655202</v>
      </c>
      <c r="Q15" s="114">
        <f t="shared" ref="Q15:R15" si="14">SUM(Q6:Q10)</f>
        <v>23058642.799999997</v>
      </c>
      <c r="R15" s="114">
        <f t="shared" si="14"/>
        <v>7199531.6399999997</v>
      </c>
      <c r="S15" s="18">
        <f>IF(Q15&gt;0,R15/Q15*100,"-")</f>
        <v>31.222703358759695</v>
      </c>
      <c r="T15" s="114">
        <f t="shared" ref="T15:U15" si="15">SUM(T6:T10)</f>
        <v>53729412.469999999</v>
      </c>
      <c r="U15" s="114">
        <f t="shared" si="15"/>
        <v>46719088.510000005</v>
      </c>
      <c r="V15" s="18">
        <f>IF(T15&gt;0,U15/T15*100,"-")</f>
        <v>86.952539330456602</v>
      </c>
      <c r="W15" s="114">
        <v>53189088.159999996</v>
      </c>
      <c r="X15" s="114">
        <v>20727700.020000003</v>
      </c>
      <c r="Y15" s="18">
        <f>IF(W15&gt;0,X15/W15*100,"-")</f>
        <v>38.969835236972415</v>
      </c>
      <c r="Z15" s="105">
        <f t="shared" si="8"/>
        <v>-1.0056397141913465</v>
      </c>
      <c r="AA15" s="105">
        <f t="shared" si="8"/>
        <v>-55.633338147075932</v>
      </c>
    </row>
    <row r="16" spans="1:27" x14ac:dyDescent="0.3">
      <c r="A16" t="s">
        <v>33</v>
      </c>
      <c r="B16" s="26">
        <f>SUM(B11:B13)</f>
        <v>0</v>
      </c>
      <c r="C16" s="26">
        <f>SUM(C11:C13)</f>
        <v>0</v>
      </c>
      <c r="D16" s="18" t="str">
        <f t="shared" si="0"/>
        <v>-</v>
      </c>
      <c r="E16" s="26">
        <f>SUM(E11:E13)</f>
        <v>0</v>
      </c>
      <c r="F16" s="26">
        <f>SUM(F11:F13)</f>
        <v>0</v>
      </c>
      <c r="G16" s="18" t="str">
        <f t="shared" si="1"/>
        <v>-</v>
      </c>
      <c r="H16" s="17">
        <f>SUM(H11:H13)</f>
        <v>0</v>
      </c>
      <c r="I16" s="17">
        <f>SUM(I11:I13)</f>
        <v>0</v>
      </c>
      <c r="J16" s="18" t="str">
        <f t="shared" si="9"/>
        <v>-</v>
      </c>
      <c r="K16" s="113">
        <v>0</v>
      </c>
      <c r="L16" s="113">
        <v>0</v>
      </c>
      <c r="M16" s="18" t="str">
        <f t="shared" ref="M16:M21" si="16">IF(K16&gt;0,L16/K16*100,"-")</f>
        <v>-</v>
      </c>
      <c r="N16" s="113">
        <f t="shared" ref="N16:O16" si="17">SUM(N11:N13)</f>
        <v>0</v>
      </c>
      <c r="O16" s="113">
        <f t="shared" si="17"/>
        <v>0</v>
      </c>
      <c r="P16" s="18" t="str">
        <f t="shared" ref="P16:P21" si="18">IF(N16&gt;0,O16/N16*100,"-")</f>
        <v>-</v>
      </c>
      <c r="Q16" s="113">
        <f t="shared" ref="Q16:R16" si="19">SUM(Q11:Q13)</f>
        <v>0</v>
      </c>
      <c r="R16" s="113">
        <f t="shared" si="19"/>
        <v>0</v>
      </c>
      <c r="S16" s="18" t="str">
        <f t="shared" ref="S16:S21" si="20">IF(Q16&gt;0,R16/Q16*100,"-")</f>
        <v>-</v>
      </c>
      <c r="T16" s="113">
        <f t="shared" ref="T16:U16" si="21">SUM(T11:T13)</f>
        <v>0</v>
      </c>
      <c r="U16" s="113">
        <f t="shared" si="21"/>
        <v>0</v>
      </c>
      <c r="V16" s="18" t="str">
        <f t="shared" ref="V16:V21" si="22">IF(T16&gt;0,U16/T16*100,"-")</f>
        <v>-</v>
      </c>
      <c r="W16" s="113">
        <v>2500000</v>
      </c>
      <c r="X16" s="113">
        <v>2500000</v>
      </c>
      <c r="Y16" s="18">
        <f t="shared" si="7"/>
        <v>100</v>
      </c>
      <c r="Z16" s="105" t="str">
        <f t="shared" si="8"/>
        <v>-</v>
      </c>
      <c r="AA16" s="105" t="str">
        <f t="shared" si="8"/>
        <v>-</v>
      </c>
    </row>
    <row r="17" spans="1:27" x14ac:dyDescent="0.3">
      <c r="A17" t="s">
        <v>34</v>
      </c>
      <c r="B17" s="26">
        <v>0</v>
      </c>
      <c r="C17" s="26">
        <v>0</v>
      </c>
      <c r="D17" s="18" t="str">
        <f t="shared" si="0"/>
        <v>-</v>
      </c>
      <c r="E17" s="26">
        <v>3000000</v>
      </c>
      <c r="F17" s="26">
        <v>3000000</v>
      </c>
      <c r="G17" s="18">
        <f t="shared" si="1"/>
        <v>100</v>
      </c>
      <c r="H17" s="17">
        <v>0</v>
      </c>
      <c r="I17" s="17">
        <v>0</v>
      </c>
      <c r="J17" s="18" t="str">
        <f t="shared" si="9"/>
        <v>-</v>
      </c>
      <c r="K17" s="113">
        <v>3387941.46</v>
      </c>
      <c r="L17" s="113">
        <v>0</v>
      </c>
      <c r="M17" s="18">
        <f t="shared" si="16"/>
        <v>0</v>
      </c>
      <c r="N17" s="113">
        <v>10306286.98</v>
      </c>
      <c r="O17" s="113">
        <v>0</v>
      </c>
      <c r="P17" s="18">
        <f t="shared" si="18"/>
        <v>0</v>
      </c>
      <c r="Q17" s="113">
        <v>2881018.59</v>
      </c>
      <c r="R17" s="113">
        <v>0</v>
      </c>
      <c r="S17" s="18">
        <f t="shared" si="20"/>
        <v>0</v>
      </c>
      <c r="T17" s="1">
        <v>7509637.1299999999</v>
      </c>
      <c r="U17" s="1">
        <v>2598872.7000000002</v>
      </c>
      <c r="V17" s="18">
        <f t="shared" si="22"/>
        <v>34.607167497053219</v>
      </c>
      <c r="W17" s="1">
        <v>2333988.7400000002</v>
      </c>
      <c r="X17" s="1">
        <v>1320750.05</v>
      </c>
      <c r="Y17" s="18">
        <f t="shared" si="7"/>
        <v>56.587678739187062</v>
      </c>
      <c r="Z17" s="105">
        <f t="shared" si="8"/>
        <v>-68.920086289175998</v>
      </c>
      <c r="AA17" s="105">
        <f t="shared" si="8"/>
        <v>-49.179886725502172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26">
        <v>0</v>
      </c>
      <c r="F18" s="26">
        <v>0</v>
      </c>
      <c r="G18" s="18" t="str">
        <f t="shared" si="1"/>
        <v>-</v>
      </c>
      <c r="H18" s="17">
        <v>0</v>
      </c>
      <c r="I18" s="17">
        <v>0</v>
      </c>
      <c r="J18" s="18" t="str">
        <f t="shared" si="9"/>
        <v>-</v>
      </c>
      <c r="K18" s="113">
        <v>0</v>
      </c>
      <c r="L18" s="113">
        <v>0</v>
      </c>
      <c r="M18" s="18" t="str">
        <f t="shared" si="16"/>
        <v>-</v>
      </c>
      <c r="N18" s="113">
        <v>0</v>
      </c>
      <c r="O18" s="113">
        <v>0</v>
      </c>
      <c r="P18" s="18" t="str">
        <f t="shared" si="18"/>
        <v>-</v>
      </c>
      <c r="Q18" s="113">
        <v>0</v>
      </c>
      <c r="R18" s="113">
        <v>0</v>
      </c>
      <c r="S18" s="18" t="str">
        <f t="shared" si="20"/>
        <v>-</v>
      </c>
      <c r="T18" s="113">
        <v>0</v>
      </c>
      <c r="U18" s="113">
        <v>0</v>
      </c>
      <c r="V18" s="18" t="str">
        <f t="shared" si="22"/>
        <v>-</v>
      </c>
      <c r="W18" s="113">
        <v>0</v>
      </c>
      <c r="X18" s="113">
        <v>0</v>
      </c>
      <c r="Y18" s="18" t="str">
        <f t="shared" si="7"/>
        <v>-</v>
      </c>
      <c r="Z18" s="105" t="str">
        <f t="shared" si="8"/>
        <v>-</v>
      </c>
      <c r="AA18" s="105" t="str">
        <f t="shared" si="8"/>
        <v>-</v>
      </c>
    </row>
    <row r="19" spans="1:27" x14ac:dyDescent="0.3">
      <c r="A19" t="s">
        <v>36</v>
      </c>
      <c r="B19" s="26">
        <v>26411135.219999999</v>
      </c>
      <c r="C19" s="26">
        <v>26241121.879999999</v>
      </c>
      <c r="D19" s="18">
        <f t="shared" si="0"/>
        <v>99.356281588868413</v>
      </c>
      <c r="E19" s="26">
        <v>31345868.859999999</v>
      </c>
      <c r="F19" s="26">
        <v>23711469.98</v>
      </c>
      <c r="G19" s="18">
        <f t="shared" si="1"/>
        <v>75.64464103994851</v>
      </c>
      <c r="H19" s="17">
        <v>24757322.050000001</v>
      </c>
      <c r="I19" s="17">
        <v>24672608.57</v>
      </c>
      <c r="J19" s="18">
        <f t="shared" si="9"/>
        <v>99.657824542456922</v>
      </c>
      <c r="K19" s="113">
        <v>32528926.920000002</v>
      </c>
      <c r="L19" s="113">
        <v>26002509.440000001</v>
      </c>
      <c r="M19" s="18">
        <f t="shared" si="16"/>
        <v>79.936573081396929</v>
      </c>
      <c r="N19" s="113">
        <v>32557024.379999999</v>
      </c>
      <c r="O19" s="113">
        <v>24836887.91</v>
      </c>
      <c r="P19" s="18">
        <f t="shared" si="18"/>
        <v>76.28734008399573</v>
      </c>
      <c r="Q19" s="113">
        <v>28547878.399999999</v>
      </c>
      <c r="R19" s="113">
        <v>26184918.25</v>
      </c>
      <c r="S19" s="18">
        <f t="shared" si="20"/>
        <v>91.722816957213894</v>
      </c>
      <c r="T19" s="1">
        <v>28684286.800000001</v>
      </c>
      <c r="U19" s="1">
        <v>28560682.969999999</v>
      </c>
      <c r="V19" s="18">
        <f t="shared" si="22"/>
        <v>99.569088710966298</v>
      </c>
      <c r="W19" s="1">
        <v>36017510.020000003</v>
      </c>
      <c r="X19" s="1">
        <v>35922167.390000001</v>
      </c>
      <c r="Y19" s="18">
        <f t="shared" si="7"/>
        <v>99.735288114178189</v>
      </c>
      <c r="Z19" s="105">
        <f t="shared" si="8"/>
        <v>25.565297373891838</v>
      </c>
      <c r="AA19" s="105">
        <f t="shared" si="8"/>
        <v>25.774889304056444</v>
      </c>
    </row>
    <row r="20" spans="1:27" x14ac:dyDescent="0.3">
      <c r="A20" t="s">
        <v>37</v>
      </c>
      <c r="B20" s="26">
        <f>B14+B15+B16+B17+B18+B19</f>
        <v>261095703.78</v>
      </c>
      <c r="C20" s="26">
        <f>C14+C15+C16+C17+C18+C19</f>
        <v>166797941.30000001</v>
      </c>
      <c r="D20" s="18">
        <f t="shared" si="0"/>
        <v>63.883832206042136</v>
      </c>
      <c r="E20" s="26">
        <f>E14+E15+E16+E17+E18+E19</f>
        <v>276232617.09000003</v>
      </c>
      <c r="F20" s="26">
        <f>F14+F15+F16+F17+F18+F19</f>
        <v>181190117.78999999</v>
      </c>
      <c r="G20" s="18">
        <f t="shared" si="1"/>
        <v>65.593310340670598</v>
      </c>
      <c r="H20" s="17">
        <f>H14+H15+H16+H17+H18+H19</f>
        <v>308115011.23000002</v>
      </c>
      <c r="I20" s="17">
        <f>I14+I15+I16+I17+I18+I19</f>
        <v>236301172.61000001</v>
      </c>
      <c r="J20" s="18">
        <f t="shared" si="9"/>
        <v>76.692521947139795</v>
      </c>
      <c r="K20" s="113">
        <v>306927334.19</v>
      </c>
      <c r="L20" s="113">
        <v>177522596.74000001</v>
      </c>
      <c r="M20" s="18">
        <f t="shared" si="16"/>
        <v>57.838640278974495</v>
      </c>
      <c r="N20" s="113">
        <f t="shared" ref="N20:O20" si="23">N14+N15+N16+N17+N18+N19</f>
        <v>299571152.33000004</v>
      </c>
      <c r="O20" s="113">
        <f t="shared" si="23"/>
        <v>171158524.97</v>
      </c>
      <c r="P20" s="18">
        <f t="shared" si="18"/>
        <v>57.134515002117446</v>
      </c>
      <c r="Q20" s="113">
        <f t="shared" ref="Q20:R20" si="24">Q14+Q15+Q16+Q17+Q18+Q19</f>
        <v>289893753.40000004</v>
      </c>
      <c r="R20" s="113">
        <f t="shared" si="24"/>
        <v>182345517.38999999</v>
      </c>
      <c r="S20" s="18">
        <f t="shared" si="20"/>
        <v>62.900809434964508</v>
      </c>
      <c r="T20" s="113">
        <f t="shared" ref="T20:U20" si="25">T14+T15+T16+T17+T18+T19</f>
        <v>341697598.44</v>
      </c>
      <c r="U20" s="113">
        <f t="shared" si="25"/>
        <v>237223926.67999998</v>
      </c>
      <c r="V20" s="18">
        <f t="shared" si="22"/>
        <v>69.425107979403904</v>
      </c>
      <c r="W20" s="113">
        <v>365037907.58000004</v>
      </c>
      <c r="X20" s="113">
        <v>229573816.14000005</v>
      </c>
      <c r="Y20" s="18">
        <f t="shared" si="7"/>
        <v>62.89040435880969</v>
      </c>
      <c r="Z20" s="105">
        <f t="shared" si="8"/>
        <v>6.8306915958902863</v>
      </c>
      <c r="AA20" s="105">
        <f t="shared" si="8"/>
        <v>-3.2248477828796069</v>
      </c>
    </row>
    <row r="21" spans="1:27" x14ac:dyDescent="0.3">
      <c r="A21" t="s">
        <v>38</v>
      </c>
      <c r="B21" s="26">
        <f>B20-B19</f>
        <v>234684568.56</v>
      </c>
      <c r="C21" s="26">
        <f>C20-C19</f>
        <v>140556819.42000002</v>
      </c>
      <c r="D21" s="18">
        <f t="shared" si="0"/>
        <v>59.891802977265172</v>
      </c>
      <c r="E21" s="26">
        <f>E20-E19</f>
        <v>244886748.23000002</v>
      </c>
      <c r="F21" s="26">
        <f>F20-F19</f>
        <v>157478647.81</v>
      </c>
      <c r="G21" s="18">
        <f t="shared" si="1"/>
        <v>64.306725026253574</v>
      </c>
      <c r="H21" s="17">
        <f>H20-H19</f>
        <v>283357689.18000001</v>
      </c>
      <c r="I21" s="17">
        <f>I20-I19</f>
        <v>211628564.04000002</v>
      </c>
      <c r="J21" s="18">
        <f t="shared" si="9"/>
        <v>74.686014221962822</v>
      </c>
      <c r="K21" s="113">
        <v>274398407.26999998</v>
      </c>
      <c r="L21" s="113">
        <v>151520087.30000001</v>
      </c>
      <c r="M21" s="18">
        <f t="shared" si="16"/>
        <v>55.219011220757089</v>
      </c>
      <c r="N21" s="113">
        <f t="shared" ref="N21:O21" si="26">N20-N19</f>
        <v>267014127.95000005</v>
      </c>
      <c r="O21" s="113">
        <f t="shared" si="26"/>
        <v>146321637.06</v>
      </c>
      <c r="P21" s="18">
        <f t="shared" si="18"/>
        <v>54.799211631003871</v>
      </c>
      <c r="Q21" s="113">
        <f t="shared" ref="Q21:R21" si="27">Q20-Q19</f>
        <v>261345875.00000003</v>
      </c>
      <c r="R21" s="113">
        <f t="shared" si="27"/>
        <v>156160599.13999999</v>
      </c>
      <c r="S21" s="18">
        <f t="shared" si="20"/>
        <v>59.752463718817047</v>
      </c>
      <c r="T21" s="113">
        <f t="shared" ref="T21:U21" si="28">T20-T19</f>
        <v>313013311.63999999</v>
      </c>
      <c r="U21" s="113">
        <f t="shared" si="28"/>
        <v>208663243.70999998</v>
      </c>
      <c r="V21" s="18">
        <f t="shared" si="22"/>
        <v>66.662737957287206</v>
      </c>
      <c r="W21" s="113">
        <v>329020397.56000006</v>
      </c>
      <c r="X21" s="113">
        <v>193651648.75000006</v>
      </c>
      <c r="Y21" s="18">
        <f t="shared" si="7"/>
        <v>58.857034453216784</v>
      </c>
      <c r="Z21" s="105">
        <f t="shared" si="8"/>
        <v>5.1138674697675413</v>
      </c>
      <c r="AA21" s="105">
        <f t="shared" si="8"/>
        <v>-7.194173105476608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99" t="s">
        <v>75</v>
      </c>
      <c r="I22" s="99" t="s">
        <v>76</v>
      </c>
      <c r="J22" s="100"/>
      <c r="K22" s="121" t="s">
        <v>75</v>
      </c>
      <c r="L22" s="121" t="s">
        <v>76</v>
      </c>
      <c r="M22" s="122"/>
      <c r="N22" s="126" t="s">
        <v>75</v>
      </c>
      <c r="O22" s="126" t="s">
        <v>76</v>
      </c>
      <c r="P22" s="127"/>
      <c r="Q22" s="130" t="s">
        <v>75</v>
      </c>
      <c r="R22" s="130" t="s">
        <v>76</v>
      </c>
      <c r="S22" s="131"/>
      <c r="T22" s="134" t="s">
        <v>75</v>
      </c>
      <c r="U22" s="134" t="s">
        <v>76</v>
      </c>
      <c r="V22" s="135"/>
      <c r="W22" s="130" t="s">
        <v>75</v>
      </c>
      <c r="X22" s="130" t="s">
        <v>76</v>
      </c>
      <c r="Y22" s="16"/>
    </row>
    <row r="23" spans="1:27" x14ac:dyDescent="0.3">
      <c r="A23" s="5" t="s">
        <v>39</v>
      </c>
      <c r="B23" s="25">
        <v>33894088.390000001</v>
      </c>
      <c r="C23" s="25">
        <v>32912999.02</v>
      </c>
      <c r="D23" s="18">
        <f>IF(B23&gt;0,C23/B23*100,"-")</f>
        <v>97.105426295254901</v>
      </c>
      <c r="E23" s="25">
        <v>29169033.050000001</v>
      </c>
      <c r="F23" s="25">
        <v>28796547.879999999</v>
      </c>
      <c r="G23" s="18">
        <f>IF(E23&gt;0,F23/E23*100,"-")</f>
        <v>98.723011594654139</v>
      </c>
      <c r="H23" s="95">
        <v>29710618.399999999</v>
      </c>
      <c r="I23" s="95">
        <v>29051963.120000001</v>
      </c>
      <c r="J23" s="18">
        <f>IF(H23&gt;0,I23/H23*100,"-")</f>
        <v>97.783098045512247</v>
      </c>
      <c r="K23" s="114">
        <v>30273884.170000002</v>
      </c>
      <c r="L23" s="114">
        <v>28999661.059999999</v>
      </c>
      <c r="M23" s="18">
        <f>IF(K23&gt;0,L23/K23*100,"-")</f>
        <v>95.79101544141237</v>
      </c>
      <c r="N23" s="114">
        <v>28324259.370000001</v>
      </c>
      <c r="O23" s="114">
        <v>26983954.93</v>
      </c>
      <c r="P23" s="18">
        <f>IF(N23&gt;0,O23/N23*100,"-")</f>
        <v>95.267998281997095</v>
      </c>
      <c r="Q23" s="97">
        <v>28343212.670000002</v>
      </c>
      <c r="R23" s="97">
        <v>27710092.460000001</v>
      </c>
      <c r="S23" s="18">
        <f>IF(Q23&gt;0,R23/Q23*100,"-")</f>
        <v>97.766236956369696</v>
      </c>
      <c r="T23" s="1">
        <v>30475685.800000001</v>
      </c>
      <c r="U23" s="1">
        <v>28654698.48</v>
      </c>
      <c r="V23" s="18">
        <f>IF(T23&gt;0,U23/T23*100,"-")</f>
        <v>94.024786408580169</v>
      </c>
      <c r="W23" s="1">
        <v>32895779.629999999</v>
      </c>
      <c r="X23" s="1">
        <v>31389470.379999999</v>
      </c>
      <c r="Y23" s="18">
        <f>IF(W23&gt;0,X23/W23*100,"-")</f>
        <v>95.420965038851705</v>
      </c>
      <c r="Z23" s="105">
        <f t="shared" si="8"/>
        <v>7.9410643812320529</v>
      </c>
      <c r="AA23" s="105">
        <f t="shared" si="8"/>
        <v>9.5438865005289699</v>
      </c>
    </row>
    <row r="24" spans="1:27" x14ac:dyDescent="0.3">
      <c r="A24" s="5" t="s">
        <v>40</v>
      </c>
      <c r="B24" s="25">
        <v>2286898.5499999998</v>
      </c>
      <c r="C24" s="25">
        <v>2213613.96</v>
      </c>
      <c r="D24" s="18">
        <f t="shared" ref="D24:D55" si="29">IF(B24&gt;0,C24/B24*100,"-")</f>
        <v>96.795459509998821</v>
      </c>
      <c r="E24" s="25">
        <v>2173180.7799999998</v>
      </c>
      <c r="F24" s="25">
        <v>1969825.53</v>
      </c>
      <c r="G24" s="18">
        <f t="shared" ref="G24:G55" si="30">IF(E24&gt;0,F24/E24*100,"-")</f>
        <v>90.642506510664063</v>
      </c>
      <c r="H24" s="95">
        <v>2229419.0299999998</v>
      </c>
      <c r="I24" s="95">
        <v>2141555.9700000002</v>
      </c>
      <c r="J24" s="18">
        <f t="shared" ref="J24:J55" si="31">IF(H24&gt;0,I24/H24*100,"-")</f>
        <v>96.058925719316221</v>
      </c>
      <c r="K24" s="114">
        <v>2206285.4300000002</v>
      </c>
      <c r="L24" s="114">
        <v>2078295.22</v>
      </c>
      <c r="M24" s="18">
        <f t="shared" ref="M24:M55" si="32">IF(K24&gt;0,L24/K24*100,"-")</f>
        <v>94.198837183092849</v>
      </c>
      <c r="N24" s="114">
        <v>1988305.15</v>
      </c>
      <c r="O24" s="114">
        <v>1872175.26</v>
      </c>
      <c r="P24" s="18">
        <f t="shared" ref="P24:P55" si="33">IF(N24&gt;0,O24/N24*100,"-")</f>
        <v>94.159352753273311</v>
      </c>
      <c r="Q24" s="97">
        <v>2121836.11</v>
      </c>
      <c r="R24" s="97">
        <v>1983788.51</v>
      </c>
      <c r="S24" s="18">
        <f t="shared" ref="S24:S55" si="34">IF(Q24&gt;0,R24/Q24*100,"-")</f>
        <v>93.493955572280285</v>
      </c>
      <c r="T24" s="1">
        <v>2209948.48</v>
      </c>
      <c r="U24" s="1">
        <v>2001680.73</v>
      </c>
      <c r="V24" s="18">
        <f t="shared" ref="V24:V55" si="35">IF(T24&gt;0,U24/T24*100,"-")</f>
        <v>90.575900212841162</v>
      </c>
      <c r="W24" s="1">
        <v>2264548.31</v>
      </c>
      <c r="X24" s="1">
        <v>1793569.13</v>
      </c>
      <c r="Y24" s="18">
        <f t="shared" ref="Y24:Y55" si="36">IF(W24&gt;0,X24/W24*100,"-")</f>
        <v>79.202069661300357</v>
      </c>
      <c r="Z24" s="105">
        <f t="shared" si="8"/>
        <v>2.4706381390393375</v>
      </c>
      <c r="AA24" s="105">
        <f t="shared" si="8"/>
        <v>-10.39684285715235</v>
      </c>
    </row>
    <row r="25" spans="1:27" x14ac:dyDescent="0.3">
      <c r="A25" s="5" t="s">
        <v>41</v>
      </c>
      <c r="B25" s="25">
        <v>136251397.30000001</v>
      </c>
      <c r="C25" s="25">
        <v>108592475.90000001</v>
      </c>
      <c r="D25" s="18">
        <f t="shared" si="29"/>
        <v>79.700082385870701</v>
      </c>
      <c r="E25" s="25">
        <v>136868927.90000001</v>
      </c>
      <c r="F25" s="25">
        <v>106619270.5</v>
      </c>
      <c r="G25" s="18">
        <f t="shared" si="30"/>
        <v>77.898813219241987</v>
      </c>
      <c r="H25" s="95">
        <v>135976780.69999999</v>
      </c>
      <c r="I25" s="95">
        <v>108666510.40000001</v>
      </c>
      <c r="J25" s="18">
        <f t="shared" si="31"/>
        <v>79.915489865690006</v>
      </c>
      <c r="K25" s="114">
        <v>146448998.30000001</v>
      </c>
      <c r="L25" s="114">
        <v>116324062.09999999</v>
      </c>
      <c r="M25" s="18">
        <f t="shared" si="32"/>
        <v>79.429742402000429</v>
      </c>
      <c r="N25" s="114">
        <v>142061607.59999999</v>
      </c>
      <c r="O25" s="114">
        <v>112600226.90000001</v>
      </c>
      <c r="P25" s="18">
        <f t="shared" si="33"/>
        <v>79.26154631239018</v>
      </c>
      <c r="Q25" s="97">
        <v>142174485.16999999</v>
      </c>
      <c r="R25" s="97">
        <v>110252430.31999999</v>
      </c>
      <c r="S25" s="18">
        <f t="shared" si="34"/>
        <v>77.547268898614021</v>
      </c>
      <c r="T25" s="1">
        <v>160500379.24000001</v>
      </c>
      <c r="U25" s="1">
        <v>128638702.45</v>
      </c>
      <c r="V25" s="18">
        <f t="shared" si="35"/>
        <v>80.148534887661242</v>
      </c>
      <c r="W25" s="1">
        <v>165821550.13</v>
      </c>
      <c r="X25" s="1">
        <v>131359923.34999999</v>
      </c>
      <c r="Y25" s="18">
        <f t="shared" si="36"/>
        <v>79.217642849808769</v>
      </c>
      <c r="Z25" s="105">
        <f t="shared" si="8"/>
        <v>3.3153634372683456</v>
      </c>
      <c r="AA25" s="105">
        <f t="shared" si="8"/>
        <v>2.115398280745012</v>
      </c>
    </row>
    <row r="26" spans="1:27" x14ac:dyDescent="0.3">
      <c r="A26" s="5" t="s">
        <v>42</v>
      </c>
      <c r="B26" s="25">
        <v>6874869.7999999998</v>
      </c>
      <c r="C26" s="25">
        <v>2008560.13</v>
      </c>
      <c r="D26" s="18">
        <f t="shared" si="29"/>
        <v>29.215973370142951</v>
      </c>
      <c r="E26" s="25">
        <v>5921003.4699999997</v>
      </c>
      <c r="F26" s="25">
        <v>1338713.78</v>
      </c>
      <c r="G26" s="18">
        <f t="shared" si="30"/>
        <v>22.609576008236999</v>
      </c>
      <c r="H26" s="95">
        <v>6947410.3300000001</v>
      </c>
      <c r="I26" s="95">
        <v>1759647.99</v>
      </c>
      <c r="J26" s="18">
        <f t="shared" si="31"/>
        <v>25.328113734718759</v>
      </c>
      <c r="K26" s="114">
        <v>10729404.42</v>
      </c>
      <c r="L26" s="114">
        <v>2501863.39</v>
      </c>
      <c r="M26" s="18">
        <f t="shared" si="32"/>
        <v>23.317821680171136</v>
      </c>
      <c r="N26" s="114">
        <v>10993026.220000001</v>
      </c>
      <c r="O26" s="114">
        <v>4003829.93</v>
      </c>
      <c r="P26" s="18">
        <f t="shared" si="33"/>
        <v>36.421544439834875</v>
      </c>
      <c r="Q26" s="97">
        <v>13106662.210000001</v>
      </c>
      <c r="R26" s="97">
        <v>4530887.16</v>
      </c>
      <c r="S26" s="18">
        <f t="shared" si="34"/>
        <v>34.569344104581148</v>
      </c>
      <c r="T26" s="1">
        <v>12681962.01</v>
      </c>
      <c r="U26" s="1">
        <v>6844146.1100000003</v>
      </c>
      <c r="V26" s="18">
        <f t="shared" si="35"/>
        <v>53.967565149645168</v>
      </c>
      <c r="W26" s="1">
        <v>14002046.73</v>
      </c>
      <c r="X26" s="1">
        <v>9474815.2300000004</v>
      </c>
      <c r="Y26" s="18">
        <f t="shared" si="36"/>
        <v>67.667359013306196</v>
      </c>
      <c r="Z26" s="105">
        <f t="shared" si="8"/>
        <v>10.409152140331955</v>
      </c>
      <c r="AA26" s="105">
        <f t="shared" si="8"/>
        <v>38.436776154680899</v>
      </c>
    </row>
    <row r="27" spans="1:27" x14ac:dyDescent="0.3">
      <c r="A27" s="5" t="s">
        <v>43</v>
      </c>
      <c r="B27" s="25">
        <v>1044028.57</v>
      </c>
      <c r="C27" s="25">
        <v>859781.26</v>
      </c>
      <c r="D27" s="18">
        <f t="shared" si="29"/>
        <v>82.35227317581932</v>
      </c>
      <c r="E27" s="25">
        <v>935366.97</v>
      </c>
      <c r="F27" s="25">
        <v>935366.97</v>
      </c>
      <c r="G27" s="18">
        <f t="shared" si="30"/>
        <v>100</v>
      </c>
      <c r="H27" s="95">
        <v>866608.4</v>
      </c>
      <c r="I27" s="95">
        <v>866608.4</v>
      </c>
      <c r="J27" s="18">
        <f t="shared" si="31"/>
        <v>100</v>
      </c>
      <c r="K27" s="114">
        <v>727008.57</v>
      </c>
      <c r="L27" s="114">
        <v>727008.57</v>
      </c>
      <c r="M27" s="18">
        <f t="shared" si="32"/>
        <v>100</v>
      </c>
      <c r="N27" s="114">
        <v>627403.48</v>
      </c>
      <c r="O27" s="114">
        <v>627403.48</v>
      </c>
      <c r="P27" s="18">
        <f t="shared" si="33"/>
        <v>100</v>
      </c>
      <c r="Q27" s="97">
        <v>673045.34</v>
      </c>
      <c r="R27" s="97">
        <v>673045.34</v>
      </c>
      <c r="S27" s="18">
        <f t="shared" si="34"/>
        <v>100</v>
      </c>
      <c r="T27" s="1">
        <v>789965.71</v>
      </c>
      <c r="U27" s="1">
        <v>789965.71</v>
      </c>
      <c r="V27" s="18">
        <f t="shared" si="35"/>
        <v>100</v>
      </c>
      <c r="W27" s="1">
        <v>872552.37</v>
      </c>
      <c r="X27" s="1">
        <v>872552.37</v>
      </c>
      <c r="Y27" s="18">
        <f t="shared" si="36"/>
        <v>100</v>
      </c>
      <c r="Z27" s="105">
        <f t="shared" si="8"/>
        <v>10.454461371494219</v>
      </c>
      <c r="AA27" s="105">
        <f t="shared" si="8"/>
        <v>10.454461371494219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29"/>
        <v>-</v>
      </c>
      <c r="E28" s="25">
        <v>0</v>
      </c>
      <c r="F28" s="25">
        <v>0</v>
      </c>
      <c r="G28" s="18" t="str">
        <f t="shared" si="30"/>
        <v>-</v>
      </c>
      <c r="H28" s="95">
        <v>0</v>
      </c>
      <c r="I28" s="95">
        <v>0</v>
      </c>
      <c r="J28" s="18" t="str">
        <f t="shared" si="31"/>
        <v>-</v>
      </c>
      <c r="K28" s="114">
        <v>0</v>
      </c>
      <c r="L28" s="114">
        <v>0</v>
      </c>
      <c r="M28" s="18" t="str">
        <f t="shared" si="32"/>
        <v>-</v>
      </c>
      <c r="N28" s="114">
        <v>0</v>
      </c>
      <c r="O28" s="114">
        <v>0</v>
      </c>
      <c r="P28" s="18" t="str">
        <f t="shared" si="33"/>
        <v>-</v>
      </c>
      <c r="Q28" s="114">
        <v>0</v>
      </c>
      <c r="R28" s="114">
        <v>0</v>
      </c>
      <c r="S28" s="18" t="str">
        <f t="shared" si="34"/>
        <v>-</v>
      </c>
      <c r="T28" s="114">
        <v>0</v>
      </c>
      <c r="U28" s="114">
        <v>0</v>
      </c>
      <c r="V28" s="18" t="str">
        <f t="shared" si="35"/>
        <v>-</v>
      </c>
      <c r="W28" s="114">
        <v>0</v>
      </c>
      <c r="X28" s="114">
        <v>0</v>
      </c>
      <c r="Y28" s="18" t="str">
        <f t="shared" si="36"/>
        <v>-</v>
      </c>
      <c r="Z28" s="105" t="str">
        <f t="shared" si="8"/>
        <v>-</v>
      </c>
      <c r="AA28" s="105" t="str">
        <f t="shared" si="8"/>
        <v>-</v>
      </c>
    </row>
    <row r="29" spans="1:27" x14ac:dyDescent="0.3">
      <c r="A29" s="5" t="s">
        <v>45</v>
      </c>
      <c r="B29" s="25">
        <v>323243.46999999997</v>
      </c>
      <c r="C29" s="25">
        <v>285395.96999999997</v>
      </c>
      <c r="D29" s="18">
        <f t="shared" si="29"/>
        <v>88.291333464524442</v>
      </c>
      <c r="E29" s="25">
        <v>444254.64</v>
      </c>
      <c r="F29" s="25">
        <v>251033.71</v>
      </c>
      <c r="G29" s="18">
        <f t="shared" si="30"/>
        <v>56.506716508352049</v>
      </c>
      <c r="H29" s="95">
        <v>477573.1</v>
      </c>
      <c r="I29" s="95">
        <v>286613.90000000002</v>
      </c>
      <c r="J29" s="18">
        <f t="shared" si="31"/>
        <v>60.014665817651803</v>
      </c>
      <c r="K29" s="114">
        <v>826284.03</v>
      </c>
      <c r="L29" s="114">
        <v>595823.74</v>
      </c>
      <c r="M29" s="18">
        <f t="shared" si="32"/>
        <v>72.108829212153594</v>
      </c>
      <c r="N29" s="114">
        <v>438122.59</v>
      </c>
      <c r="O29" s="114">
        <v>292860.27</v>
      </c>
      <c r="P29" s="18">
        <f t="shared" si="33"/>
        <v>66.844366550467072</v>
      </c>
      <c r="Q29" s="97">
        <v>1318031.27</v>
      </c>
      <c r="R29" s="97">
        <v>511009.26</v>
      </c>
      <c r="S29" s="18">
        <f t="shared" si="34"/>
        <v>38.770647679701867</v>
      </c>
      <c r="T29" s="1">
        <v>692937.2</v>
      </c>
      <c r="U29" s="1">
        <v>264863.53999999998</v>
      </c>
      <c r="V29" s="18">
        <f t="shared" si="35"/>
        <v>38.223310857030043</v>
      </c>
      <c r="W29" s="1">
        <v>703937.01</v>
      </c>
      <c r="X29" s="1">
        <v>150567.45000000001</v>
      </c>
      <c r="Y29" s="18">
        <f t="shared" si="36"/>
        <v>21.389335673656369</v>
      </c>
      <c r="Z29" s="105">
        <f t="shared" si="8"/>
        <v>1.5874180228742318</v>
      </c>
      <c r="AA29" s="105">
        <f t="shared" si="8"/>
        <v>-43.152821260336538</v>
      </c>
    </row>
    <row r="30" spans="1:27" x14ac:dyDescent="0.3">
      <c r="A30" s="5" t="s">
        <v>46</v>
      </c>
      <c r="B30" s="25">
        <v>6911025.5999999996</v>
      </c>
      <c r="C30" s="25">
        <v>6075547.5999999996</v>
      </c>
      <c r="D30" s="18">
        <f t="shared" si="29"/>
        <v>87.910940454337194</v>
      </c>
      <c r="E30" s="25">
        <v>17630627.52</v>
      </c>
      <c r="F30" s="25">
        <v>13629218.99</v>
      </c>
      <c r="G30" s="18">
        <f t="shared" si="30"/>
        <v>77.304219458661677</v>
      </c>
      <c r="H30" s="95">
        <v>6070801.3099999996</v>
      </c>
      <c r="I30" s="95">
        <v>4748725.16</v>
      </c>
      <c r="J30" s="18">
        <f t="shared" si="31"/>
        <v>78.222378192113823</v>
      </c>
      <c r="K30" s="114">
        <v>30091270.289999999</v>
      </c>
      <c r="L30" s="114">
        <v>22921034.960000001</v>
      </c>
      <c r="M30" s="18">
        <f t="shared" si="32"/>
        <v>76.171709399776233</v>
      </c>
      <c r="N30" s="114">
        <v>5606351.7800000003</v>
      </c>
      <c r="O30" s="114">
        <v>2983724.83</v>
      </c>
      <c r="P30" s="18">
        <f t="shared" si="33"/>
        <v>53.220435446881645</v>
      </c>
      <c r="Q30" s="97">
        <v>15334025.41</v>
      </c>
      <c r="R30" s="97">
        <v>4462825.4400000004</v>
      </c>
      <c r="S30" s="18">
        <f t="shared" si="34"/>
        <v>29.1040696795089</v>
      </c>
      <c r="T30" s="1">
        <v>8513142.75</v>
      </c>
      <c r="U30" s="1">
        <v>6051899.0700000003</v>
      </c>
      <c r="V30" s="18">
        <f t="shared" si="35"/>
        <v>71.088894521356409</v>
      </c>
      <c r="W30" s="1">
        <v>7396657.9000000004</v>
      </c>
      <c r="X30" s="1">
        <v>5380658</v>
      </c>
      <c r="Y30" s="18">
        <f t="shared" si="36"/>
        <v>72.744448543442843</v>
      </c>
      <c r="Z30" s="105">
        <f t="shared" si="8"/>
        <v>-13.114837643242851</v>
      </c>
      <c r="AA30" s="105">
        <f t="shared" si="8"/>
        <v>-11.091412170560204</v>
      </c>
    </row>
    <row r="31" spans="1:27" x14ac:dyDescent="0.3">
      <c r="A31" s="5" t="s">
        <v>47</v>
      </c>
      <c r="B31" s="25">
        <v>2563249.65</v>
      </c>
      <c r="C31" s="25">
        <v>1593933.49</v>
      </c>
      <c r="D31" s="18">
        <f t="shared" si="29"/>
        <v>62.184090808322168</v>
      </c>
      <c r="E31" s="25">
        <v>354497.95</v>
      </c>
      <c r="F31" s="25">
        <v>58067.64</v>
      </c>
      <c r="G31" s="18">
        <f t="shared" si="30"/>
        <v>16.380247050793947</v>
      </c>
      <c r="H31" s="95">
        <v>341772.63</v>
      </c>
      <c r="I31" s="95">
        <v>91328.8</v>
      </c>
      <c r="J31" s="18">
        <f t="shared" si="31"/>
        <v>26.722092989131401</v>
      </c>
      <c r="K31" s="114">
        <v>0</v>
      </c>
      <c r="L31" s="114">
        <v>0</v>
      </c>
      <c r="M31" s="18" t="str">
        <f t="shared" si="32"/>
        <v>-</v>
      </c>
      <c r="N31" s="114">
        <v>0</v>
      </c>
      <c r="O31" s="114">
        <v>0</v>
      </c>
      <c r="P31" s="18" t="str">
        <f t="shared" si="33"/>
        <v>-</v>
      </c>
      <c r="Q31" s="114">
        <v>0</v>
      </c>
      <c r="R31" s="114">
        <v>0</v>
      </c>
      <c r="S31" s="18" t="str">
        <f t="shared" si="34"/>
        <v>-</v>
      </c>
      <c r="T31" s="114">
        <v>0</v>
      </c>
      <c r="U31" s="114">
        <v>0</v>
      </c>
      <c r="V31" s="18" t="str">
        <f t="shared" si="35"/>
        <v>-</v>
      </c>
      <c r="W31" s="114">
        <v>0</v>
      </c>
      <c r="X31" s="114">
        <v>0</v>
      </c>
      <c r="Y31" s="18" t="str">
        <f t="shared" si="36"/>
        <v>-</v>
      </c>
      <c r="Z31" s="105" t="str">
        <f t="shared" si="8"/>
        <v>-</v>
      </c>
      <c r="AA31" s="105" t="str">
        <f t="shared" si="8"/>
        <v>-</v>
      </c>
    </row>
    <row r="32" spans="1:27" x14ac:dyDescent="0.3">
      <c r="A32" s="5" t="s">
        <v>48</v>
      </c>
      <c r="B32" s="25">
        <v>16330050.16</v>
      </c>
      <c r="C32" s="25">
        <v>8325885.8700000001</v>
      </c>
      <c r="D32" s="18">
        <f t="shared" si="29"/>
        <v>50.985059987102943</v>
      </c>
      <c r="E32" s="25">
        <v>20613255.300000001</v>
      </c>
      <c r="F32" s="25">
        <v>5649548.8399999999</v>
      </c>
      <c r="G32" s="18">
        <f t="shared" si="30"/>
        <v>27.407358797909033</v>
      </c>
      <c r="H32" s="95">
        <v>11760693.029999999</v>
      </c>
      <c r="I32" s="95">
        <v>4207611.3499999996</v>
      </c>
      <c r="J32" s="18">
        <f t="shared" si="31"/>
        <v>35.776899705373907</v>
      </c>
      <c r="K32" s="114">
        <v>27746783.609999999</v>
      </c>
      <c r="L32" s="114">
        <v>4865419.22</v>
      </c>
      <c r="M32" s="18">
        <f t="shared" si="32"/>
        <v>17.535074653649197</v>
      </c>
      <c r="N32" s="114">
        <v>18108920.91</v>
      </c>
      <c r="O32" s="114">
        <v>6896450.3600000003</v>
      </c>
      <c r="P32" s="18">
        <f t="shared" si="33"/>
        <v>38.083165718569589</v>
      </c>
      <c r="Q32" s="114">
        <v>25581142.780000001</v>
      </c>
      <c r="R32" s="114">
        <v>9912679.2300000004</v>
      </c>
      <c r="S32" s="18">
        <f t="shared" si="34"/>
        <v>38.749946846588848</v>
      </c>
      <c r="T32" s="1">
        <v>20143923.469999999</v>
      </c>
      <c r="U32" s="1">
        <v>15845730.380000001</v>
      </c>
      <c r="V32" s="18">
        <f t="shared" si="35"/>
        <v>78.662582309741083</v>
      </c>
      <c r="W32" s="1">
        <v>56835508.359999999</v>
      </c>
      <c r="X32" s="1">
        <v>31943680.329999998</v>
      </c>
      <c r="Y32" s="18">
        <f t="shared" si="36"/>
        <v>56.203738211799816</v>
      </c>
      <c r="Z32" s="105">
        <f t="shared" si="8"/>
        <v>182.1471618706463</v>
      </c>
      <c r="AA32" s="105">
        <f t="shared" si="8"/>
        <v>101.59171943451938</v>
      </c>
    </row>
    <row r="33" spans="1:27" x14ac:dyDescent="0.3">
      <c r="A33" s="5" t="s">
        <v>49</v>
      </c>
      <c r="B33" s="25">
        <v>350000</v>
      </c>
      <c r="C33" s="25">
        <v>0</v>
      </c>
      <c r="D33" s="18">
        <f t="shared" si="29"/>
        <v>0</v>
      </c>
      <c r="E33" s="25">
        <v>350000</v>
      </c>
      <c r="F33" s="25">
        <v>0</v>
      </c>
      <c r="G33" s="18">
        <f t="shared" si="30"/>
        <v>0</v>
      </c>
      <c r="H33" s="95">
        <v>0</v>
      </c>
      <c r="I33" s="95">
        <v>0</v>
      </c>
      <c r="J33" s="18" t="str">
        <f t="shared" si="31"/>
        <v>-</v>
      </c>
      <c r="K33" s="114">
        <v>7992458</v>
      </c>
      <c r="L33" s="114">
        <v>0</v>
      </c>
      <c r="M33" s="18">
        <f t="shared" si="32"/>
        <v>0</v>
      </c>
      <c r="N33" s="114">
        <v>60000</v>
      </c>
      <c r="O33" s="114">
        <v>0</v>
      </c>
      <c r="P33" s="18">
        <f t="shared" si="33"/>
        <v>0</v>
      </c>
      <c r="Q33" s="114">
        <v>0</v>
      </c>
      <c r="R33" s="114">
        <v>0</v>
      </c>
      <c r="S33" s="18" t="str">
        <f t="shared" si="34"/>
        <v>-</v>
      </c>
      <c r="T33" s="114">
        <v>0</v>
      </c>
      <c r="U33" s="114">
        <v>0</v>
      </c>
      <c r="V33" s="18" t="str">
        <f t="shared" si="35"/>
        <v>-</v>
      </c>
      <c r="W33" s="114">
        <v>6897</v>
      </c>
      <c r="X33" s="114">
        <v>6897</v>
      </c>
      <c r="Y33" s="18">
        <f t="shared" si="36"/>
        <v>100</v>
      </c>
      <c r="Z33" s="105" t="str">
        <f t="shared" si="8"/>
        <v>-</v>
      </c>
      <c r="AA33" s="105" t="str">
        <f t="shared" si="8"/>
        <v>-</v>
      </c>
    </row>
    <row r="34" spans="1:27" x14ac:dyDescent="0.3">
      <c r="A34" s="5" t="s">
        <v>50</v>
      </c>
      <c r="B34" s="25">
        <v>225326.83</v>
      </c>
      <c r="C34" s="25">
        <v>225326.83</v>
      </c>
      <c r="D34" s="18">
        <f t="shared" si="29"/>
        <v>100</v>
      </c>
      <c r="E34" s="25">
        <v>0</v>
      </c>
      <c r="F34" s="25">
        <v>0</v>
      </c>
      <c r="G34" s="18" t="str">
        <f t="shared" si="30"/>
        <v>-</v>
      </c>
      <c r="H34" s="95">
        <v>0</v>
      </c>
      <c r="I34" s="95">
        <v>0</v>
      </c>
      <c r="J34" s="18" t="str">
        <f t="shared" si="31"/>
        <v>-</v>
      </c>
      <c r="K34" s="114">
        <v>0</v>
      </c>
      <c r="L34" s="114">
        <v>0</v>
      </c>
      <c r="M34" s="18" t="str">
        <f t="shared" si="32"/>
        <v>-</v>
      </c>
      <c r="N34" s="114">
        <v>0</v>
      </c>
      <c r="O34" s="114">
        <v>0</v>
      </c>
      <c r="P34" s="18" t="str">
        <f t="shared" si="33"/>
        <v>-</v>
      </c>
      <c r="Q34" s="114">
        <v>0</v>
      </c>
      <c r="R34" s="114">
        <v>0</v>
      </c>
      <c r="S34" s="18" t="str">
        <f t="shared" si="34"/>
        <v>-</v>
      </c>
      <c r="T34" s="114">
        <v>0</v>
      </c>
      <c r="U34" s="114">
        <v>0</v>
      </c>
      <c r="V34" s="18" t="str">
        <f t="shared" si="35"/>
        <v>-</v>
      </c>
      <c r="W34" s="114">
        <v>77240</v>
      </c>
      <c r="X34" s="114">
        <v>77240</v>
      </c>
      <c r="Y34" s="18">
        <f t="shared" si="36"/>
        <v>100</v>
      </c>
      <c r="Z34" s="105" t="str">
        <f t="shared" si="8"/>
        <v>-</v>
      </c>
      <c r="AA34" s="105" t="str">
        <f t="shared" si="8"/>
        <v>-</v>
      </c>
    </row>
    <row r="35" spans="1:27" x14ac:dyDescent="0.3">
      <c r="A35" s="5" t="s">
        <v>51</v>
      </c>
      <c r="B35" s="25">
        <v>222556.59</v>
      </c>
      <c r="C35" s="25">
        <v>183773.88</v>
      </c>
      <c r="D35" s="18">
        <f t="shared" si="29"/>
        <v>82.57400061710149</v>
      </c>
      <c r="E35" s="25">
        <v>29452.76</v>
      </c>
      <c r="F35" s="25">
        <v>8356.91</v>
      </c>
      <c r="G35" s="18">
        <f t="shared" si="30"/>
        <v>28.373945260138612</v>
      </c>
      <c r="H35" s="95">
        <v>0</v>
      </c>
      <c r="I35" s="95">
        <v>0</v>
      </c>
      <c r="J35" s="18" t="str">
        <f t="shared" si="31"/>
        <v>-</v>
      </c>
      <c r="K35" s="114">
        <v>0</v>
      </c>
      <c r="L35" s="114">
        <v>0</v>
      </c>
      <c r="M35" s="18" t="str">
        <f t="shared" si="32"/>
        <v>-</v>
      </c>
      <c r="N35" s="114">
        <v>0</v>
      </c>
      <c r="O35" s="114">
        <v>0</v>
      </c>
      <c r="P35" s="18" t="str">
        <f t="shared" si="33"/>
        <v>-</v>
      </c>
      <c r="Q35" s="114">
        <v>0</v>
      </c>
      <c r="R35" s="114">
        <v>0</v>
      </c>
      <c r="S35" s="18" t="str">
        <f t="shared" si="34"/>
        <v>-</v>
      </c>
      <c r="T35" s="1">
        <v>24903</v>
      </c>
      <c r="U35" s="1">
        <v>24903</v>
      </c>
      <c r="V35" s="18">
        <f t="shared" si="35"/>
        <v>100</v>
      </c>
      <c r="W35" s="1">
        <v>5217</v>
      </c>
      <c r="X35" s="1">
        <v>0</v>
      </c>
      <c r="Y35" s="18">
        <f t="shared" si="36"/>
        <v>0</v>
      </c>
      <c r="Z35" s="105">
        <f t="shared" si="8"/>
        <v>-79.050716781110708</v>
      </c>
      <c r="AA35" s="105">
        <f t="shared" si="8"/>
        <v>-100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29"/>
        <v>-</v>
      </c>
      <c r="E36" s="25">
        <v>0</v>
      </c>
      <c r="F36" s="25">
        <v>0</v>
      </c>
      <c r="G36" s="18" t="str">
        <f t="shared" si="30"/>
        <v>-</v>
      </c>
      <c r="H36" s="95">
        <v>0</v>
      </c>
      <c r="I36" s="95">
        <v>0</v>
      </c>
      <c r="J36" s="18" t="str">
        <f t="shared" si="31"/>
        <v>-</v>
      </c>
      <c r="K36" s="114">
        <v>0</v>
      </c>
      <c r="L36" s="114">
        <v>0</v>
      </c>
      <c r="M36" s="18" t="str">
        <f t="shared" si="32"/>
        <v>-</v>
      </c>
      <c r="N36" s="114">
        <v>0</v>
      </c>
      <c r="O36" s="114">
        <v>0</v>
      </c>
      <c r="P36" s="18" t="str">
        <f t="shared" si="33"/>
        <v>-</v>
      </c>
      <c r="Q36" s="114">
        <v>38210</v>
      </c>
      <c r="R36" s="114">
        <v>38210</v>
      </c>
      <c r="S36" s="18">
        <f t="shared" si="34"/>
        <v>100</v>
      </c>
      <c r="T36" s="114">
        <v>0</v>
      </c>
      <c r="U36" s="114">
        <v>0</v>
      </c>
      <c r="V36" s="18" t="str">
        <f t="shared" si="35"/>
        <v>-</v>
      </c>
      <c r="W36" s="114">
        <v>0</v>
      </c>
      <c r="X36" s="114">
        <v>0</v>
      </c>
      <c r="Y36" s="18" t="str">
        <f t="shared" si="36"/>
        <v>-</v>
      </c>
      <c r="Z36" s="105" t="str">
        <f t="shared" si="8"/>
        <v>-</v>
      </c>
      <c r="AA36" s="105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29"/>
        <v>-</v>
      </c>
      <c r="E37" s="25">
        <v>0</v>
      </c>
      <c r="F37" s="25">
        <v>0</v>
      </c>
      <c r="G37" s="18" t="str">
        <f t="shared" si="30"/>
        <v>-</v>
      </c>
      <c r="H37" s="95">
        <v>0</v>
      </c>
      <c r="I37" s="95">
        <v>0</v>
      </c>
      <c r="J37" s="18" t="str">
        <f t="shared" si="31"/>
        <v>-</v>
      </c>
      <c r="K37" s="114">
        <v>0</v>
      </c>
      <c r="L37" s="114">
        <v>0</v>
      </c>
      <c r="M37" s="18" t="str">
        <f t="shared" si="32"/>
        <v>-</v>
      </c>
      <c r="N37" s="114">
        <v>0</v>
      </c>
      <c r="O37" s="114">
        <v>0</v>
      </c>
      <c r="P37" s="18" t="str">
        <f t="shared" si="33"/>
        <v>-</v>
      </c>
      <c r="Q37" s="114">
        <v>0</v>
      </c>
      <c r="R37" s="114">
        <v>0</v>
      </c>
      <c r="S37" s="18" t="str">
        <f t="shared" si="34"/>
        <v>-</v>
      </c>
      <c r="T37" s="114">
        <v>0</v>
      </c>
      <c r="U37" s="114">
        <v>0</v>
      </c>
      <c r="V37" s="18" t="str">
        <f t="shared" si="35"/>
        <v>-</v>
      </c>
      <c r="W37" s="114">
        <v>2500000</v>
      </c>
      <c r="X37" s="114">
        <v>2500000</v>
      </c>
      <c r="Y37" s="18">
        <f t="shared" si="36"/>
        <v>100</v>
      </c>
      <c r="Z37" s="105" t="str">
        <f t="shared" si="8"/>
        <v>-</v>
      </c>
      <c r="AA37" s="105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29"/>
        <v>-</v>
      </c>
      <c r="E38" s="25">
        <v>0</v>
      </c>
      <c r="F38" s="25">
        <v>0</v>
      </c>
      <c r="G38" s="18" t="str">
        <f t="shared" si="30"/>
        <v>-</v>
      </c>
      <c r="H38" s="95">
        <v>0</v>
      </c>
      <c r="I38" s="95">
        <v>0</v>
      </c>
      <c r="J38" s="18" t="str">
        <f t="shared" si="31"/>
        <v>-</v>
      </c>
      <c r="K38" s="114">
        <v>0</v>
      </c>
      <c r="L38" s="114">
        <v>0</v>
      </c>
      <c r="M38" s="18" t="str">
        <f t="shared" si="32"/>
        <v>-</v>
      </c>
      <c r="N38" s="114">
        <v>0</v>
      </c>
      <c r="O38" s="114">
        <v>0</v>
      </c>
      <c r="P38" s="18" t="str">
        <f t="shared" si="33"/>
        <v>-</v>
      </c>
      <c r="Q38" s="114">
        <v>0</v>
      </c>
      <c r="R38" s="114">
        <v>0</v>
      </c>
      <c r="S38" s="18" t="str">
        <f t="shared" si="34"/>
        <v>-</v>
      </c>
      <c r="T38" s="114">
        <v>0</v>
      </c>
      <c r="U38" s="114">
        <v>0</v>
      </c>
      <c r="V38" s="18" t="str">
        <f t="shared" si="35"/>
        <v>-</v>
      </c>
      <c r="W38" s="114">
        <v>0</v>
      </c>
      <c r="X38" s="114">
        <v>0</v>
      </c>
      <c r="Y38" s="18" t="str">
        <f t="shared" si="36"/>
        <v>-</v>
      </c>
      <c r="Z38" s="105" t="str">
        <f t="shared" si="8"/>
        <v>-</v>
      </c>
      <c r="AA38" s="105" t="str">
        <f t="shared" si="8"/>
        <v>-</v>
      </c>
    </row>
    <row r="39" spans="1:27" x14ac:dyDescent="0.3">
      <c r="A39" s="5" t="s">
        <v>54</v>
      </c>
      <c r="B39" s="25">
        <v>0</v>
      </c>
      <c r="C39" s="25">
        <v>0</v>
      </c>
      <c r="D39" s="18" t="str">
        <f t="shared" si="29"/>
        <v>-</v>
      </c>
      <c r="E39" s="25">
        <v>0</v>
      </c>
      <c r="F39" s="25">
        <v>0</v>
      </c>
      <c r="G39" s="18" t="str">
        <f t="shared" si="30"/>
        <v>-</v>
      </c>
      <c r="H39" s="95">
        <v>0</v>
      </c>
      <c r="I39" s="95">
        <v>0</v>
      </c>
      <c r="J39" s="18" t="str">
        <f t="shared" si="31"/>
        <v>-</v>
      </c>
      <c r="K39" s="114">
        <v>0</v>
      </c>
      <c r="L39" s="114">
        <v>0</v>
      </c>
      <c r="M39" s="18" t="str">
        <f t="shared" si="32"/>
        <v>-</v>
      </c>
      <c r="N39" s="114">
        <v>0</v>
      </c>
      <c r="O39" s="114">
        <v>0</v>
      </c>
      <c r="P39" s="18" t="str">
        <f t="shared" si="33"/>
        <v>-</v>
      </c>
      <c r="Q39" s="114">
        <v>0</v>
      </c>
      <c r="R39" s="114">
        <v>0</v>
      </c>
      <c r="S39" s="18" t="str">
        <f t="shared" si="34"/>
        <v>-</v>
      </c>
      <c r="T39" s="114">
        <v>0</v>
      </c>
      <c r="U39" s="114">
        <v>0</v>
      </c>
      <c r="V39" s="18" t="str">
        <f t="shared" si="35"/>
        <v>-</v>
      </c>
      <c r="W39" s="114">
        <v>0</v>
      </c>
      <c r="X39" s="114">
        <v>0</v>
      </c>
      <c r="Y39" s="18" t="str">
        <f t="shared" si="36"/>
        <v>-</v>
      </c>
      <c r="Z39" s="105" t="str">
        <f t="shared" si="8"/>
        <v>-</v>
      </c>
      <c r="AA39" s="105" t="str">
        <f t="shared" si="8"/>
        <v>-</v>
      </c>
    </row>
    <row r="40" spans="1:27" x14ac:dyDescent="0.3">
      <c r="A40" s="5" t="s">
        <v>55</v>
      </c>
      <c r="B40" s="25">
        <v>0</v>
      </c>
      <c r="C40" s="25">
        <v>0</v>
      </c>
      <c r="D40" s="18" t="str">
        <f t="shared" si="29"/>
        <v>-</v>
      </c>
      <c r="E40" s="25">
        <v>0</v>
      </c>
      <c r="F40" s="25">
        <v>0</v>
      </c>
      <c r="G40" s="18" t="str">
        <f t="shared" si="30"/>
        <v>-</v>
      </c>
      <c r="H40" s="95">
        <v>0</v>
      </c>
      <c r="I40" s="95">
        <v>0</v>
      </c>
      <c r="J40" s="18" t="str">
        <f t="shared" si="31"/>
        <v>-</v>
      </c>
      <c r="K40" s="114">
        <v>0</v>
      </c>
      <c r="L40" s="114">
        <v>0</v>
      </c>
      <c r="M40" s="18" t="str">
        <f t="shared" si="32"/>
        <v>-</v>
      </c>
      <c r="N40" s="114">
        <v>0</v>
      </c>
      <c r="O40" s="114">
        <v>0</v>
      </c>
      <c r="P40" s="18" t="str">
        <f t="shared" si="33"/>
        <v>-</v>
      </c>
      <c r="Q40" s="114">
        <v>0</v>
      </c>
      <c r="R40" s="114">
        <v>0</v>
      </c>
      <c r="S40" s="18" t="str">
        <f t="shared" si="34"/>
        <v>-</v>
      </c>
      <c r="T40" s="114">
        <v>0</v>
      </c>
      <c r="U40" s="114">
        <v>0</v>
      </c>
      <c r="V40" s="18" t="str">
        <f t="shared" si="35"/>
        <v>-</v>
      </c>
      <c r="W40" s="114">
        <v>0</v>
      </c>
      <c r="X40" s="114">
        <v>0</v>
      </c>
      <c r="Y40" s="18" t="str">
        <f t="shared" si="36"/>
        <v>-</v>
      </c>
      <c r="Z40" s="105" t="str">
        <f t="shared" si="8"/>
        <v>-</v>
      </c>
      <c r="AA40" s="105" t="str">
        <f t="shared" si="8"/>
        <v>-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29"/>
        <v>-</v>
      </c>
      <c r="E41" s="25">
        <v>0</v>
      </c>
      <c r="F41" s="25">
        <v>0</v>
      </c>
      <c r="G41" s="18" t="str">
        <f t="shared" si="30"/>
        <v>-</v>
      </c>
      <c r="H41" s="95">
        <v>0</v>
      </c>
      <c r="I41" s="95">
        <v>0</v>
      </c>
      <c r="J41" s="18" t="str">
        <f t="shared" si="31"/>
        <v>-</v>
      </c>
      <c r="K41" s="114">
        <v>0</v>
      </c>
      <c r="L41" s="114">
        <v>0</v>
      </c>
      <c r="M41" s="18" t="str">
        <f t="shared" si="32"/>
        <v>-</v>
      </c>
      <c r="N41" s="114">
        <v>0</v>
      </c>
      <c r="O41" s="114">
        <v>0</v>
      </c>
      <c r="P41" s="18" t="str">
        <f t="shared" si="33"/>
        <v>-</v>
      </c>
      <c r="Q41" s="114">
        <v>0</v>
      </c>
      <c r="R41" s="114">
        <v>0</v>
      </c>
      <c r="S41" s="18" t="str">
        <f t="shared" si="34"/>
        <v>-</v>
      </c>
      <c r="T41" s="114">
        <v>0</v>
      </c>
      <c r="U41" s="114">
        <v>0</v>
      </c>
      <c r="V41" s="18" t="str">
        <f t="shared" si="35"/>
        <v>-</v>
      </c>
      <c r="W41" s="114">
        <v>0</v>
      </c>
      <c r="X41" s="114">
        <v>0</v>
      </c>
      <c r="Y41" s="18" t="str">
        <f t="shared" si="36"/>
        <v>-</v>
      </c>
      <c r="Z41" s="105" t="str">
        <f t="shared" si="8"/>
        <v>-</v>
      </c>
      <c r="AA41" s="105" t="str">
        <f t="shared" si="8"/>
        <v>-</v>
      </c>
    </row>
    <row r="42" spans="1:27" x14ac:dyDescent="0.3">
      <c r="A42" s="5" t="s">
        <v>57</v>
      </c>
      <c r="B42" s="25">
        <v>1922384.11</v>
      </c>
      <c r="C42" s="25">
        <v>1922384.11</v>
      </c>
      <c r="D42" s="18">
        <f t="shared" si="29"/>
        <v>100</v>
      </c>
      <c r="E42" s="25">
        <v>1065590.05</v>
      </c>
      <c r="F42" s="25">
        <v>1065590.05</v>
      </c>
      <c r="G42" s="18">
        <f t="shared" si="30"/>
        <v>100</v>
      </c>
      <c r="H42" s="95">
        <v>1244357.56</v>
      </c>
      <c r="I42" s="95">
        <v>1244357.56</v>
      </c>
      <c r="J42" s="18">
        <f t="shared" si="31"/>
        <v>100</v>
      </c>
      <c r="K42" s="114">
        <v>1301222.6599999999</v>
      </c>
      <c r="L42" s="114">
        <v>1301222.6599999999</v>
      </c>
      <c r="M42" s="18">
        <f t="shared" si="32"/>
        <v>100</v>
      </c>
      <c r="N42" s="114">
        <v>319242.32</v>
      </c>
      <c r="O42" s="114">
        <v>319242.32</v>
      </c>
      <c r="P42" s="18">
        <f t="shared" si="33"/>
        <v>100</v>
      </c>
      <c r="Q42" s="114">
        <v>1624794.3</v>
      </c>
      <c r="R42" s="114">
        <v>1559494.3</v>
      </c>
      <c r="S42" s="18">
        <f t="shared" si="34"/>
        <v>95.981029721731545</v>
      </c>
      <c r="T42" s="1">
        <v>2001886.79</v>
      </c>
      <c r="U42" s="1">
        <v>2001886.79</v>
      </c>
      <c r="V42" s="18">
        <f t="shared" si="35"/>
        <v>100</v>
      </c>
      <c r="W42" s="1">
        <v>2316079.84</v>
      </c>
      <c r="X42" s="1">
        <v>2316079.84</v>
      </c>
      <c r="Y42" s="18">
        <f t="shared" si="36"/>
        <v>100</v>
      </c>
      <c r="Z42" s="105">
        <f t="shared" si="8"/>
        <v>15.694846060700556</v>
      </c>
      <c r="AA42" s="105">
        <f t="shared" si="8"/>
        <v>15.694846060700556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29"/>
        <v>-</v>
      </c>
      <c r="E43" s="25">
        <v>0</v>
      </c>
      <c r="F43" s="25">
        <v>0</v>
      </c>
      <c r="G43" s="18" t="str">
        <f t="shared" si="30"/>
        <v>-</v>
      </c>
      <c r="H43" s="95">
        <v>0</v>
      </c>
      <c r="I43" s="95">
        <v>0</v>
      </c>
      <c r="J43" s="18" t="str">
        <f t="shared" si="31"/>
        <v>-</v>
      </c>
      <c r="K43" s="114">
        <v>0</v>
      </c>
      <c r="L43" s="114">
        <v>0</v>
      </c>
      <c r="M43" s="18" t="str">
        <f t="shared" si="32"/>
        <v>-</v>
      </c>
      <c r="N43" s="114">
        <v>0</v>
      </c>
      <c r="O43" s="114">
        <v>0</v>
      </c>
      <c r="P43" s="18" t="str">
        <f t="shared" si="33"/>
        <v>-</v>
      </c>
      <c r="Q43" s="114">
        <v>0</v>
      </c>
      <c r="R43" s="114">
        <v>0</v>
      </c>
      <c r="S43" s="18" t="str">
        <f t="shared" si="34"/>
        <v>-</v>
      </c>
      <c r="T43" s="114">
        <v>0</v>
      </c>
      <c r="U43" s="114">
        <v>0</v>
      </c>
      <c r="V43" s="18" t="str">
        <f t="shared" si="35"/>
        <v>-</v>
      </c>
      <c r="W43" s="114">
        <v>0</v>
      </c>
      <c r="X43" s="114">
        <v>0</v>
      </c>
      <c r="Y43" s="18" t="str">
        <f t="shared" si="36"/>
        <v>-</v>
      </c>
      <c r="Z43" s="105" t="str">
        <f t="shared" si="8"/>
        <v>-</v>
      </c>
      <c r="AA43" s="105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29"/>
        <v>-</v>
      </c>
      <c r="E44" s="25">
        <v>0</v>
      </c>
      <c r="F44" s="25">
        <v>0</v>
      </c>
      <c r="G44" s="18" t="str">
        <f t="shared" si="30"/>
        <v>-</v>
      </c>
      <c r="H44" s="95">
        <v>0</v>
      </c>
      <c r="I44" s="95">
        <v>0</v>
      </c>
      <c r="J44" s="18" t="str">
        <f t="shared" si="31"/>
        <v>-</v>
      </c>
      <c r="K44" s="114">
        <v>0</v>
      </c>
      <c r="L44" s="114">
        <v>0</v>
      </c>
      <c r="M44" s="18" t="str">
        <f t="shared" si="32"/>
        <v>-</v>
      </c>
      <c r="N44" s="114">
        <v>0</v>
      </c>
      <c r="O44" s="114">
        <v>0</v>
      </c>
      <c r="P44" s="18" t="str">
        <f t="shared" si="33"/>
        <v>-</v>
      </c>
      <c r="Q44" s="114">
        <v>0</v>
      </c>
      <c r="R44" s="114">
        <v>0</v>
      </c>
      <c r="S44" s="18" t="str">
        <f t="shared" si="34"/>
        <v>-</v>
      </c>
      <c r="T44" s="114">
        <v>0</v>
      </c>
      <c r="U44" s="114">
        <v>0</v>
      </c>
      <c r="V44" s="18" t="str">
        <f t="shared" si="35"/>
        <v>-</v>
      </c>
      <c r="W44" s="114">
        <v>0</v>
      </c>
      <c r="X44" s="114">
        <v>0</v>
      </c>
      <c r="Y44" s="18" t="str">
        <f t="shared" si="36"/>
        <v>-</v>
      </c>
      <c r="Z44" s="105" t="str">
        <f t="shared" si="8"/>
        <v>-</v>
      </c>
      <c r="AA44" s="105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29"/>
        <v>-</v>
      </c>
      <c r="E45" s="25">
        <v>0</v>
      </c>
      <c r="F45" s="25">
        <v>0</v>
      </c>
      <c r="G45" s="18" t="str">
        <f t="shared" si="30"/>
        <v>-</v>
      </c>
      <c r="H45" s="95">
        <v>0</v>
      </c>
      <c r="I45" s="95">
        <v>0</v>
      </c>
      <c r="J45" s="18" t="str">
        <f t="shared" si="31"/>
        <v>-</v>
      </c>
      <c r="K45" s="114">
        <v>0</v>
      </c>
      <c r="L45" s="114">
        <v>0</v>
      </c>
      <c r="M45" s="18" t="str">
        <f t="shared" si="32"/>
        <v>-</v>
      </c>
      <c r="N45" s="114">
        <v>0</v>
      </c>
      <c r="O45" s="114">
        <v>0</v>
      </c>
      <c r="P45" s="18" t="str">
        <f t="shared" si="33"/>
        <v>-</v>
      </c>
      <c r="Q45" s="114">
        <v>0</v>
      </c>
      <c r="R45" s="114">
        <v>0</v>
      </c>
      <c r="S45" s="18" t="str">
        <f t="shared" si="34"/>
        <v>-</v>
      </c>
      <c r="T45" s="114">
        <v>0</v>
      </c>
      <c r="U45" s="114">
        <v>0</v>
      </c>
      <c r="V45" s="18" t="str">
        <f t="shared" si="35"/>
        <v>-</v>
      </c>
      <c r="W45" s="114">
        <v>0</v>
      </c>
      <c r="X45" s="114">
        <v>0</v>
      </c>
      <c r="Y45" s="18" t="str">
        <f t="shared" si="36"/>
        <v>-</v>
      </c>
      <c r="Z45" s="105" t="str">
        <f t="shared" si="8"/>
        <v>-</v>
      </c>
      <c r="AA45" s="105" t="str">
        <f t="shared" si="8"/>
        <v>-</v>
      </c>
    </row>
    <row r="46" spans="1:27" x14ac:dyDescent="0.3">
      <c r="A46" s="5" t="s">
        <v>61</v>
      </c>
      <c r="B46" s="25">
        <v>25008976.760000002</v>
      </c>
      <c r="C46" s="25">
        <v>0</v>
      </c>
      <c r="D46" s="18">
        <f t="shared" si="29"/>
        <v>0</v>
      </c>
      <c r="E46" s="25">
        <v>30417813.789999999</v>
      </c>
      <c r="F46" s="25">
        <v>0</v>
      </c>
      <c r="G46" s="18">
        <f t="shared" si="30"/>
        <v>0</v>
      </c>
      <c r="H46" s="95">
        <v>23879885.129999999</v>
      </c>
      <c r="I46" s="95">
        <v>0</v>
      </c>
      <c r="J46" s="18">
        <f t="shared" si="31"/>
        <v>0</v>
      </c>
      <c r="K46" s="114">
        <v>31985066.18</v>
      </c>
      <c r="L46" s="114">
        <v>0</v>
      </c>
      <c r="M46" s="18">
        <f t="shared" si="32"/>
        <v>0</v>
      </c>
      <c r="N46" s="114">
        <v>32388325.989999998</v>
      </c>
      <c r="O46" s="114">
        <v>0</v>
      </c>
      <c r="P46" s="18">
        <f t="shared" si="33"/>
        <v>0</v>
      </c>
      <c r="Q46" s="114">
        <v>26833525.34</v>
      </c>
      <c r="R46" s="114">
        <v>0</v>
      </c>
      <c r="S46" s="18">
        <f t="shared" si="34"/>
        <v>0</v>
      </c>
      <c r="T46" s="1">
        <v>27040590.609999999</v>
      </c>
      <c r="U46" s="114">
        <v>0</v>
      </c>
      <c r="V46" s="18">
        <f t="shared" si="35"/>
        <v>0</v>
      </c>
      <c r="W46" s="1">
        <v>32123937.809999999</v>
      </c>
      <c r="X46" s="114">
        <v>0</v>
      </c>
      <c r="Y46" s="18">
        <f t="shared" si="36"/>
        <v>0</v>
      </c>
      <c r="Z46" s="105">
        <f t="shared" si="8"/>
        <v>18.798950338459335</v>
      </c>
      <c r="AA46" s="105" t="str">
        <f t="shared" si="8"/>
        <v>-</v>
      </c>
    </row>
    <row r="47" spans="1:27" x14ac:dyDescent="0.3">
      <c r="A47" s="5" t="s">
        <v>62</v>
      </c>
      <c r="B47" s="25">
        <v>1402158.46</v>
      </c>
      <c r="C47" s="25">
        <v>0</v>
      </c>
      <c r="D47" s="18">
        <f t="shared" si="29"/>
        <v>0</v>
      </c>
      <c r="E47" s="25">
        <v>928055.07</v>
      </c>
      <c r="F47" s="25">
        <v>0</v>
      </c>
      <c r="G47" s="18">
        <f t="shared" si="30"/>
        <v>0</v>
      </c>
      <c r="H47" s="95">
        <v>877436.92</v>
      </c>
      <c r="I47" s="95">
        <v>0</v>
      </c>
      <c r="J47" s="18">
        <f t="shared" si="31"/>
        <v>0</v>
      </c>
      <c r="K47" s="114">
        <v>543860.74</v>
      </c>
      <c r="L47" s="114">
        <v>0</v>
      </c>
      <c r="M47" s="18">
        <f t="shared" si="32"/>
        <v>0</v>
      </c>
      <c r="N47" s="114">
        <v>168698.39</v>
      </c>
      <c r="O47" s="114">
        <v>0</v>
      </c>
      <c r="P47" s="18">
        <f t="shared" si="33"/>
        <v>0</v>
      </c>
      <c r="Q47" s="114">
        <v>1714353.06</v>
      </c>
      <c r="R47" s="114">
        <v>0</v>
      </c>
      <c r="S47" s="18">
        <f t="shared" si="34"/>
        <v>0</v>
      </c>
      <c r="T47" s="1">
        <v>1643696.19</v>
      </c>
      <c r="U47" s="114">
        <v>0</v>
      </c>
      <c r="V47" s="18">
        <f t="shared" si="35"/>
        <v>0</v>
      </c>
      <c r="W47" s="1">
        <v>3893572.21</v>
      </c>
      <c r="X47" s="114">
        <v>0</v>
      </c>
      <c r="Y47" s="18">
        <f t="shared" si="36"/>
        <v>0</v>
      </c>
      <c r="Z47" s="105">
        <f t="shared" si="8"/>
        <v>136.87906765787417</v>
      </c>
      <c r="AA47" s="105" t="str">
        <f t="shared" si="8"/>
        <v>-</v>
      </c>
    </row>
    <row r="48" spans="1:27" x14ac:dyDescent="0.3">
      <c r="A48" s="5" t="s">
        <v>63</v>
      </c>
      <c r="B48" s="25">
        <f>SUM(B23:B30)</f>
        <v>187585551.68000001</v>
      </c>
      <c r="C48" s="25">
        <f>SUM(C23:C30)</f>
        <v>152948373.83999997</v>
      </c>
      <c r="D48" s="18">
        <f t="shared" si="29"/>
        <v>81.535263494553575</v>
      </c>
      <c r="E48" s="25">
        <f>SUM(E23:E30)</f>
        <v>193142394.33000001</v>
      </c>
      <c r="F48" s="25">
        <f>SUM(F23:F30)</f>
        <v>153539977.36000001</v>
      </c>
      <c r="G48" s="18">
        <f t="shared" si="30"/>
        <v>79.495740897601209</v>
      </c>
      <c r="H48" s="95">
        <f>SUM(H23:H30)</f>
        <v>182279211.27000001</v>
      </c>
      <c r="I48" s="95">
        <f>SUM(I23:I30)</f>
        <v>147521624.94000003</v>
      </c>
      <c r="J48" s="18">
        <f t="shared" si="31"/>
        <v>80.931678336858994</v>
      </c>
      <c r="K48" s="114">
        <v>221303135.20999998</v>
      </c>
      <c r="L48" s="114">
        <v>174147749.03999999</v>
      </c>
      <c r="M48" s="18">
        <f t="shared" si="32"/>
        <v>78.69194843297042</v>
      </c>
      <c r="N48" s="114">
        <f t="shared" ref="N48:O48" si="37">SUM(N23:N30)</f>
        <v>190039076.19</v>
      </c>
      <c r="O48" s="114">
        <f t="shared" si="37"/>
        <v>149364175.60000002</v>
      </c>
      <c r="P48" s="18">
        <f t="shared" si="33"/>
        <v>78.596559504776039</v>
      </c>
      <c r="Q48" s="114">
        <f t="shared" ref="Q48:R48" si="38">SUM(Q23:Q30)</f>
        <v>203071298.18000001</v>
      </c>
      <c r="R48" s="114">
        <f t="shared" si="38"/>
        <v>150124078.48999998</v>
      </c>
      <c r="S48" s="18">
        <f t="shared" si="34"/>
        <v>73.926783270441192</v>
      </c>
      <c r="T48" s="114">
        <f t="shared" ref="T48:U48" si="39">SUM(T23:T30)</f>
        <v>215864021.19</v>
      </c>
      <c r="U48" s="114">
        <f t="shared" si="39"/>
        <v>173245956.09</v>
      </c>
      <c r="V48" s="18">
        <f t="shared" si="35"/>
        <v>80.256985455446383</v>
      </c>
      <c r="W48" s="114">
        <v>223957072.07999998</v>
      </c>
      <c r="X48" s="114">
        <v>180421555.90999997</v>
      </c>
      <c r="Y48" s="18">
        <f t="shared" si="36"/>
        <v>80.56077632839893</v>
      </c>
      <c r="Z48" s="105">
        <f t="shared" si="8"/>
        <v>3.7491430231796841</v>
      </c>
      <c r="AA48" s="105">
        <f t="shared" si="8"/>
        <v>4.1418570349037793</v>
      </c>
    </row>
    <row r="49" spans="1:27" x14ac:dyDescent="0.3">
      <c r="A49" s="5" t="s">
        <v>64</v>
      </c>
      <c r="B49" s="25">
        <f>SUM(B31:B35)</f>
        <v>19691183.229999997</v>
      </c>
      <c r="C49" s="25">
        <f>SUM(C31:C35)</f>
        <v>10328920.07</v>
      </c>
      <c r="D49" s="18">
        <f t="shared" si="29"/>
        <v>52.454542468852964</v>
      </c>
      <c r="E49" s="25">
        <f>SUM(E31:E35)</f>
        <v>21347206.010000002</v>
      </c>
      <c r="F49" s="25">
        <f>SUM(F31:F35)</f>
        <v>5715973.3899999997</v>
      </c>
      <c r="G49" s="18">
        <f t="shared" si="30"/>
        <v>26.776213183694285</v>
      </c>
      <c r="H49" s="95">
        <f>SUM(H31:H35)</f>
        <v>12102465.66</v>
      </c>
      <c r="I49" s="95">
        <f>SUM(I31:I35)</f>
        <v>4298940.1499999994</v>
      </c>
      <c r="J49" s="18">
        <f t="shared" si="31"/>
        <v>35.521192712064256</v>
      </c>
      <c r="K49" s="114">
        <v>35739241.609999999</v>
      </c>
      <c r="L49" s="114">
        <v>4865419.22</v>
      </c>
      <c r="M49" s="18">
        <f t="shared" si="32"/>
        <v>13.613661065036798</v>
      </c>
      <c r="N49" s="114">
        <f t="shared" ref="N49:O49" si="40">SUM(N31:N35)</f>
        <v>18168920.91</v>
      </c>
      <c r="O49" s="114">
        <f t="shared" si="40"/>
        <v>6896450.3600000003</v>
      </c>
      <c r="P49" s="18">
        <f t="shared" si="33"/>
        <v>37.957402061254278</v>
      </c>
      <c r="Q49" s="114">
        <f t="shared" ref="Q49:R49" si="41">SUM(Q31:Q35)</f>
        <v>25581142.780000001</v>
      </c>
      <c r="R49" s="114">
        <f t="shared" si="41"/>
        <v>9912679.2300000004</v>
      </c>
      <c r="S49" s="18">
        <f t="shared" si="34"/>
        <v>38.749946846588848</v>
      </c>
      <c r="T49" s="114">
        <f t="shared" ref="T49:U49" si="42">SUM(T31:T35)</f>
        <v>20168826.469999999</v>
      </c>
      <c r="U49" s="114">
        <f t="shared" si="42"/>
        <v>15870633.380000001</v>
      </c>
      <c r="V49" s="18">
        <f t="shared" si="35"/>
        <v>78.688928201185533</v>
      </c>
      <c r="W49" s="114">
        <v>56924862.359999999</v>
      </c>
      <c r="X49" s="114">
        <v>32027817.329999998</v>
      </c>
      <c r="Y49" s="18">
        <f t="shared" si="36"/>
        <v>56.263319755526233</v>
      </c>
      <c r="Z49" s="105">
        <f t="shared" si="8"/>
        <v>182.24181731481775</v>
      </c>
      <c r="AA49" s="105">
        <f t="shared" si="8"/>
        <v>101.8055395971852</v>
      </c>
    </row>
    <row r="50" spans="1:27" x14ac:dyDescent="0.3">
      <c r="A50" s="5" t="s">
        <v>65</v>
      </c>
      <c r="B50" s="25">
        <f>SUM(B36:B39)</f>
        <v>0</v>
      </c>
      <c r="C50" s="25">
        <f>SUM(C36:C39)</f>
        <v>0</v>
      </c>
      <c r="D50" s="18" t="str">
        <f t="shared" si="29"/>
        <v>-</v>
      </c>
      <c r="E50" s="25">
        <f>SUM(E36:E39)</f>
        <v>0</v>
      </c>
      <c r="F50" s="25">
        <f>SUM(F36:F39)</f>
        <v>0</v>
      </c>
      <c r="G50" s="18" t="str">
        <f t="shared" si="30"/>
        <v>-</v>
      </c>
      <c r="H50" s="95">
        <f>SUM(H36:H39)</f>
        <v>0</v>
      </c>
      <c r="I50" s="95">
        <f>SUM(I36:I39)</f>
        <v>0</v>
      </c>
      <c r="J50" s="18" t="str">
        <f t="shared" si="31"/>
        <v>-</v>
      </c>
      <c r="K50" s="114">
        <v>0</v>
      </c>
      <c r="L50" s="114">
        <v>0</v>
      </c>
      <c r="M50" s="18" t="str">
        <f t="shared" si="32"/>
        <v>-</v>
      </c>
      <c r="N50" s="114">
        <f t="shared" ref="N50:O50" si="43">SUM(N36:N39)</f>
        <v>0</v>
      </c>
      <c r="O50" s="114">
        <f t="shared" si="43"/>
        <v>0</v>
      </c>
      <c r="P50" s="18" t="str">
        <f t="shared" si="33"/>
        <v>-</v>
      </c>
      <c r="Q50" s="114">
        <f t="shared" ref="Q50:R50" si="44">SUM(Q36:Q39)</f>
        <v>38210</v>
      </c>
      <c r="R50" s="114">
        <f t="shared" si="44"/>
        <v>38210</v>
      </c>
      <c r="S50" s="18">
        <f t="shared" si="34"/>
        <v>100</v>
      </c>
      <c r="T50" s="114">
        <f t="shared" ref="T50:U50" si="45">SUM(T36:T39)</f>
        <v>0</v>
      </c>
      <c r="U50" s="114">
        <f t="shared" si="45"/>
        <v>0</v>
      </c>
      <c r="V50" s="18" t="str">
        <f t="shared" si="35"/>
        <v>-</v>
      </c>
      <c r="W50" s="114">
        <v>2500000</v>
      </c>
      <c r="X50" s="114">
        <v>2500000</v>
      </c>
      <c r="Y50" s="18">
        <f t="shared" si="36"/>
        <v>100</v>
      </c>
      <c r="Z50" s="105" t="str">
        <f t="shared" si="8"/>
        <v>-</v>
      </c>
      <c r="AA50" s="105" t="str">
        <f t="shared" si="8"/>
        <v>-</v>
      </c>
    </row>
    <row r="51" spans="1:27" x14ac:dyDescent="0.3">
      <c r="A51" s="5" t="s">
        <v>66</v>
      </c>
      <c r="B51" s="25">
        <f>SUM(B40:B44)</f>
        <v>1922384.11</v>
      </c>
      <c r="C51" s="25">
        <f>SUM(C40:C44)</f>
        <v>1922384.11</v>
      </c>
      <c r="D51" s="18">
        <f t="shared" si="29"/>
        <v>100</v>
      </c>
      <c r="E51" s="25">
        <f>SUM(E40:E44)</f>
        <v>1065590.05</v>
      </c>
      <c r="F51" s="25">
        <f>SUM(F40:F44)</f>
        <v>1065590.05</v>
      </c>
      <c r="G51" s="18">
        <f t="shared" si="30"/>
        <v>100</v>
      </c>
      <c r="H51" s="95">
        <f>SUM(H40:H44)</f>
        <v>1244357.56</v>
      </c>
      <c r="I51" s="95">
        <f>SUM(I40:I44)</f>
        <v>1244357.56</v>
      </c>
      <c r="J51" s="18">
        <f t="shared" si="31"/>
        <v>100</v>
      </c>
      <c r="K51" s="114">
        <v>1301222.6599999999</v>
      </c>
      <c r="L51" s="114">
        <v>1301222.6599999999</v>
      </c>
      <c r="M51" s="18">
        <f t="shared" si="32"/>
        <v>100</v>
      </c>
      <c r="N51" s="114">
        <f t="shared" ref="N51:O51" si="46">SUM(N40:N44)</f>
        <v>319242.32</v>
      </c>
      <c r="O51" s="114">
        <f t="shared" si="46"/>
        <v>319242.32</v>
      </c>
      <c r="P51" s="18">
        <f t="shared" si="33"/>
        <v>100</v>
      </c>
      <c r="Q51" s="114">
        <f t="shared" ref="Q51:R51" si="47">SUM(Q40:Q44)</f>
        <v>1624794.3</v>
      </c>
      <c r="R51" s="114">
        <f t="shared" si="47"/>
        <v>1559494.3</v>
      </c>
      <c r="S51" s="18">
        <f t="shared" si="34"/>
        <v>95.981029721731545</v>
      </c>
      <c r="T51" s="114">
        <f t="shared" ref="T51:U51" si="48">SUM(T40:T44)</f>
        <v>2001886.79</v>
      </c>
      <c r="U51" s="114">
        <f t="shared" si="48"/>
        <v>2001886.79</v>
      </c>
      <c r="V51" s="18">
        <f t="shared" si="35"/>
        <v>100</v>
      </c>
      <c r="W51" s="114">
        <v>2316079.84</v>
      </c>
      <c r="X51" s="114">
        <v>2316079.84</v>
      </c>
      <c r="Y51" s="18">
        <f t="shared" si="36"/>
        <v>100</v>
      </c>
      <c r="Z51" s="105">
        <f t="shared" si="8"/>
        <v>15.694846060700556</v>
      </c>
      <c r="AA51" s="105">
        <f t="shared" si="8"/>
        <v>15.694846060700556</v>
      </c>
    </row>
    <row r="52" spans="1:27" x14ac:dyDescent="0.3">
      <c r="A52" s="5" t="s">
        <v>67</v>
      </c>
      <c r="B52" s="25">
        <f>B45</f>
        <v>0</v>
      </c>
      <c r="C52" s="25">
        <f>C45</f>
        <v>0</v>
      </c>
      <c r="D52" s="18" t="str">
        <f t="shared" si="29"/>
        <v>-</v>
      </c>
      <c r="E52" s="25">
        <f>E45</f>
        <v>0</v>
      </c>
      <c r="F52" s="25">
        <f>F45</f>
        <v>0</v>
      </c>
      <c r="G52" s="18" t="str">
        <f t="shared" si="30"/>
        <v>-</v>
      </c>
      <c r="H52" s="95">
        <f>H45</f>
        <v>0</v>
      </c>
      <c r="I52" s="95">
        <f>I45</f>
        <v>0</v>
      </c>
      <c r="J52" s="18" t="str">
        <f t="shared" si="31"/>
        <v>-</v>
      </c>
      <c r="K52" s="114">
        <v>0</v>
      </c>
      <c r="L52" s="114">
        <v>0</v>
      </c>
      <c r="M52" s="18" t="str">
        <f t="shared" si="32"/>
        <v>-</v>
      </c>
      <c r="N52" s="114">
        <f t="shared" ref="N52:O52" si="49">N45</f>
        <v>0</v>
      </c>
      <c r="O52" s="114">
        <f t="shared" si="49"/>
        <v>0</v>
      </c>
      <c r="P52" s="18" t="str">
        <f t="shared" si="33"/>
        <v>-</v>
      </c>
      <c r="Q52" s="114">
        <f t="shared" ref="Q52:R52" si="50">Q45</f>
        <v>0</v>
      </c>
      <c r="R52" s="114">
        <f t="shared" si="50"/>
        <v>0</v>
      </c>
      <c r="S52" s="18" t="str">
        <f t="shared" si="34"/>
        <v>-</v>
      </c>
      <c r="T52" s="114">
        <f t="shared" ref="T52:U52" si="51">T45</f>
        <v>0</v>
      </c>
      <c r="U52" s="114">
        <f t="shared" si="51"/>
        <v>0</v>
      </c>
      <c r="V52" s="18" t="str">
        <f t="shared" si="35"/>
        <v>-</v>
      </c>
      <c r="W52" s="114">
        <v>0</v>
      </c>
      <c r="X52" s="114">
        <v>0</v>
      </c>
      <c r="Y52" s="18" t="str">
        <f t="shared" si="36"/>
        <v>-</v>
      </c>
      <c r="Z52" s="105" t="str">
        <f t="shared" si="8"/>
        <v>-</v>
      </c>
      <c r="AA52" s="105" t="str">
        <f t="shared" si="8"/>
        <v>-</v>
      </c>
    </row>
    <row r="53" spans="1:27" x14ac:dyDescent="0.3">
      <c r="A53" s="5" t="s">
        <v>68</v>
      </c>
      <c r="B53" s="25">
        <f>SUM(B46:B47)</f>
        <v>26411135.220000003</v>
      </c>
      <c r="C53" s="27">
        <v>24021353.640000001</v>
      </c>
      <c r="D53" s="18">
        <f t="shared" si="29"/>
        <v>90.95161355203571</v>
      </c>
      <c r="E53" s="25">
        <f>SUM(E46:E47)</f>
        <v>31345868.859999999</v>
      </c>
      <c r="F53" s="27">
        <v>21965901.960000001</v>
      </c>
      <c r="G53" s="18">
        <f t="shared" si="30"/>
        <v>70.075907157355473</v>
      </c>
      <c r="H53" s="95">
        <f>SUM(H46:H47)</f>
        <v>24757322.050000001</v>
      </c>
      <c r="I53" s="96">
        <v>22988235.510000002</v>
      </c>
      <c r="J53" s="18">
        <f t="shared" si="31"/>
        <v>92.854289585815692</v>
      </c>
      <c r="K53" s="114">
        <v>32528926.919999998</v>
      </c>
      <c r="L53" s="115">
        <v>23496000.489999998</v>
      </c>
      <c r="M53" s="18">
        <f t="shared" si="32"/>
        <v>72.231096180285562</v>
      </c>
      <c r="N53" s="114">
        <f>SUM(N46:N47)</f>
        <v>32557024.379999999</v>
      </c>
      <c r="O53" s="115">
        <v>22763801.57</v>
      </c>
      <c r="P53" s="18">
        <f t="shared" si="33"/>
        <v>69.919785371982456</v>
      </c>
      <c r="Q53" s="114">
        <f>SUM(Q46:Q47)</f>
        <v>28547878.399999999</v>
      </c>
      <c r="R53" s="115">
        <v>23378627.640000001</v>
      </c>
      <c r="S53" s="18">
        <f t="shared" si="34"/>
        <v>81.892697287095075</v>
      </c>
      <c r="T53" s="114">
        <f>SUM(T46:T47)</f>
        <v>28684286.800000001</v>
      </c>
      <c r="U53" s="115">
        <v>24457173.02</v>
      </c>
      <c r="V53" s="18">
        <f t="shared" si="35"/>
        <v>85.263312246619989</v>
      </c>
      <c r="W53" s="114">
        <v>36017510.019999996</v>
      </c>
      <c r="X53" s="115">
        <v>31366784.120000001</v>
      </c>
      <c r="Y53" s="18">
        <f t="shared" si="36"/>
        <v>87.087597400771145</v>
      </c>
      <c r="Z53" s="105">
        <f t="shared" si="8"/>
        <v>25.565297373891809</v>
      </c>
      <c r="AA53" s="105">
        <f t="shared" si="8"/>
        <v>28.251879701507704</v>
      </c>
    </row>
    <row r="54" spans="1:27" x14ac:dyDescent="0.3">
      <c r="A54" s="5" t="s">
        <v>69</v>
      </c>
      <c r="B54" s="17">
        <f>SUM(B48:B53)</f>
        <v>235610254.24000001</v>
      </c>
      <c r="C54" s="17">
        <f>SUM(C48:C53)</f>
        <v>189221031.65999997</v>
      </c>
      <c r="D54" s="18">
        <f t="shared" si="29"/>
        <v>80.311034114522656</v>
      </c>
      <c r="E54" s="22">
        <f>SUM(E48:E53)</f>
        <v>246901059.25</v>
      </c>
      <c r="F54" s="17">
        <f>SUM(F48:F53)</f>
        <v>182287442.76000002</v>
      </c>
      <c r="G54" s="18">
        <f t="shared" si="30"/>
        <v>73.83015824789338</v>
      </c>
      <c r="H54" s="22">
        <f>SUM(H48:H53)</f>
        <v>220383356.54000002</v>
      </c>
      <c r="I54" s="17">
        <f>SUM(I48:I53)</f>
        <v>176053158.16000003</v>
      </c>
      <c r="J54" s="18">
        <f t="shared" si="31"/>
        <v>79.884960880903009</v>
      </c>
      <c r="K54" s="22">
        <f>SUM(K48:K53)</f>
        <v>290872526.39999998</v>
      </c>
      <c r="L54" s="113">
        <f>SUM(L48:L53)</f>
        <v>203810391.41</v>
      </c>
      <c r="M54" s="18">
        <f t="shared" si="32"/>
        <v>70.068629008201853</v>
      </c>
      <c r="N54" s="22">
        <f>SUM(N48:N53)</f>
        <v>241084263.79999998</v>
      </c>
      <c r="O54" s="113">
        <f>SUM(O48:O53)</f>
        <v>179343669.85000002</v>
      </c>
      <c r="P54" s="18">
        <f t="shared" si="33"/>
        <v>74.390450468712856</v>
      </c>
      <c r="Q54" s="22">
        <f>SUM(Q48:Q53)</f>
        <v>258863323.66000003</v>
      </c>
      <c r="R54" s="113">
        <f>SUM(R48:R53)</f>
        <v>185013089.65999997</v>
      </c>
      <c r="S54" s="18">
        <f t="shared" si="34"/>
        <v>71.471341341117338</v>
      </c>
      <c r="T54" s="22">
        <f>SUM(T48:T53)</f>
        <v>266719021.25</v>
      </c>
      <c r="U54" s="113">
        <f>SUM(U48:U53)</f>
        <v>215575649.28</v>
      </c>
      <c r="V54" s="18">
        <f t="shared" si="35"/>
        <v>80.8250001329817</v>
      </c>
      <c r="W54" s="22">
        <v>321715524.29999995</v>
      </c>
      <c r="X54" s="17">
        <v>248632237.19999996</v>
      </c>
      <c r="Y54" s="18">
        <f t="shared" si="36"/>
        <v>77.283257542819172</v>
      </c>
      <c r="Z54" s="105">
        <f t="shared" si="8"/>
        <v>20.61964039619464</v>
      </c>
      <c r="AA54" s="105">
        <f t="shared" si="8"/>
        <v>15.334101059375428</v>
      </c>
    </row>
    <row r="55" spans="1:27" x14ac:dyDescent="0.3">
      <c r="A55" s="13" t="s">
        <v>70</v>
      </c>
      <c r="B55" s="14">
        <f>B54-B53</f>
        <v>209199119.02000001</v>
      </c>
      <c r="C55" s="14">
        <f>C54-C53</f>
        <v>165199678.01999998</v>
      </c>
      <c r="D55" s="19">
        <f t="shared" si="29"/>
        <v>78.967673857272047</v>
      </c>
      <c r="E55" s="23">
        <f>E54-E53</f>
        <v>215555190.38999999</v>
      </c>
      <c r="F55" s="14">
        <f>F54-F53</f>
        <v>160321540.80000001</v>
      </c>
      <c r="G55" s="19">
        <f t="shared" si="30"/>
        <v>74.376098534177373</v>
      </c>
      <c r="H55" s="23">
        <f>H54-H53</f>
        <v>195626034.49000001</v>
      </c>
      <c r="I55" s="14">
        <f>I54-I53</f>
        <v>153064922.65000004</v>
      </c>
      <c r="J55" s="19">
        <f t="shared" si="31"/>
        <v>78.243636154585744</v>
      </c>
      <c r="K55" s="23">
        <f>K54-K53</f>
        <v>258343599.47999999</v>
      </c>
      <c r="L55" s="14">
        <f>L54-L53</f>
        <v>180314390.91999999</v>
      </c>
      <c r="M55" s="19">
        <f t="shared" si="32"/>
        <v>69.796345364445258</v>
      </c>
      <c r="N55" s="23">
        <f>N54-N53</f>
        <v>208527239.41999999</v>
      </c>
      <c r="O55" s="14">
        <f>O54-O53</f>
        <v>156579868.28000003</v>
      </c>
      <c r="P55" s="19">
        <f t="shared" si="33"/>
        <v>75.088448260051322</v>
      </c>
      <c r="Q55" s="23">
        <f>Q54-Q53</f>
        <v>230315445.26000002</v>
      </c>
      <c r="R55" s="14">
        <f>R54-R53</f>
        <v>161634462.01999998</v>
      </c>
      <c r="S55" s="19">
        <f t="shared" si="34"/>
        <v>70.179601649178593</v>
      </c>
      <c r="T55" s="23">
        <f>T54-T53</f>
        <v>238034734.44999999</v>
      </c>
      <c r="U55" s="14">
        <f>U54-U53</f>
        <v>191118476.25999999</v>
      </c>
      <c r="V55" s="19">
        <f t="shared" si="35"/>
        <v>80.290162988857858</v>
      </c>
      <c r="W55" s="23">
        <v>285698014.27999997</v>
      </c>
      <c r="X55" s="14">
        <v>217265453.07999995</v>
      </c>
      <c r="Y55" s="19">
        <f t="shared" si="36"/>
        <v>76.047239469808744</v>
      </c>
      <c r="Z55" s="107">
        <f t="shared" si="8"/>
        <v>20.023665848654474</v>
      </c>
      <c r="AA55" s="107">
        <f t="shared" si="8"/>
        <v>13.681030391027861</v>
      </c>
    </row>
    <row r="56" spans="1:27" s="102" customFormat="1" x14ac:dyDescent="0.3">
      <c r="A56" s="109" t="s">
        <v>71</v>
      </c>
      <c r="B56" s="110">
        <f>B14-B48</f>
        <v>23984762.269999981</v>
      </c>
      <c r="C56" s="110">
        <f>C14-C48</f>
        <v>-18307926.479999959</v>
      </c>
      <c r="D56" s="20"/>
      <c r="E56" s="110">
        <f>E14-E48</f>
        <v>35087273.300000012</v>
      </c>
      <c r="F56" s="110">
        <f>F14-F48</f>
        <v>-6959071.4900000095</v>
      </c>
      <c r="G56" s="20"/>
      <c r="H56" s="110">
        <f>H14-H48</f>
        <v>90198416.369999975</v>
      </c>
      <c r="I56" s="110">
        <f>I14-I48</f>
        <v>58181824.669999987</v>
      </c>
      <c r="J56" s="20"/>
      <c r="K56" s="110">
        <f>K14-K48</f>
        <v>908702.59000000358</v>
      </c>
      <c r="L56" s="110">
        <f>L14-L48</f>
        <v>-27046637.289999992</v>
      </c>
      <c r="M56" s="20"/>
      <c r="N56" s="110">
        <f>N14-N48</f>
        <v>30838824.720000029</v>
      </c>
      <c r="O56" s="110">
        <f>O14-O48</f>
        <v>-10602342.76000002</v>
      </c>
      <c r="P56" s="20"/>
      <c r="Q56" s="110">
        <f>Q14-Q48</f>
        <v>32334915.430000007</v>
      </c>
      <c r="R56" s="110">
        <f>R14-R48</f>
        <v>-1163010.9899999797</v>
      </c>
      <c r="S56" s="20"/>
      <c r="T56" s="110">
        <f>T14-T48</f>
        <v>35910240.849999994</v>
      </c>
      <c r="U56" s="110">
        <f>U14-U48</f>
        <v>-13900673.590000004</v>
      </c>
      <c r="V56" s="20"/>
      <c r="W56" s="110">
        <f>W14-W48</f>
        <v>47040248.580000043</v>
      </c>
      <c r="X56" s="110">
        <f>X14-X48</f>
        <v>-11318357.229999959</v>
      </c>
      <c r="Y56" s="20"/>
      <c r="Z56" s="105">
        <f t="shared" ref="Z56:AA59" si="52">IF(T56&gt;0,W56/T56*100-100,"-")</f>
        <v>30.993965694886299</v>
      </c>
      <c r="AA56" s="105" t="str">
        <f t="shared" si="52"/>
        <v>-</v>
      </c>
    </row>
    <row r="57" spans="1:27" s="102" customFormat="1" x14ac:dyDescent="0.3">
      <c r="A57" s="109" t="s">
        <v>72</v>
      </c>
      <c r="B57" s="110">
        <f>B15-B49</f>
        <v>3423071.3800000027</v>
      </c>
      <c r="C57" s="110">
        <f>C15-C49</f>
        <v>-4412548.01</v>
      </c>
      <c r="D57" s="20"/>
      <c r="E57" s="110">
        <f>E15-E49</f>
        <v>-7690125.4100000001</v>
      </c>
      <c r="F57" s="110">
        <f>F15-F49</f>
        <v>2181768.5499999998</v>
      </c>
      <c r="G57" s="20"/>
      <c r="H57" s="110">
        <f>H15-H49</f>
        <v>-1222404.1199999992</v>
      </c>
      <c r="I57" s="110">
        <f>I15-I49</f>
        <v>1626174.2800000003</v>
      </c>
      <c r="J57" s="20"/>
      <c r="K57" s="110">
        <f>K15-K49</f>
        <v>13059386.399999999</v>
      </c>
      <c r="L57" s="110">
        <f>L15-L49</f>
        <v>-446443.66999999993</v>
      </c>
      <c r="M57" s="20"/>
      <c r="N57" s="110">
        <f>N15-N49</f>
        <v>17661019.150000002</v>
      </c>
      <c r="O57" s="110">
        <f>O15-O49</f>
        <v>663353.8599999994</v>
      </c>
      <c r="P57" s="20"/>
      <c r="Q57" s="110">
        <f>Q15-Q49</f>
        <v>-2522499.9800000042</v>
      </c>
      <c r="R57" s="110">
        <f>R15-R49</f>
        <v>-2713147.5900000008</v>
      </c>
      <c r="S57" s="20"/>
      <c r="T57" s="110">
        <f>T15-T49</f>
        <v>33560586</v>
      </c>
      <c r="U57" s="110">
        <f>U15-U49</f>
        <v>30848455.130000003</v>
      </c>
      <c r="V57" s="20"/>
      <c r="W57" s="110">
        <f>W15-W49</f>
        <v>-3735774.200000003</v>
      </c>
      <c r="X57" s="110">
        <f>X15-X49</f>
        <v>-11300117.309999995</v>
      </c>
      <c r="Y57" s="20"/>
      <c r="Z57" s="105">
        <f t="shared" si="52"/>
        <v>-111.13143316389053</v>
      </c>
      <c r="AA57" s="105">
        <f t="shared" si="52"/>
        <v>-136.63106389729927</v>
      </c>
    </row>
    <row r="58" spans="1:27" s="102" customFormat="1" x14ac:dyDescent="0.3">
      <c r="A58" s="109" t="s">
        <v>358</v>
      </c>
      <c r="B58" s="110">
        <f>SUM(B14:B16)-SUM(B48:B50)</f>
        <v>27407833.650000006</v>
      </c>
      <c r="C58" s="110">
        <f>SUM(C14:C16)-SUM(C48:C50)</f>
        <v>-22720474.48999995</v>
      </c>
      <c r="D58" s="20"/>
      <c r="E58" s="110">
        <f>SUM(E14:E16)-SUM(E48:E50)</f>
        <v>27397147.890000015</v>
      </c>
      <c r="F58" s="110">
        <f>SUM(F14:F16)-SUM(F48:F50)</f>
        <v>-4777302.9399999976</v>
      </c>
      <c r="G58" s="20"/>
      <c r="H58" s="110">
        <f>SUM(H14:H16)-SUM(H48:H50)</f>
        <v>88976012.25</v>
      </c>
      <c r="I58" s="110">
        <f>SUM(I14:I16)-SUM(I48:I50)</f>
        <v>59807998.949999988</v>
      </c>
      <c r="J58" s="20"/>
      <c r="K58" s="110">
        <f>SUM(K14:K16)-SUM(K48:K50)</f>
        <v>13968088.99000001</v>
      </c>
      <c r="L58" s="110">
        <f>SUM(L14:L16)-SUM(L48:L50)</f>
        <v>-27493080.959999979</v>
      </c>
      <c r="M58" s="20"/>
      <c r="N58" s="110">
        <f>SUM(N14:N16)-SUM(N48:N50)</f>
        <v>48499843.870000035</v>
      </c>
      <c r="O58" s="110">
        <f>SUM(O14:O16)-SUM(O48:O50)</f>
        <v>-9938988.9000000358</v>
      </c>
      <c r="P58" s="20"/>
      <c r="Q58" s="110">
        <f>SUM(Q14:Q16)-SUM(Q48:Q50)</f>
        <v>29774205.450000018</v>
      </c>
      <c r="R58" s="110">
        <f>SUM(R14:R16)-SUM(R48:R50)</f>
        <v>-3914368.5799999833</v>
      </c>
      <c r="S58" s="20"/>
      <c r="T58" s="110">
        <f>SUM(T14:T16)-SUM(T48:T50)</f>
        <v>69470826.849999994</v>
      </c>
      <c r="U58" s="110">
        <f>SUM(U14:U16)-SUM(U48:U50)</f>
        <v>16947781.539999992</v>
      </c>
      <c r="V58" s="20"/>
      <c r="W58" s="110">
        <f>SUM(W14:W16)-SUM(W48:W50)</f>
        <v>43304474.380000055</v>
      </c>
      <c r="X58" s="110">
        <f>SUM(X14:X16)-SUM(X48:X50)</f>
        <v>-22618474.539999932</v>
      </c>
      <c r="Y58" s="20"/>
      <c r="Z58" s="105">
        <f t="shared" si="52"/>
        <v>-37.665238282679148</v>
      </c>
      <c r="AA58" s="105">
        <f t="shared" si="52"/>
        <v>-233.45979523406072</v>
      </c>
    </row>
    <row r="59" spans="1:27" s="102" customFormat="1" x14ac:dyDescent="0.3">
      <c r="A59" s="109" t="s">
        <v>359</v>
      </c>
      <c r="B59" s="110">
        <f>B21-B55</f>
        <v>25485449.539999992</v>
      </c>
      <c r="C59" s="110">
        <f>C21-C55</f>
        <v>-24642858.599999964</v>
      </c>
      <c r="D59" s="101"/>
      <c r="E59" s="110">
        <f>E21-E55</f>
        <v>29331557.840000033</v>
      </c>
      <c r="F59" s="110">
        <f>F21-F55</f>
        <v>-2842892.9900000095</v>
      </c>
      <c r="G59" s="101"/>
      <c r="H59" s="110">
        <f>H21-H55</f>
        <v>87731654.689999998</v>
      </c>
      <c r="I59" s="110">
        <f>I21-I55</f>
        <v>58563641.389999986</v>
      </c>
      <c r="J59" s="101"/>
      <c r="K59" s="110">
        <f>K21-K55</f>
        <v>16054807.789999992</v>
      </c>
      <c r="L59" s="110">
        <f>L21-L55</f>
        <v>-28794303.619999975</v>
      </c>
      <c r="M59" s="101"/>
      <c r="N59" s="110">
        <f>N21-N55</f>
        <v>58486888.530000061</v>
      </c>
      <c r="O59" s="110">
        <f>O21-O55</f>
        <v>-10258231.220000029</v>
      </c>
      <c r="P59" s="101"/>
      <c r="Q59" s="110">
        <f>Q21-Q55</f>
        <v>31030429.74000001</v>
      </c>
      <c r="R59" s="110">
        <f>R21-R55</f>
        <v>-5473862.8799999952</v>
      </c>
      <c r="S59" s="101"/>
      <c r="T59" s="110">
        <f>T21-T55</f>
        <v>74978577.189999998</v>
      </c>
      <c r="U59" s="110">
        <f>U21-U55</f>
        <v>17544767.449999988</v>
      </c>
      <c r="V59" s="101"/>
      <c r="W59" s="110">
        <f>W21-W55</f>
        <v>43322383.280000091</v>
      </c>
      <c r="X59" s="110">
        <f>X21-X55</f>
        <v>-23613804.329999894</v>
      </c>
      <c r="Y59" s="101"/>
      <c r="Z59" s="105">
        <f t="shared" si="52"/>
        <v>-42.220318251413737</v>
      </c>
      <c r="AA59" s="105">
        <f t="shared" si="52"/>
        <v>-234.59172027954071</v>
      </c>
    </row>
    <row r="60" spans="1:27" s="102" customFormat="1" x14ac:dyDescent="0.3">
      <c r="A60" s="109" t="s">
        <v>360</v>
      </c>
      <c r="C60" s="104">
        <f>SUM(C14:C16)/SUM(B14:B16)*100</f>
        <v>59.891802977265172</v>
      </c>
      <c r="D60" s="101"/>
      <c r="F60" s="104">
        <f>SUM(F14:F16)/SUM(E14:E16)*100</f>
        <v>63.864039241667228</v>
      </c>
      <c r="G60" s="101"/>
      <c r="I60" s="104">
        <f>SUM(I14:I16)/SUM(H14:H16)*100</f>
        <v>74.686014221962822</v>
      </c>
      <c r="J60" s="101"/>
      <c r="L60" s="104">
        <f>SUM(L14:L16)/SUM(K14:K16)*100</f>
        <v>55.909312154102452</v>
      </c>
      <c r="M60" s="101"/>
      <c r="O60" s="104">
        <f>SUM(O14:O16)/SUM(N14:N16)*100</f>
        <v>56.999286234151199</v>
      </c>
      <c r="P60" s="101"/>
      <c r="R60" s="104">
        <f>SUM(R14:R16)/SUM(Q14:Q16)*100</f>
        <v>60.418503818671624</v>
      </c>
      <c r="S60" s="101"/>
      <c r="U60" s="104">
        <f>SUM(U14:U16)/SUM(T14:T16)*100</f>
        <v>67.450701318243858</v>
      </c>
      <c r="V60" s="101"/>
      <c r="X60" s="104">
        <f>SUM(X14:X16)/SUM(W14:W16)*100</f>
        <v>58.873247710152462</v>
      </c>
      <c r="Y60" s="101"/>
    </row>
    <row r="61" spans="1:27" s="102" customFormat="1" x14ac:dyDescent="0.3">
      <c r="A61" s="109" t="s">
        <v>361</v>
      </c>
      <c r="C61" s="104">
        <f>SUM(C48:C50)/SUM(B48:B50)*100</f>
        <v>78.772609951085599</v>
      </c>
      <c r="D61" s="101"/>
      <c r="F61" s="104">
        <f>SUM(F48:F50)/SUM(E48:E50)*100</f>
        <v>74.248798308894266</v>
      </c>
      <c r="G61" s="101"/>
      <c r="I61" s="104">
        <f>SUM(I48:I50)/SUM(H48:H50)*100</f>
        <v>78.104360188575328</v>
      </c>
      <c r="J61" s="101"/>
      <c r="L61" s="104">
        <f>SUM(L48:L50)/SUM(K48:K50)*100</f>
        <v>69.64344575188791</v>
      </c>
      <c r="M61" s="101"/>
      <c r="O61" s="104">
        <f>SUM(O48:O50)/SUM(N48:N50)*100</f>
        <v>75.050251736944475</v>
      </c>
      <c r="P61" s="101"/>
      <c r="R61" s="104">
        <f>SUM(R48:R50)/SUM(Q48:Q50)*100</f>
        <v>69.996288456933243</v>
      </c>
      <c r="S61" s="101"/>
      <c r="U61" s="104">
        <f>SUM(U48:U50)/SUM(T48:T50)*100</f>
        <v>80.122996161287759</v>
      </c>
      <c r="V61" s="101"/>
      <c r="X61" s="104">
        <f>SUM(X48:X50)/SUM(W48:W50)*100</f>
        <v>75.85147361802305</v>
      </c>
      <c r="Y61" s="101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K6" sqref="K6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02" customWidth="1"/>
  </cols>
  <sheetData>
    <row r="1" spans="1:12" ht="23.25" customHeight="1" x14ac:dyDescent="0.3">
      <c r="A1" s="68" t="s">
        <v>311</v>
      </c>
      <c r="B1" s="68" t="s">
        <v>312</v>
      </c>
      <c r="C1" s="68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18">
        <v>2019</v>
      </c>
      <c r="I1" s="118">
        <v>2020</v>
      </c>
      <c r="J1" s="118">
        <v>2021</v>
      </c>
      <c r="K1" s="118">
        <v>2022</v>
      </c>
      <c r="L1" s="118">
        <v>2023</v>
      </c>
    </row>
    <row r="2" spans="1:12" ht="29.25" customHeight="1" x14ac:dyDescent="0.3">
      <c r="A2" s="69" t="s">
        <v>313</v>
      </c>
      <c r="B2" s="69" t="s">
        <v>78</v>
      </c>
      <c r="C2" s="71" t="s">
        <v>321</v>
      </c>
      <c r="D2" s="83" t="s">
        <v>328</v>
      </c>
      <c r="E2" s="76">
        <f>Piano_indicatori!D3</f>
        <v>18.690000000000001</v>
      </c>
      <c r="F2" s="76">
        <f>Piano_indicatori!E3</f>
        <v>15.2</v>
      </c>
      <c r="G2" s="76">
        <f>Piano_indicatori!F3</f>
        <v>12.69</v>
      </c>
      <c r="H2" s="76">
        <f>Piano_indicatori!G3</f>
        <v>13.58</v>
      </c>
      <c r="I2" s="76">
        <f>Piano_indicatori!H3</f>
        <v>14.55</v>
      </c>
      <c r="J2" s="76">
        <f>Piano_indicatori!I3</f>
        <v>16.053000000000001</v>
      </c>
      <c r="K2" s="76">
        <f>Piano_indicatori!J3</f>
        <v>13.93</v>
      </c>
      <c r="L2" s="76">
        <f>Piano_indicatori!K3</f>
        <v>13.9</v>
      </c>
    </row>
    <row r="3" spans="1:12" ht="29.25" customHeight="1" x14ac:dyDescent="0.3">
      <c r="A3" s="70" t="s">
        <v>314</v>
      </c>
      <c r="B3" s="70" t="s">
        <v>95</v>
      </c>
      <c r="C3" s="72" t="s">
        <v>96</v>
      </c>
      <c r="D3" s="84" t="s">
        <v>329</v>
      </c>
      <c r="E3" s="77">
        <f>Piano_indicatori!D12</f>
        <v>26.81</v>
      </c>
      <c r="F3" s="77">
        <f>Piano_indicatori!E12</f>
        <v>25.38</v>
      </c>
      <c r="G3" s="77">
        <f>Piano_indicatori!F12</f>
        <v>43.48</v>
      </c>
      <c r="H3" s="77">
        <f>Piano_indicatori!G12</f>
        <v>22.19</v>
      </c>
      <c r="I3" s="77">
        <f>Piano_indicatori!H12</f>
        <v>33.85</v>
      </c>
      <c r="J3" s="77">
        <f>Piano_indicatori!I12</f>
        <v>32.258000000000003</v>
      </c>
      <c r="K3" s="77">
        <f>Piano_indicatori!J12</f>
        <v>26.34</v>
      </c>
      <c r="L3" s="77">
        <f>Piano_indicatori!K12</f>
        <v>33.46</v>
      </c>
    </row>
    <row r="4" spans="1:12" ht="29.25" customHeight="1" x14ac:dyDescent="0.3">
      <c r="A4" s="69" t="s">
        <v>315</v>
      </c>
      <c r="B4" s="69" t="s">
        <v>100</v>
      </c>
      <c r="C4" s="73" t="s">
        <v>324</v>
      </c>
      <c r="D4" s="83" t="s">
        <v>330</v>
      </c>
      <c r="E4" s="78">
        <f>Piano_indicatori!D15</f>
        <v>0</v>
      </c>
      <c r="F4" s="78">
        <f>Piano_indicatori!E15</f>
        <v>0</v>
      </c>
      <c r="G4" s="78">
        <f>Piano_indicatori!F15</f>
        <v>0</v>
      </c>
      <c r="H4" s="78">
        <f>Piano_indicatori!G15</f>
        <v>0</v>
      </c>
      <c r="I4" s="78">
        <f>Piano_indicatori!H15</f>
        <v>0</v>
      </c>
      <c r="J4" s="78">
        <f>Piano_indicatori!I15</f>
        <v>0</v>
      </c>
      <c r="K4" s="78">
        <f>Piano_indicatori!J15</f>
        <v>0</v>
      </c>
      <c r="L4" s="78">
        <f>Piano_indicatori!K15</f>
        <v>0</v>
      </c>
    </row>
    <row r="5" spans="1:12" ht="29.25" customHeight="1" x14ac:dyDescent="0.3">
      <c r="A5" s="70" t="s">
        <v>316</v>
      </c>
      <c r="B5" s="70" t="s">
        <v>165</v>
      </c>
      <c r="C5" s="74" t="s">
        <v>325</v>
      </c>
      <c r="D5" s="85" t="s">
        <v>331</v>
      </c>
      <c r="E5" s="79">
        <f>Piano_indicatori!D51</f>
        <v>1.38</v>
      </c>
      <c r="F5" s="79">
        <f>Piano_indicatori!E51</f>
        <v>0.88</v>
      </c>
      <c r="G5" s="79">
        <f>Piano_indicatori!F51</f>
        <v>0.78</v>
      </c>
      <c r="H5" s="79">
        <f>Piano_indicatori!G51</f>
        <v>0.91</v>
      </c>
      <c r="I5" s="79">
        <f>Piano_indicatori!H51</f>
        <v>0.43</v>
      </c>
      <c r="J5" s="79">
        <f>Piano_indicatori!I51</f>
        <v>0.97599999999999998</v>
      </c>
      <c r="K5" s="79">
        <f>Piano_indicatori!J51</f>
        <v>1.1100000000000001</v>
      </c>
      <c r="L5" s="79">
        <f>Piano_indicatori!K51</f>
        <v>1.18</v>
      </c>
    </row>
    <row r="6" spans="1:12" ht="29.25" customHeight="1" x14ac:dyDescent="0.3">
      <c r="A6" s="69" t="s">
        <v>317</v>
      </c>
      <c r="B6" s="69" t="s">
        <v>185</v>
      </c>
      <c r="C6" s="87" t="s">
        <v>186</v>
      </c>
      <c r="D6" s="86" t="s">
        <v>332</v>
      </c>
      <c r="E6" s="80">
        <f>Piano_indicatori!D62</f>
        <v>0</v>
      </c>
      <c r="F6" s="80">
        <f>Piano_indicatori!E62</f>
        <v>0</v>
      </c>
      <c r="G6" s="80">
        <f>Piano_indicatori!F62</f>
        <v>0</v>
      </c>
      <c r="H6" s="80">
        <f>Piano_indicatori!G62</f>
        <v>0</v>
      </c>
      <c r="I6" s="80">
        <f>Piano_indicatori!H62</f>
        <v>0</v>
      </c>
      <c r="J6" s="80">
        <f>Piano_indicatori!I62</f>
        <v>0</v>
      </c>
      <c r="K6" s="80">
        <f>Piano_indicatori!J62</f>
        <v>0</v>
      </c>
      <c r="L6" s="80">
        <f>Piano_indicatori!K62</f>
        <v>0</v>
      </c>
    </row>
    <row r="7" spans="1:12" ht="29.25" customHeight="1" x14ac:dyDescent="0.3">
      <c r="A7" s="70" t="s">
        <v>318</v>
      </c>
      <c r="B7" s="70" t="s">
        <v>188</v>
      </c>
      <c r="C7" s="74" t="s">
        <v>189</v>
      </c>
      <c r="D7" s="84" t="s">
        <v>333</v>
      </c>
      <c r="E7" s="81">
        <f>Piano_indicatori!D64</f>
        <v>1.43</v>
      </c>
      <c r="F7" s="81">
        <f>Piano_indicatori!E64</f>
        <v>5.74</v>
      </c>
      <c r="G7" s="81">
        <f>Piano_indicatori!F64</f>
        <v>0.75</v>
      </c>
      <c r="H7" s="81">
        <f>Piano_indicatori!G64</f>
        <v>8.48</v>
      </c>
      <c r="I7" s="81">
        <f>Piano_indicatori!H64</f>
        <v>1.36</v>
      </c>
      <c r="J7" s="81">
        <f>Piano_indicatori!I64</f>
        <v>1.2070000000000001</v>
      </c>
      <c r="K7" s="81">
        <f>Piano_indicatori!J64</f>
        <v>8.73</v>
      </c>
      <c r="L7" s="81">
        <f>Piano_indicatori!K64</f>
        <v>1.75</v>
      </c>
    </row>
    <row r="8" spans="1:12" ht="29.25" customHeight="1" x14ac:dyDescent="0.3">
      <c r="A8" s="69" t="s">
        <v>319</v>
      </c>
      <c r="B8" s="69" t="s">
        <v>323</v>
      </c>
      <c r="C8" s="73" t="s">
        <v>326</v>
      </c>
      <c r="D8" s="83" t="s">
        <v>334</v>
      </c>
      <c r="E8" s="78">
        <f>Piano_indicatori!D65+Piano_indicatori!D66</f>
        <v>1.4</v>
      </c>
      <c r="F8" s="78">
        <f>Piano_indicatori!E65+Piano_indicatori!E66</f>
        <v>1.85</v>
      </c>
      <c r="G8" s="78">
        <f>Piano_indicatori!F65+Piano_indicatori!F66</f>
        <v>0.14000000000000001</v>
      </c>
      <c r="H8" s="78">
        <f>Piano_indicatori!G65+Piano_indicatori!G66</f>
        <v>0</v>
      </c>
      <c r="I8" s="78">
        <f>Piano_indicatori!H65+Piano_indicatori!H66</f>
        <v>0</v>
      </c>
      <c r="J8" s="78">
        <f>Piano_indicatori!I65+Piano_indicatori!I66</f>
        <v>6.3E-2</v>
      </c>
      <c r="K8" s="78">
        <f>Piano_indicatori!J65+Piano_indicatori!J66</f>
        <v>0.02</v>
      </c>
      <c r="L8" s="78">
        <f>Piano_indicatori!K65+Piano_indicatori!K66</f>
        <v>0</v>
      </c>
    </row>
    <row r="9" spans="1:12" ht="29.25" customHeight="1" x14ac:dyDescent="0.3">
      <c r="A9" s="70" t="s">
        <v>320</v>
      </c>
      <c r="B9" s="70"/>
      <c r="C9" s="75" t="s">
        <v>327</v>
      </c>
      <c r="D9" s="85" t="s">
        <v>335</v>
      </c>
      <c r="E9" s="82">
        <f>Piano_indicatori!D76</f>
        <v>49.514893791022693</v>
      </c>
      <c r="F9" s="82">
        <f>Piano_indicatori!E76</f>
        <v>47.579702724084825</v>
      </c>
      <c r="G9" s="82">
        <f>Piano_indicatori!F76</f>
        <v>50.437282095795688</v>
      </c>
      <c r="H9" s="82">
        <f>Piano_indicatori!G76</f>
        <v>38.337193190546273</v>
      </c>
      <c r="I9" s="82">
        <f>Piano_indicatori!H76</f>
        <v>33.741748985406801</v>
      </c>
      <c r="J9" s="82">
        <f>Piano_indicatori!I76</f>
        <v>37.674936691601701</v>
      </c>
      <c r="K9" s="82">
        <f>Piano_indicatori!J76</f>
        <v>42.987608519709219</v>
      </c>
      <c r="L9" s="82">
        <f>Piano_indicatori!K76</f>
        <v>39.659188498019738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102" customWidth="1"/>
    <col min="7" max="7" width="8.88671875" style="102"/>
  </cols>
  <sheetData>
    <row r="1" spans="1:20" ht="43.2" x14ac:dyDescent="0.3">
      <c r="A1" s="90" t="s">
        <v>336</v>
      </c>
      <c r="B1" s="90" t="s">
        <v>337</v>
      </c>
      <c r="C1" s="90" t="s">
        <v>351</v>
      </c>
      <c r="D1" s="90" t="s">
        <v>352</v>
      </c>
      <c r="E1" s="90" t="s">
        <v>353</v>
      </c>
      <c r="F1" s="90" t="s">
        <v>364</v>
      </c>
      <c r="G1" s="90" t="s">
        <v>354</v>
      </c>
    </row>
    <row r="2" spans="1:20" s="102" customFormat="1" x14ac:dyDescent="0.3">
      <c r="A2" s="29">
        <v>2024</v>
      </c>
      <c r="B2" s="1">
        <v>186798</v>
      </c>
      <c r="C2" s="1">
        <v>553170</v>
      </c>
      <c r="D2" s="90"/>
    </row>
    <row r="3" spans="1:20" s="102" customFormat="1" x14ac:dyDescent="0.3">
      <c r="A3" s="29">
        <v>2023</v>
      </c>
      <c r="B3" s="1">
        <v>188310</v>
      </c>
      <c r="C3" s="1">
        <v>556692</v>
      </c>
      <c r="D3" s="1">
        <v>-1267</v>
      </c>
      <c r="E3" s="102">
        <v>-245</v>
      </c>
      <c r="G3" s="1">
        <f t="shared" ref="G3:G11" si="0">B2-B3-D3-E3-F3</f>
        <v>0</v>
      </c>
    </row>
    <row r="4" spans="1:20" s="102" customFormat="1" x14ac:dyDescent="0.3">
      <c r="A4" s="29">
        <v>2022</v>
      </c>
      <c r="B4" s="1">
        <v>189461</v>
      </c>
      <c r="C4" s="1">
        <v>559892</v>
      </c>
      <c r="D4" s="1">
        <v>-1207</v>
      </c>
      <c r="E4" s="1">
        <v>-323</v>
      </c>
      <c r="F4" s="1">
        <v>379</v>
      </c>
      <c r="G4" s="1">
        <f t="shared" si="0"/>
        <v>0</v>
      </c>
    </row>
    <row r="5" spans="1:20" s="102" customFormat="1" x14ac:dyDescent="0.3">
      <c r="A5" s="29">
        <v>2021</v>
      </c>
      <c r="B5" s="1">
        <v>190717</v>
      </c>
      <c r="C5" s="1">
        <v>561958</v>
      </c>
      <c r="D5" s="1">
        <v>-1366</v>
      </c>
      <c r="E5" s="1">
        <v>-402</v>
      </c>
      <c r="F5" s="1">
        <v>512</v>
      </c>
      <c r="G5" s="1">
        <f t="shared" si="0"/>
        <v>0</v>
      </c>
    </row>
    <row r="6" spans="1:20" x14ac:dyDescent="0.3">
      <c r="A6" s="29">
        <v>2020</v>
      </c>
      <c r="B6" s="1">
        <v>191050</v>
      </c>
      <c r="C6" s="1">
        <v>563995</v>
      </c>
      <c r="D6" s="1">
        <v>-1119</v>
      </c>
      <c r="E6" s="1">
        <v>-506</v>
      </c>
      <c r="F6" s="1">
        <v>1292</v>
      </c>
      <c r="G6" s="1">
        <f t="shared" si="0"/>
        <v>0</v>
      </c>
    </row>
    <row r="7" spans="1:20" x14ac:dyDescent="0.3">
      <c r="A7" s="29">
        <v>2019</v>
      </c>
      <c r="B7" s="1">
        <v>192775</v>
      </c>
      <c r="C7" s="1">
        <v>568258</v>
      </c>
      <c r="D7" s="1">
        <v>-841</v>
      </c>
      <c r="E7" s="1">
        <v>-614</v>
      </c>
      <c r="F7" s="1">
        <v>-270</v>
      </c>
      <c r="G7" s="1">
        <f t="shared" si="0"/>
        <v>0</v>
      </c>
      <c r="K7" s="123"/>
      <c r="L7" s="124"/>
      <c r="M7" s="124"/>
      <c r="N7" s="124"/>
      <c r="O7" s="124"/>
      <c r="P7" s="124"/>
      <c r="Q7" s="123"/>
      <c r="R7" s="123"/>
      <c r="S7" s="124"/>
      <c r="T7" s="124"/>
    </row>
    <row r="8" spans="1:20" x14ac:dyDescent="0.3">
      <c r="A8" s="29">
        <v>2018</v>
      </c>
      <c r="B8" s="1">
        <v>194227</v>
      </c>
      <c r="C8" s="1">
        <v>572436</v>
      </c>
      <c r="D8" s="1">
        <v>-809</v>
      </c>
      <c r="E8" s="1">
        <v>-643</v>
      </c>
      <c r="F8" s="1"/>
      <c r="G8" s="1">
        <f t="shared" si="0"/>
        <v>0</v>
      </c>
      <c r="K8" s="123"/>
      <c r="L8" s="124"/>
      <c r="M8" s="124"/>
      <c r="N8" s="124"/>
      <c r="O8" s="124"/>
      <c r="P8" s="124"/>
      <c r="Q8" s="123"/>
      <c r="R8" s="123"/>
      <c r="S8" s="124"/>
      <c r="T8" s="124"/>
    </row>
    <row r="9" spans="1:20" x14ac:dyDescent="0.3">
      <c r="A9" s="29">
        <v>2017</v>
      </c>
      <c r="B9" s="1">
        <v>195386</v>
      </c>
      <c r="C9" s="1">
        <v>576041</v>
      </c>
      <c r="D9" s="1">
        <v>-722</v>
      </c>
      <c r="E9" s="1">
        <v>-437</v>
      </c>
      <c r="F9" s="1"/>
      <c r="G9" s="1">
        <f t="shared" si="0"/>
        <v>0</v>
      </c>
      <c r="K9" s="123"/>
      <c r="L9" s="124"/>
      <c r="M9" s="124"/>
      <c r="N9" s="124"/>
      <c r="O9" s="124"/>
      <c r="P9" s="124"/>
      <c r="Q9" s="123"/>
      <c r="R9" s="123"/>
      <c r="S9" s="124"/>
      <c r="T9" s="124"/>
    </row>
    <row r="10" spans="1:20" x14ac:dyDescent="0.3">
      <c r="A10" s="29">
        <v>2016</v>
      </c>
      <c r="B10" s="1">
        <v>196713</v>
      </c>
      <c r="C10" s="1">
        <v>579310</v>
      </c>
      <c r="D10" s="1">
        <v>-578</v>
      </c>
      <c r="E10" s="1">
        <v>-749</v>
      </c>
      <c r="F10" s="1"/>
      <c r="G10" s="1">
        <f t="shared" si="0"/>
        <v>0</v>
      </c>
      <c r="K10" s="123"/>
      <c r="L10" s="124"/>
      <c r="M10" s="124"/>
      <c r="N10" s="124"/>
      <c r="O10" s="124"/>
      <c r="P10" s="124"/>
      <c r="Q10" s="123"/>
      <c r="R10" s="123"/>
      <c r="S10" s="124"/>
      <c r="T10" s="124"/>
    </row>
    <row r="11" spans="1:20" x14ac:dyDescent="0.3">
      <c r="A11" s="29">
        <v>2015</v>
      </c>
      <c r="B11" s="1">
        <v>197486</v>
      </c>
      <c r="C11" s="1">
        <v>582400</v>
      </c>
      <c r="D11">
        <v>-473</v>
      </c>
      <c r="E11">
        <v>-300</v>
      </c>
      <c r="F11" s="1"/>
      <c r="G11" s="1">
        <f t="shared" si="0"/>
        <v>0</v>
      </c>
    </row>
    <row r="32" spans="6:6" x14ac:dyDescent="0.3">
      <c r="F32" s="123"/>
    </row>
    <row r="33" spans="6:6" x14ac:dyDescent="0.3">
      <c r="F33" s="123"/>
    </row>
    <row r="34" spans="6:6" x14ac:dyDescent="0.3">
      <c r="F34" s="123"/>
    </row>
    <row r="35" spans="6:6" x14ac:dyDescent="0.3">
      <c r="F35" s="123"/>
    </row>
    <row r="36" spans="6:6" x14ac:dyDescent="0.3">
      <c r="F36" s="123"/>
    </row>
    <row r="37" spans="6:6" x14ac:dyDescent="0.3">
      <c r="F37" s="123"/>
    </row>
    <row r="38" spans="6:6" x14ac:dyDescent="0.3">
      <c r="F38" s="123"/>
    </row>
    <row r="39" spans="6:6" x14ac:dyDescent="0.3">
      <c r="F39" s="123"/>
    </row>
    <row r="40" spans="6:6" x14ac:dyDescent="0.3">
      <c r="F40" s="123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44140625" bestFit="1" customWidth="1"/>
    <col min="4" max="8" width="12.44140625" style="102" bestFit="1" customWidth="1"/>
    <col min="9" max="9" width="12.44140625" bestFit="1" customWidth="1"/>
    <col min="10" max="10" width="8.44140625" customWidth="1"/>
    <col min="11" max="11" width="6.5546875" style="102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8">
        <v>2018</v>
      </c>
      <c r="E1" s="118">
        <v>2019</v>
      </c>
      <c r="F1" s="118">
        <v>2020</v>
      </c>
      <c r="G1" s="118">
        <v>2021</v>
      </c>
      <c r="H1" s="118">
        <v>2022</v>
      </c>
      <c r="I1" s="118">
        <v>2023</v>
      </c>
      <c r="J1" s="119" t="s">
        <v>297</v>
      </c>
      <c r="K1" s="118" t="s">
        <v>233</v>
      </c>
      <c r="L1" s="119" t="s">
        <v>366</v>
      </c>
      <c r="M1" s="40" t="s">
        <v>269</v>
      </c>
    </row>
    <row r="2" spans="1:13" x14ac:dyDescent="0.3">
      <c r="A2" s="50" t="s">
        <v>20</v>
      </c>
      <c r="B2" s="51">
        <f>Entrate_Uscite!B3</f>
        <v>149821308.02000001</v>
      </c>
      <c r="C2" s="51">
        <f>Entrate_Uscite!E3</f>
        <v>148979932.09</v>
      </c>
      <c r="D2" s="112">
        <f>Entrate_Uscite!H3</f>
        <v>142498595.83000001</v>
      </c>
      <c r="E2" s="112">
        <f>Entrate_Uscite!K3</f>
        <v>153367043.16999999</v>
      </c>
      <c r="F2" s="112">
        <f>Entrate_Uscite!N3</f>
        <v>138124816.33000001</v>
      </c>
      <c r="G2" s="112">
        <f>Entrate_Uscite!Q3</f>
        <v>149904864.15000001</v>
      </c>
      <c r="H2" s="112">
        <f>Entrate_Uscite!T3</f>
        <v>156216596.63999999</v>
      </c>
      <c r="I2" s="51">
        <f>Entrate_Uscite!W3</f>
        <v>166238329.93000001</v>
      </c>
      <c r="J2" s="51">
        <f>I2/I$21*100</f>
        <v>50.525235262863852</v>
      </c>
      <c r="K2" s="52">
        <f>IF(H2&gt;0,I2/H2*100-100,"-")</f>
        <v>6.4152807739724693</v>
      </c>
      <c r="L2" s="51">
        <f>Entrate_Uscite!X3</f>
        <v>110769566.72</v>
      </c>
      <c r="M2" s="53">
        <f>IF(I2&gt;0,L2/I2*100,"-")</f>
        <v>66.632988172248304</v>
      </c>
    </row>
    <row r="3" spans="1:13" x14ac:dyDescent="0.3">
      <c r="A3" s="50" t="s">
        <v>21</v>
      </c>
      <c r="B3" s="51">
        <f>Entrate_Uscite!B4</f>
        <v>40438637.920000002</v>
      </c>
      <c r="C3" s="51">
        <f>Entrate_Uscite!E4</f>
        <v>40070570.770000003</v>
      </c>
      <c r="D3" s="112">
        <f>Entrate_Uscite!H4</f>
        <v>38737501.630000003</v>
      </c>
      <c r="E3" s="112">
        <f>Entrate_Uscite!K4</f>
        <v>49996031.420000002</v>
      </c>
      <c r="F3" s="112">
        <f>Entrate_Uscite!N4</f>
        <v>57258003.619999997</v>
      </c>
      <c r="G3" s="112">
        <f>Entrate_Uscite!Q4</f>
        <v>56854663.770000003</v>
      </c>
      <c r="H3" s="112">
        <f>Entrate_Uscite!T4</f>
        <v>62688409.469999999</v>
      </c>
      <c r="I3" s="51">
        <f>Entrate_Uscite!W4</f>
        <v>60892421.270000003</v>
      </c>
      <c r="J3" s="51">
        <f t="shared" ref="J3:J21" si="0">I3/I$21*100</f>
        <v>18.507187311660726</v>
      </c>
      <c r="K3" s="52">
        <f t="shared" ref="K3:K21" si="1">IF(H3&gt;0,I3/H3*100-100,"-")</f>
        <v>-2.8649445969106608</v>
      </c>
      <c r="L3" s="51">
        <f>Entrate_Uscite!X4</f>
        <v>38982245.369999997</v>
      </c>
      <c r="M3" s="53">
        <f t="shared" ref="M3:M21" si="2">IF(I3&gt;0,L3/I3*100,"-")</f>
        <v>64.01822190178774</v>
      </c>
    </row>
    <row r="4" spans="1:13" x14ac:dyDescent="0.3">
      <c r="A4" s="50" t="s">
        <v>22</v>
      </c>
      <c r="B4" s="51">
        <f>Entrate_Uscite!B5</f>
        <v>21310368.010000002</v>
      </c>
      <c r="C4" s="51">
        <f>Entrate_Uscite!E5</f>
        <v>39179164.770000003</v>
      </c>
      <c r="D4" s="112">
        <f>Entrate_Uscite!H5</f>
        <v>91241530.180000007</v>
      </c>
      <c r="E4" s="112">
        <f>Entrate_Uscite!K5</f>
        <v>18848763.210000001</v>
      </c>
      <c r="F4" s="112">
        <f>Entrate_Uscite!N5</f>
        <v>25495080.960000001</v>
      </c>
      <c r="G4" s="112">
        <f>Entrate_Uscite!Q5</f>
        <v>28646685.690000001</v>
      </c>
      <c r="H4" s="112">
        <f>Entrate_Uscite!T5</f>
        <v>32869255.93</v>
      </c>
      <c r="I4" s="51">
        <f>Entrate_Uscite!W5</f>
        <v>43866569.460000001</v>
      </c>
      <c r="J4" s="51">
        <f t="shared" si="0"/>
        <v>13.332477191478837</v>
      </c>
      <c r="K4" s="52">
        <f t="shared" si="1"/>
        <v>33.457750164531944</v>
      </c>
      <c r="L4" s="51">
        <f>Entrate_Uscite!X5</f>
        <v>19351386.59</v>
      </c>
      <c r="M4" s="53">
        <f t="shared" si="2"/>
        <v>44.114200923885058</v>
      </c>
    </row>
    <row r="5" spans="1:13" x14ac:dyDescent="0.3">
      <c r="A5" s="4" t="s">
        <v>31</v>
      </c>
      <c r="B5" s="41">
        <f t="shared" ref="B5:I5" si="3">SUM(B2:B4)</f>
        <v>211570313.94999999</v>
      </c>
      <c r="C5" s="41">
        <f t="shared" si="3"/>
        <v>228229667.63000003</v>
      </c>
      <c r="D5" s="41">
        <f t="shared" si="3"/>
        <v>272477627.63999999</v>
      </c>
      <c r="E5" s="41">
        <f t="shared" si="3"/>
        <v>222211837.79999998</v>
      </c>
      <c r="F5" s="41">
        <f t="shared" si="3"/>
        <v>220877900.91000003</v>
      </c>
      <c r="G5" s="41">
        <f t="shared" ref="G5:H5" si="4">SUM(G2:G4)</f>
        <v>235406213.61000001</v>
      </c>
      <c r="H5" s="41">
        <f t="shared" si="4"/>
        <v>251774262.03999999</v>
      </c>
      <c r="I5" s="41">
        <f t="shared" si="3"/>
        <v>270997320.66000003</v>
      </c>
      <c r="J5" s="41">
        <f t="shared" si="0"/>
        <v>82.364899766003418</v>
      </c>
      <c r="K5" s="106">
        <f t="shared" si="1"/>
        <v>7.6350372211382052</v>
      </c>
      <c r="L5" s="41">
        <f>SUM(L2:L4)</f>
        <v>169103198.68000001</v>
      </c>
      <c r="M5" s="42">
        <f>IF(I5&gt;0,L5/I5*100,"-")</f>
        <v>62.400321253419733</v>
      </c>
    </row>
    <row r="6" spans="1:13" x14ac:dyDescent="0.3">
      <c r="A6" s="50" t="s">
        <v>23</v>
      </c>
      <c r="B6" s="51">
        <f>Entrate_Uscite!B6</f>
        <v>0</v>
      </c>
      <c r="C6" s="51">
        <f>Entrate_Uscite!E6</f>
        <v>0</v>
      </c>
      <c r="D6" s="112">
        <f>Entrate_Uscite!H6</f>
        <v>0</v>
      </c>
      <c r="E6" s="112">
        <f>Entrate_Uscite!K6</f>
        <v>0</v>
      </c>
      <c r="F6" s="112">
        <f>Entrate_Uscite!N6</f>
        <v>0</v>
      </c>
      <c r="G6" s="112">
        <f>Entrate_Uscite!Q6</f>
        <v>0</v>
      </c>
      <c r="H6" s="112">
        <f>Entrate_Uscite!T6</f>
        <v>0</v>
      </c>
      <c r="I6" s="51">
        <f>Entrate_Uscite!W6</f>
        <v>0</v>
      </c>
      <c r="J6" s="51">
        <f t="shared" si="0"/>
        <v>0</v>
      </c>
      <c r="K6" s="52" t="str">
        <f t="shared" si="1"/>
        <v>-</v>
      </c>
      <c r="L6" s="51">
        <f>Entrate_Uscite!X6</f>
        <v>0</v>
      </c>
      <c r="M6" s="53" t="str">
        <f t="shared" si="2"/>
        <v>-</v>
      </c>
    </row>
    <row r="7" spans="1:13" x14ac:dyDescent="0.3">
      <c r="A7" s="50" t="s">
        <v>24</v>
      </c>
      <c r="B7" s="51">
        <f>Entrate_Uscite!B7</f>
        <v>15028742.65</v>
      </c>
      <c r="C7" s="51">
        <f>Entrate_Uscite!E7</f>
        <v>3930173.35</v>
      </c>
      <c r="D7" s="112">
        <f>Entrate_Uscite!H7</f>
        <v>4305173.1900000004</v>
      </c>
      <c r="E7" s="112">
        <f>Entrate_Uscite!K7</f>
        <v>40193843.609999999</v>
      </c>
      <c r="F7" s="112">
        <f>Entrate_Uscite!N7</f>
        <v>30021521.350000001</v>
      </c>
      <c r="G7" s="112">
        <f>Entrate_Uscite!Q7</f>
        <v>13465915.52</v>
      </c>
      <c r="H7" s="112">
        <f>Entrate_Uscite!T7</f>
        <v>46974121.780000001</v>
      </c>
      <c r="I7" s="51">
        <f>Entrate_Uscite!W7</f>
        <v>48732321.479999997</v>
      </c>
      <c r="J7" s="51">
        <f t="shared" si="0"/>
        <v>14.811337485881307</v>
      </c>
      <c r="K7" s="52">
        <f t="shared" si="1"/>
        <v>3.7429112740721422</v>
      </c>
      <c r="L7" s="51">
        <f>Entrate_Uscite!X7</f>
        <v>17007404.010000002</v>
      </c>
      <c r="M7" s="53">
        <f t="shared" si="2"/>
        <v>34.899638460646557</v>
      </c>
    </row>
    <row r="8" spans="1:13" x14ac:dyDescent="0.3">
      <c r="A8" s="50" t="s">
        <v>25</v>
      </c>
      <c r="B8" s="51">
        <f>Entrate_Uscite!B8</f>
        <v>4129587</v>
      </c>
      <c r="C8" s="51">
        <f>Entrate_Uscite!E8</f>
        <v>2800522.57</v>
      </c>
      <c r="D8" s="112">
        <f>Entrate_Uscite!H8</f>
        <v>2498150.33</v>
      </c>
      <c r="E8" s="112">
        <f>Entrate_Uscite!K8</f>
        <v>4496920.01</v>
      </c>
      <c r="F8" s="112">
        <f>Entrate_Uscite!N8</f>
        <v>1912718.82</v>
      </c>
      <c r="G8" s="112">
        <f>Entrate_Uscite!Q8</f>
        <v>4727671.18</v>
      </c>
      <c r="H8" s="112">
        <f>Entrate_Uscite!T8</f>
        <v>859731.23</v>
      </c>
      <c r="I8" s="51">
        <f>Entrate_Uscite!W8</f>
        <v>428871.11</v>
      </c>
      <c r="J8" s="51">
        <f t="shared" si="0"/>
        <v>0.13034787909214388</v>
      </c>
      <c r="K8" s="52">
        <f t="shared" si="1"/>
        <v>-50.115676267802904</v>
      </c>
      <c r="L8" s="51">
        <f>Entrate_Uscite!X8</f>
        <v>0</v>
      </c>
      <c r="M8" s="53">
        <f t="shared" si="2"/>
        <v>0</v>
      </c>
    </row>
    <row r="9" spans="1:13" x14ac:dyDescent="0.3">
      <c r="A9" s="50" t="s">
        <v>26</v>
      </c>
      <c r="B9" s="51">
        <f>Entrate_Uscite!B9</f>
        <v>482254.18</v>
      </c>
      <c r="C9" s="51">
        <f>Entrate_Uscite!E9</f>
        <v>873629.7</v>
      </c>
      <c r="D9" s="112">
        <f>Entrate_Uscite!H9</f>
        <v>616313.75</v>
      </c>
      <c r="E9" s="112">
        <f>Entrate_Uscite!K9</f>
        <v>415494</v>
      </c>
      <c r="F9" s="112">
        <f>Entrate_Uscite!N9</f>
        <v>721211.91</v>
      </c>
      <c r="G9" s="112">
        <f>Entrate_Uscite!Q9</f>
        <v>951049.13</v>
      </c>
      <c r="H9" s="112">
        <f>Entrate_Uscite!T9</f>
        <v>694850.31</v>
      </c>
      <c r="I9" s="51">
        <f>Entrate_Uscite!W9</f>
        <v>500089.84</v>
      </c>
      <c r="J9" s="51">
        <f t="shared" si="0"/>
        <v>0.15199356748354906</v>
      </c>
      <c r="K9" s="52">
        <f t="shared" si="1"/>
        <v>-28.029126158121741</v>
      </c>
      <c r="L9" s="51">
        <f>Entrate_Uscite!X9</f>
        <v>482019.84000000003</v>
      </c>
      <c r="M9" s="53">
        <f t="shared" si="2"/>
        <v>96.386649246863314</v>
      </c>
    </row>
    <row r="10" spans="1:13" x14ac:dyDescent="0.3">
      <c r="A10" s="50" t="s">
        <v>27</v>
      </c>
      <c r="B10" s="51">
        <f>Entrate_Uscite!B10</f>
        <v>3473670.78</v>
      </c>
      <c r="C10" s="51">
        <f>Entrate_Uscite!E10</f>
        <v>6052754.9800000004</v>
      </c>
      <c r="D10" s="112">
        <f>Entrate_Uscite!H10</f>
        <v>3460424.27</v>
      </c>
      <c r="E10" s="112">
        <f>Entrate_Uscite!K10</f>
        <v>3692370.39</v>
      </c>
      <c r="F10" s="112">
        <f>Entrate_Uscite!N10</f>
        <v>3174487.98</v>
      </c>
      <c r="G10" s="112">
        <f>Entrate_Uscite!Q10</f>
        <v>3914006.97</v>
      </c>
      <c r="H10" s="112">
        <f>Entrate_Uscite!T10</f>
        <v>5200709.1500000004</v>
      </c>
      <c r="I10" s="51">
        <f>Entrate_Uscite!W10</f>
        <v>3527805.73</v>
      </c>
      <c r="J10" s="51">
        <f t="shared" si="0"/>
        <v>1.0722149010097985</v>
      </c>
      <c r="K10" s="52">
        <f t="shared" si="1"/>
        <v>-32.166832863552855</v>
      </c>
      <c r="L10" s="51">
        <f>Entrate_Uscite!X10</f>
        <v>3238276.17</v>
      </c>
      <c r="M10" s="53">
        <f t="shared" si="2"/>
        <v>91.792927894586754</v>
      </c>
    </row>
    <row r="11" spans="1:13" x14ac:dyDescent="0.3">
      <c r="A11" s="4" t="s">
        <v>32</v>
      </c>
      <c r="B11" s="43">
        <f t="shared" ref="B11:I11" si="5">SUM(B6:B10)</f>
        <v>23114254.609999999</v>
      </c>
      <c r="C11" s="43">
        <f t="shared" si="5"/>
        <v>13657080.600000001</v>
      </c>
      <c r="D11" s="43">
        <f t="shared" si="5"/>
        <v>10880061.540000001</v>
      </c>
      <c r="E11" s="43">
        <f t="shared" si="5"/>
        <v>48798628.009999998</v>
      </c>
      <c r="F11" s="43">
        <f t="shared" si="5"/>
        <v>35829940.060000002</v>
      </c>
      <c r="G11" s="43">
        <f t="shared" ref="G11" si="6">SUM(G6:G10)</f>
        <v>23058642.799999997</v>
      </c>
      <c r="H11" s="43">
        <f t="shared" ref="H11" si="7">SUM(H6:H10)</f>
        <v>53729412.469999999</v>
      </c>
      <c r="I11" s="43">
        <f t="shared" si="5"/>
        <v>53189088.159999996</v>
      </c>
      <c r="J11" s="43">
        <f t="shared" si="0"/>
        <v>16.1658938334668</v>
      </c>
      <c r="K11" s="106">
        <f t="shared" si="1"/>
        <v>-1.0056397141913465</v>
      </c>
      <c r="L11" s="43">
        <f>SUM(L6:L10)</f>
        <v>20727700.020000003</v>
      </c>
      <c r="M11" s="42">
        <f>IF(I11&gt;0,L11/I11*100,"-")</f>
        <v>38.969835236972415</v>
      </c>
    </row>
    <row r="12" spans="1:13" x14ac:dyDescent="0.3">
      <c r="A12" s="50" t="s">
        <v>28</v>
      </c>
      <c r="B12" s="51">
        <f>Entrate_Uscite!B11</f>
        <v>0</v>
      </c>
      <c r="C12" s="51">
        <f>Entrate_Uscite!E11</f>
        <v>0</v>
      </c>
      <c r="D12" s="112">
        <f>Entrate_Uscite!H11</f>
        <v>0</v>
      </c>
      <c r="E12" s="112">
        <f>Entrate_Uscite!K11</f>
        <v>0</v>
      </c>
      <c r="F12" s="112">
        <f>Entrate_Uscite!N11</f>
        <v>0</v>
      </c>
      <c r="G12" s="112">
        <f>Entrate_Uscite!Q11</f>
        <v>0</v>
      </c>
      <c r="H12" s="112">
        <f>Entrate_Uscite!T11</f>
        <v>0</v>
      </c>
      <c r="I12" s="51">
        <f>Entrate_Uscite!W11</f>
        <v>0</v>
      </c>
      <c r="J12" s="51">
        <f t="shared" si="0"/>
        <v>0</v>
      </c>
      <c r="K12" s="52" t="str">
        <f t="shared" si="1"/>
        <v>-</v>
      </c>
      <c r="L12" s="51">
        <f>Entrate_Uscite!X11</f>
        <v>0</v>
      </c>
      <c r="M12" s="53" t="str">
        <f t="shared" si="2"/>
        <v>-</v>
      </c>
    </row>
    <row r="13" spans="1:13" x14ac:dyDescent="0.3">
      <c r="A13" s="50" t="s">
        <v>29</v>
      </c>
      <c r="B13" s="51">
        <f>Entrate_Uscite!B12</f>
        <v>0</v>
      </c>
      <c r="C13" s="51">
        <f>Entrate_Uscite!E12</f>
        <v>0</v>
      </c>
      <c r="D13" s="112">
        <f>Entrate_Uscite!H12</f>
        <v>0</v>
      </c>
      <c r="E13" s="112">
        <f>Entrate_Uscite!K12</f>
        <v>0</v>
      </c>
      <c r="F13" s="112">
        <f>Entrate_Uscite!N12</f>
        <v>0</v>
      </c>
      <c r="G13" s="112">
        <f>Entrate_Uscite!Q12</f>
        <v>0</v>
      </c>
      <c r="H13" s="112">
        <f>Entrate_Uscite!T12</f>
        <v>0</v>
      </c>
      <c r="I13" s="51">
        <f>Entrate_Uscite!W12</f>
        <v>2500000</v>
      </c>
      <c r="J13" s="51">
        <f t="shared" si="0"/>
        <v>0.75983131092779765</v>
      </c>
      <c r="K13" s="52" t="str">
        <f t="shared" si="1"/>
        <v>-</v>
      </c>
      <c r="L13" s="51">
        <f>Entrate_Uscite!X12</f>
        <v>2500000</v>
      </c>
      <c r="M13" s="53">
        <f t="shared" si="2"/>
        <v>100</v>
      </c>
    </row>
    <row r="14" spans="1:13" x14ac:dyDescent="0.3">
      <c r="A14" s="50" t="s">
        <v>30</v>
      </c>
      <c r="B14" s="51">
        <f>Entrate_Uscite!B13</f>
        <v>0</v>
      </c>
      <c r="C14" s="51">
        <f>Entrate_Uscite!E13</f>
        <v>0</v>
      </c>
      <c r="D14" s="112">
        <f>Entrate_Uscite!H13</f>
        <v>0</v>
      </c>
      <c r="E14" s="112">
        <f>Entrate_Uscite!K13</f>
        <v>0</v>
      </c>
      <c r="F14" s="112">
        <f>Entrate_Uscite!N13</f>
        <v>0</v>
      </c>
      <c r="G14" s="112">
        <f>Entrate_Uscite!Q13</f>
        <v>0</v>
      </c>
      <c r="H14" s="112">
        <f>Entrate_Uscite!T13</f>
        <v>0</v>
      </c>
      <c r="I14" s="51">
        <f>Entrate_Uscite!W13</f>
        <v>0</v>
      </c>
      <c r="J14" s="51">
        <f t="shared" si="0"/>
        <v>0</v>
      </c>
      <c r="K14" s="52" t="str">
        <f t="shared" si="1"/>
        <v>-</v>
      </c>
      <c r="L14" s="51">
        <f>Entrate_Uscite!X13</f>
        <v>0</v>
      </c>
      <c r="M14" s="53" t="str">
        <f t="shared" si="2"/>
        <v>-</v>
      </c>
    </row>
    <row r="15" spans="1:13" x14ac:dyDescent="0.3">
      <c r="A15" s="4" t="s">
        <v>33</v>
      </c>
      <c r="B15" s="41">
        <f t="shared" ref="B15:I15" si="8">SUM(B12:B14)</f>
        <v>0</v>
      </c>
      <c r="C15" s="41">
        <f t="shared" si="8"/>
        <v>0</v>
      </c>
      <c r="D15" s="41">
        <f t="shared" si="8"/>
        <v>0</v>
      </c>
      <c r="E15" s="41">
        <f t="shared" si="8"/>
        <v>0</v>
      </c>
      <c r="F15" s="41">
        <f t="shared" si="8"/>
        <v>0</v>
      </c>
      <c r="G15" s="41">
        <f t="shared" ref="G15" si="9">SUM(G12:G14)</f>
        <v>0</v>
      </c>
      <c r="H15" s="41">
        <f t="shared" ref="H15" si="10">SUM(H12:H14)</f>
        <v>0</v>
      </c>
      <c r="I15" s="41">
        <f t="shared" si="8"/>
        <v>2500000</v>
      </c>
      <c r="J15" s="41">
        <f t="shared" si="0"/>
        <v>0.75983131092779765</v>
      </c>
      <c r="K15" s="106" t="str">
        <f t="shared" si="1"/>
        <v>-</v>
      </c>
      <c r="L15" s="41">
        <f>SUM(L12:L14)</f>
        <v>2500000</v>
      </c>
      <c r="M15" s="42">
        <f t="shared" si="2"/>
        <v>100</v>
      </c>
    </row>
    <row r="16" spans="1:13" x14ac:dyDescent="0.3">
      <c r="A16" s="44" t="s">
        <v>348</v>
      </c>
      <c r="B16" s="45">
        <f t="shared" ref="B16:I16" si="11">B5+B11+B15</f>
        <v>234684568.56</v>
      </c>
      <c r="C16" s="45">
        <f t="shared" si="11"/>
        <v>241886748.23000002</v>
      </c>
      <c r="D16" s="45">
        <f t="shared" si="11"/>
        <v>283357689.18000001</v>
      </c>
      <c r="E16" s="45">
        <f t="shared" si="11"/>
        <v>271010465.81</v>
      </c>
      <c r="F16" s="45">
        <f t="shared" si="11"/>
        <v>256707840.97000003</v>
      </c>
      <c r="G16" s="45">
        <f t="shared" ref="G16:H16" si="12">G5+G11+G15</f>
        <v>258464856.41000003</v>
      </c>
      <c r="H16" s="45">
        <f t="shared" si="12"/>
        <v>305503674.50999999</v>
      </c>
      <c r="I16" s="45">
        <f t="shared" si="11"/>
        <v>326686408.82000005</v>
      </c>
      <c r="J16" s="45">
        <f t="shared" si="0"/>
        <v>99.290624910398023</v>
      </c>
      <c r="K16" s="117">
        <f t="shared" si="1"/>
        <v>6.9337085205195166</v>
      </c>
      <c r="L16" s="45">
        <f>L5+L11+L15</f>
        <v>192330898.70000002</v>
      </c>
      <c r="M16" s="46">
        <f t="shared" si="2"/>
        <v>58.873247710152462</v>
      </c>
    </row>
    <row r="17" spans="1:13" x14ac:dyDescent="0.3">
      <c r="A17" s="4" t="s">
        <v>34</v>
      </c>
      <c r="B17" s="41">
        <f>Entrate_Uscite!B17</f>
        <v>0</v>
      </c>
      <c r="C17" s="41">
        <f>Entrate_Uscite!E17</f>
        <v>3000000</v>
      </c>
      <c r="D17" s="41">
        <f>Entrate_Uscite!H17</f>
        <v>0</v>
      </c>
      <c r="E17" s="41">
        <f>Entrate_Uscite!K17</f>
        <v>3387941.46</v>
      </c>
      <c r="F17" s="41">
        <f>Entrate_Uscite!N17</f>
        <v>10306286.98</v>
      </c>
      <c r="G17" s="41">
        <f>Entrate_Uscite!Q17</f>
        <v>2881018.59</v>
      </c>
      <c r="H17" s="41">
        <f>Entrate_Uscite!T17</f>
        <v>7509637.1299999999</v>
      </c>
      <c r="I17" s="41">
        <f>Entrate_Uscite!W17</f>
        <v>2333988.7400000002</v>
      </c>
      <c r="J17" s="41">
        <f t="shared" si="0"/>
        <v>0.70937508960196749</v>
      </c>
      <c r="K17" s="106">
        <f t="shared" si="1"/>
        <v>-68.920086289175998</v>
      </c>
      <c r="L17" s="41">
        <f>Entrate_Uscite!X17</f>
        <v>1320750.05</v>
      </c>
      <c r="M17" s="42">
        <f t="shared" si="2"/>
        <v>56.587678739187062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106" t="str">
        <f t="shared" si="1"/>
        <v>-</v>
      </c>
      <c r="L18" s="41">
        <f>Entrate_Uscite!X18</f>
        <v>0</v>
      </c>
      <c r="M18" s="42" t="str">
        <f t="shared" si="2"/>
        <v>-</v>
      </c>
    </row>
    <row r="19" spans="1:13" x14ac:dyDescent="0.3">
      <c r="A19" s="4" t="s">
        <v>36</v>
      </c>
      <c r="B19" s="41">
        <f>Entrate_Uscite!B19</f>
        <v>26411135.219999999</v>
      </c>
      <c r="C19" s="41">
        <f>Entrate_Uscite!E19</f>
        <v>31345868.859999999</v>
      </c>
      <c r="D19" s="41">
        <f>Entrate_Uscite!H19</f>
        <v>24757322.050000001</v>
      </c>
      <c r="E19" s="41">
        <f>Entrate_Uscite!K19</f>
        <v>32528926.920000002</v>
      </c>
      <c r="F19" s="41">
        <f>Entrate_Uscite!N19</f>
        <v>32557024.379999999</v>
      </c>
      <c r="G19" s="41">
        <f>Entrate_Uscite!Q19</f>
        <v>28547878.399999999</v>
      </c>
      <c r="H19" s="41">
        <f>Entrate_Uscite!T19</f>
        <v>28684286.800000001</v>
      </c>
      <c r="I19" s="41">
        <f>Entrate_Uscite!W19</f>
        <v>36017510.020000003</v>
      </c>
      <c r="J19" s="41"/>
      <c r="K19" s="106">
        <f t="shared" si="1"/>
        <v>25.565297373891838</v>
      </c>
      <c r="L19" s="41">
        <f>Entrate_Uscite!X19</f>
        <v>35922167.390000001</v>
      </c>
      <c r="M19" s="42">
        <f t="shared" si="2"/>
        <v>99.735288114178189</v>
      </c>
    </row>
    <row r="20" spans="1:13" x14ac:dyDescent="0.3">
      <c r="A20" s="44" t="s">
        <v>37</v>
      </c>
      <c r="B20" s="45">
        <f t="shared" ref="B20:I20" si="13">B5+B11+B15+B17+B18+B19</f>
        <v>261095703.78</v>
      </c>
      <c r="C20" s="45">
        <f t="shared" si="13"/>
        <v>276232617.09000003</v>
      </c>
      <c r="D20" s="45">
        <f t="shared" si="13"/>
        <v>308115011.23000002</v>
      </c>
      <c r="E20" s="45">
        <f t="shared" si="13"/>
        <v>306927334.19</v>
      </c>
      <c r="F20" s="45">
        <f t="shared" si="13"/>
        <v>299571152.33000004</v>
      </c>
      <c r="G20" s="45">
        <f t="shared" ref="G20:H20" si="14">G5+G11+G15+G17+G18+G19</f>
        <v>289893753.40000004</v>
      </c>
      <c r="H20" s="45">
        <f t="shared" si="14"/>
        <v>341697598.44</v>
      </c>
      <c r="I20" s="45">
        <f t="shared" si="13"/>
        <v>365037907.58000004</v>
      </c>
      <c r="J20" s="45"/>
      <c r="K20" s="117">
        <f t="shared" si="1"/>
        <v>6.8306915958902863</v>
      </c>
      <c r="L20" s="45">
        <f>L5+L11+L15+L17+L18+L19</f>
        <v>229573816.14000005</v>
      </c>
      <c r="M20" s="46">
        <f t="shared" si="2"/>
        <v>62.89040435880969</v>
      </c>
    </row>
    <row r="21" spans="1:13" x14ac:dyDescent="0.3">
      <c r="A21" s="36" t="s">
        <v>38</v>
      </c>
      <c r="B21" s="47">
        <f t="shared" ref="B21:I21" si="15">B20-B19</f>
        <v>234684568.56</v>
      </c>
      <c r="C21" s="47">
        <f t="shared" si="15"/>
        <v>244886748.23000002</v>
      </c>
      <c r="D21" s="47">
        <f t="shared" si="15"/>
        <v>283357689.18000001</v>
      </c>
      <c r="E21" s="47">
        <f t="shared" si="15"/>
        <v>274398407.26999998</v>
      </c>
      <c r="F21" s="47">
        <f t="shared" si="15"/>
        <v>267014127.95000005</v>
      </c>
      <c r="G21" s="47">
        <f t="shared" ref="G21:H21" si="16">G20-G19</f>
        <v>261345875.00000003</v>
      </c>
      <c r="H21" s="47">
        <f t="shared" si="16"/>
        <v>313013311.63999999</v>
      </c>
      <c r="I21" s="47">
        <f t="shared" si="15"/>
        <v>329020397.56000006</v>
      </c>
      <c r="J21" s="47">
        <f t="shared" si="0"/>
        <v>100</v>
      </c>
      <c r="K21" s="48">
        <f t="shared" si="1"/>
        <v>5.1138674697675413</v>
      </c>
      <c r="L21" s="47">
        <f>L20-L19</f>
        <v>193651648.75000006</v>
      </c>
      <c r="M21" s="49">
        <f t="shared" si="2"/>
        <v>58.857034453216784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02" bestFit="1" customWidth="1"/>
    <col min="9" max="9" width="12.5546875" bestFit="1" customWidth="1"/>
    <col min="10" max="10" width="8.5546875" customWidth="1"/>
    <col min="11" max="11" width="6.5546875" style="102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8">
        <v>2018</v>
      </c>
      <c r="E1" s="118">
        <v>2019</v>
      </c>
      <c r="F1" s="118">
        <v>2020</v>
      </c>
      <c r="G1" s="118">
        <v>2021</v>
      </c>
      <c r="H1" s="118">
        <v>2022</v>
      </c>
      <c r="I1" s="118">
        <v>2023</v>
      </c>
      <c r="J1" s="119" t="s">
        <v>297</v>
      </c>
      <c r="K1" s="118" t="s">
        <v>233</v>
      </c>
      <c r="L1" s="119" t="s">
        <v>367</v>
      </c>
      <c r="M1" s="40" t="s">
        <v>339</v>
      </c>
    </row>
    <row r="2" spans="1:13" x14ac:dyDescent="0.3">
      <c r="A2" s="54" t="s">
        <v>270</v>
      </c>
      <c r="B2" s="51">
        <f>Entrate_Uscite!B23</f>
        <v>33894088.390000001</v>
      </c>
      <c r="C2" s="51">
        <f>Entrate_Uscite!E23</f>
        <v>29169033.050000001</v>
      </c>
      <c r="D2" s="112">
        <f>Entrate_Uscite!H23</f>
        <v>29710618.399999999</v>
      </c>
      <c r="E2" s="112">
        <f>Entrate_Uscite!K23</f>
        <v>30273884.170000002</v>
      </c>
      <c r="F2" s="112">
        <f>Entrate_Uscite!N23</f>
        <v>28324259.370000001</v>
      </c>
      <c r="G2" s="112">
        <f>Entrate_Uscite!Q23</f>
        <v>28343212.670000002</v>
      </c>
      <c r="H2" s="112">
        <f>Entrate_Uscite!T23</f>
        <v>30475685.800000001</v>
      </c>
      <c r="I2" s="51">
        <f>Entrate_Uscite!W23</f>
        <v>32895779.629999999</v>
      </c>
      <c r="J2" s="51">
        <f>I2/I$31*100</f>
        <v>11.514178603201737</v>
      </c>
      <c r="K2" s="52">
        <f>IF(H2&gt;0,I2/H2*100-100,"-")</f>
        <v>7.9410643812320529</v>
      </c>
      <c r="L2" s="51">
        <f>Entrate_Uscite!X23</f>
        <v>31389470.379999999</v>
      </c>
      <c r="M2" s="53">
        <f>IF(I2&gt;0,L2/I2*100,"-")</f>
        <v>95.420965038851705</v>
      </c>
    </row>
    <row r="3" spans="1:13" x14ac:dyDescent="0.3">
      <c r="A3" s="54" t="s">
        <v>271</v>
      </c>
      <c r="B3" s="51">
        <f>Entrate_Uscite!B24</f>
        <v>2286898.5499999998</v>
      </c>
      <c r="C3" s="51">
        <f>Entrate_Uscite!E24</f>
        <v>2173180.7799999998</v>
      </c>
      <c r="D3" s="112">
        <f>Entrate_Uscite!H24</f>
        <v>2229419.0299999998</v>
      </c>
      <c r="E3" s="112">
        <f>Entrate_Uscite!K24</f>
        <v>2206285.4300000002</v>
      </c>
      <c r="F3" s="112">
        <f>Entrate_Uscite!N24</f>
        <v>1988305.15</v>
      </c>
      <c r="G3" s="112">
        <f>Entrate_Uscite!Q24</f>
        <v>2121836.11</v>
      </c>
      <c r="H3" s="112">
        <f>Entrate_Uscite!T24</f>
        <v>2209948.48</v>
      </c>
      <c r="I3" s="51">
        <f>Entrate_Uscite!W24</f>
        <v>2264548.31</v>
      </c>
      <c r="J3" s="51">
        <f t="shared" ref="J3:J31" si="0">I3/I$31*100</f>
        <v>0.79263704919580458</v>
      </c>
      <c r="K3" s="52">
        <f t="shared" ref="K3:K31" si="1">IF(H3&gt;0,I3/H3*100-100,"-")</f>
        <v>2.4706381390393375</v>
      </c>
      <c r="L3" s="51">
        <f>Entrate_Uscite!X24</f>
        <v>1793569.13</v>
      </c>
      <c r="M3" s="53">
        <f>IF(I3&gt;0,L3/I3*100,"-")</f>
        <v>79.202069661300357</v>
      </c>
    </row>
    <row r="4" spans="1:13" x14ac:dyDescent="0.3">
      <c r="A4" s="54" t="s">
        <v>272</v>
      </c>
      <c r="B4" s="51">
        <f>Entrate_Uscite!B25</f>
        <v>136251397.30000001</v>
      </c>
      <c r="C4" s="51">
        <f>Entrate_Uscite!E25</f>
        <v>136868927.90000001</v>
      </c>
      <c r="D4" s="112">
        <f>Entrate_Uscite!H25</f>
        <v>135976780.69999999</v>
      </c>
      <c r="E4" s="112">
        <f>Entrate_Uscite!K25</f>
        <v>146448998.30000001</v>
      </c>
      <c r="F4" s="112">
        <f>Entrate_Uscite!N25</f>
        <v>142061607.59999999</v>
      </c>
      <c r="G4" s="112">
        <f>Entrate_Uscite!Q25</f>
        <v>142174485.16999999</v>
      </c>
      <c r="H4" s="112">
        <f>Entrate_Uscite!T25</f>
        <v>160500379.24000001</v>
      </c>
      <c r="I4" s="51">
        <f>Entrate_Uscite!W25</f>
        <v>165821550.13</v>
      </c>
      <c r="J4" s="51">
        <f t="shared" si="0"/>
        <v>58.040847972952882</v>
      </c>
      <c r="K4" s="52">
        <f t="shared" si="1"/>
        <v>3.3153634372683456</v>
      </c>
      <c r="L4" s="51">
        <f>Entrate_Uscite!X25</f>
        <v>131359923.34999999</v>
      </c>
      <c r="M4" s="53">
        <f t="shared" ref="M4:M9" si="2">IF(I4&gt;0,L4/I4*100,"-")</f>
        <v>79.217642849808769</v>
      </c>
    </row>
    <row r="5" spans="1:13" x14ac:dyDescent="0.3">
      <c r="A5" s="54" t="s">
        <v>273</v>
      </c>
      <c r="B5" s="51">
        <f>Entrate_Uscite!B26</f>
        <v>6874869.7999999998</v>
      </c>
      <c r="C5" s="51">
        <f>Entrate_Uscite!E26</f>
        <v>5921003.4699999997</v>
      </c>
      <c r="D5" s="112">
        <f>Entrate_Uscite!H26</f>
        <v>6947410.3300000001</v>
      </c>
      <c r="E5" s="112">
        <f>Entrate_Uscite!K26</f>
        <v>10729404.42</v>
      </c>
      <c r="F5" s="112">
        <f>Entrate_Uscite!N26</f>
        <v>10993026.220000001</v>
      </c>
      <c r="G5" s="112">
        <f>Entrate_Uscite!Q26</f>
        <v>13106662.210000001</v>
      </c>
      <c r="H5" s="112">
        <f>Entrate_Uscite!T26</f>
        <v>12681962.01</v>
      </c>
      <c r="I5" s="51">
        <f>Entrate_Uscite!W26</f>
        <v>14002046.73</v>
      </c>
      <c r="J5" s="51">
        <f t="shared" si="0"/>
        <v>4.9009954672898832</v>
      </c>
      <c r="K5" s="52">
        <f t="shared" si="1"/>
        <v>10.409152140331955</v>
      </c>
      <c r="L5" s="51">
        <f>Entrate_Uscite!X26</f>
        <v>9474815.2300000004</v>
      </c>
      <c r="M5" s="53">
        <f t="shared" si="2"/>
        <v>67.667359013306196</v>
      </c>
    </row>
    <row r="6" spans="1:13" x14ac:dyDescent="0.3">
      <c r="A6" s="54" t="s">
        <v>274</v>
      </c>
      <c r="B6" s="51">
        <f>Entrate_Uscite!B27</f>
        <v>1044028.57</v>
      </c>
      <c r="C6" s="51">
        <f>Entrate_Uscite!E27</f>
        <v>935366.97</v>
      </c>
      <c r="D6" s="112">
        <f>Entrate_Uscite!H27</f>
        <v>866608.4</v>
      </c>
      <c r="E6" s="112">
        <f>Entrate_Uscite!K27</f>
        <v>727008.57</v>
      </c>
      <c r="F6" s="112">
        <f>Entrate_Uscite!N27</f>
        <v>627403.48</v>
      </c>
      <c r="G6" s="112">
        <f>Entrate_Uscite!Q27</f>
        <v>673045.34</v>
      </c>
      <c r="H6" s="112">
        <f>Entrate_Uscite!T27</f>
        <v>789965.71</v>
      </c>
      <c r="I6" s="51">
        <f>Entrate_Uscite!W27</f>
        <v>872552.37</v>
      </c>
      <c r="J6" s="51">
        <f t="shared" si="0"/>
        <v>0.30541072264676294</v>
      </c>
      <c r="K6" s="52">
        <f t="shared" si="1"/>
        <v>10.454461371494219</v>
      </c>
      <c r="L6" s="51">
        <f>Entrate_Uscite!X27</f>
        <v>872552.37</v>
      </c>
      <c r="M6" s="53">
        <f t="shared" si="2"/>
        <v>100</v>
      </c>
    </row>
    <row r="7" spans="1:13" x14ac:dyDescent="0.3">
      <c r="A7" s="54" t="s">
        <v>275</v>
      </c>
      <c r="B7" s="51">
        <f>Entrate_Uscite!B28</f>
        <v>0</v>
      </c>
      <c r="C7" s="51">
        <f>Entrate_Uscite!E28</f>
        <v>0</v>
      </c>
      <c r="D7" s="112">
        <f>Entrate_Uscite!H28</f>
        <v>0</v>
      </c>
      <c r="E7" s="112">
        <f>Entrate_Uscite!K28</f>
        <v>0</v>
      </c>
      <c r="F7" s="112">
        <f>Entrate_Uscite!N28</f>
        <v>0</v>
      </c>
      <c r="G7" s="112">
        <f>Entrate_Uscite!Q28</f>
        <v>0</v>
      </c>
      <c r="H7" s="112">
        <f>Entrate_Uscite!T28</f>
        <v>0</v>
      </c>
      <c r="I7" s="51">
        <f>Entrate_Uscite!W28</f>
        <v>0</v>
      </c>
      <c r="J7" s="51">
        <f t="shared" si="0"/>
        <v>0</v>
      </c>
      <c r="K7" s="52" t="str">
        <f t="shared" si="1"/>
        <v>-</v>
      </c>
      <c r="L7" s="51">
        <f>Entrate_Uscite!X28</f>
        <v>0</v>
      </c>
      <c r="M7" s="53" t="str">
        <f t="shared" si="2"/>
        <v>-</v>
      </c>
    </row>
    <row r="8" spans="1:13" x14ac:dyDescent="0.3">
      <c r="A8" s="54" t="s">
        <v>276</v>
      </c>
      <c r="B8" s="51">
        <f>Entrate_Uscite!B29</f>
        <v>323243.46999999997</v>
      </c>
      <c r="C8" s="51">
        <f>Entrate_Uscite!E29</f>
        <v>444254.64</v>
      </c>
      <c r="D8" s="112">
        <f>Entrate_Uscite!H29</f>
        <v>477573.1</v>
      </c>
      <c r="E8" s="112">
        <f>Entrate_Uscite!K29</f>
        <v>826284.03</v>
      </c>
      <c r="F8" s="112">
        <f>Entrate_Uscite!N29</f>
        <v>438122.59</v>
      </c>
      <c r="G8" s="112">
        <f>Entrate_Uscite!Q29</f>
        <v>1318031.27</v>
      </c>
      <c r="H8" s="112">
        <f>Entrate_Uscite!T29</f>
        <v>692937.2</v>
      </c>
      <c r="I8" s="51">
        <f>Entrate_Uscite!W29</f>
        <v>703937.01</v>
      </c>
      <c r="J8" s="51">
        <f t="shared" si="0"/>
        <v>0.24639198552850369</v>
      </c>
      <c r="K8" s="52">
        <f t="shared" si="1"/>
        <v>1.5874180228742318</v>
      </c>
      <c r="L8" s="51">
        <f>Entrate_Uscite!X29</f>
        <v>150567.45000000001</v>
      </c>
      <c r="M8" s="53">
        <f t="shared" si="2"/>
        <v>21.389335673656369</v>
      </c>
    </row>
    <row r="9" spans="1:13" x14ac:dyDescent="0.3">
      <c r="A9" s="54" t="s">
        <v>277</v>
      </c>
      <c r="B9" s="51">
        <f>Entrate_Uscite!B30</f>
        <v>6911025.5999999996</v>
      </c>
      <c r="C9" s="51">
        <f>Entrate_Uscite!E30</f>
        <v>17630627.52</v>
      </c>
      <c r="D9" s="112">
        <f>Entrate_Uscite!H30</f>
        <v>6070801.3099999996</v>
      </c>
      <c r="E9" s="112">
        <f>Entrate_Uscite!K30</f>
        <v>30091270.289999999</v>
      </c>
      <c r="F9" s="112">
        <f>Entrate_Uscite!N30</f>
        <v>5606351.7800000003</v>
      </c>
      <c r="G9" s="112">
        <f>Entrate_Uscite!Q30</f>
        <v>15334025.41</v>
      </c>
      <c r="H9" s="112">
        <f>Entrate_Uscite!T30</f>
        <v>8513142.75</v>
      </c>
      <c r="I9" s="51">
        <f>Entrate_Uscite!W30</f>
        <v>7396657.9000000004</v>
      </c>
      <c r="J9" s="51">
        <f t="shared" si="0"/>
        <v>2.5889777073322127</v>
      </c>
      <c r="K9" s="52">
        <f t="shared" si="1"/>
        <v>-13.114837643242851</v>
      </c>
      <c r="L9" s="51">
        <f>Entrate_Uscite!X30</f>
        <v>5380658</v>
      </c>
      <c r="M9" s="53">
        <f t="shared" si="2"/>
        <v>72.744448543442843</v>
      </c>
    </row>
    <row r="10" spans="1:13" x14ac:dyDescent="0.3">
      <c r="A10" s="4" t="s">
        <v>282</v>
      </c>
      <c r="B10" s="41">
        <f t="shared" ref="B10:I10" si="3">SUM(B2:B9)</f>
        <v>187585551.68000001</v>
      </c>
      <c r="C10" s="41">
        <f t="shared" si="3"/>
        <v>193142394.33000001</v>
      </c>
      <c r="D10" s="41">
        <f t="shared" si="3"/>
        <v>182279211.27000001</v>
      </c>
      <c r="E10" s="41">
        <f t="shared" si="3"/>
        <v>221303135.20999998</v>
      </c>
      <c r="F10" s="41">
        <f t="shared" si="3"/>
        <v>190039076.19</v>
      </c>
      <c r="G10" s="41">
        <f t="shared" ref="G10" si="4">SUM(G2:G9)</f>
        <v>203071298.18000001</v>
      </c>
      <c r="H10" s="41">
        <f t="shared" ref="H10" si="5">SUM(H2:H9)</f>
        <v>215864021.19</v>
      </c>
      <c r="I10" s="41">
        <f t="shared" si="3"/>
        <v>223957072.07999998</v>
      </c>
      <c r="J10" s="41">
        <f t="shared" si="0"/>
        <v>78.389439508147788</v>
      </c>
      <c r="K10" s="106">
        <f t="shared" si="1"/>
        <v>3.7491430231796841</v>
      </c>
      <c r="L10" s="41">
        <f>SUM(L2:L9)</f>
        <v>180421555.90999997</v>
      </c>
      <c r="M10" s="42">
        <f t="shared" ref="M10:M17" si="6">IF(I10&gt;0,L10/I10*100,"-")</f>
        <v>80.56077632839893</v>
      </c>
    </row>
    <row r="11" spans="1:13" x14ac:dyDescent="0.3">
      <c r="A11" s="54" t="s">
        <v>278</v>
      </c>
      <c r="B11" s="51">
        <f>Entrate_Uscite!B32</f>
        <v>16330050.16</v>
      </c>
      <c r="C11" s="51">
        <f>Entrate_Uscite!E32</f>
        <v>20613255.300000001</v>
      </c>
      <c r="D11" s="112">
        <f>Entrate_Uscite!H32</f>
        <v>11760693.029999999</v>
      </c>
      <c r="E11" s="112">
        <f>Entrate_Uscite!K32</f>
        <v>27746783.609999999</v>
      </c>
      <c r="F11" s="112">
        <f>Entrate_Uscite!N32</f>
        <v>18108920.91</v>
      </c>
      <c r="G11" s="112">
        <f>Entrate_Uscite!Q32</f>
        <v>25581142.780000001</v>
      </c>
      <c r="H11" s="112">
        <f>Entrate_Uscite!T32</f>
        <v>20143923.469999999</v>
      </c>
      <c r="I11" s="51">
        <f>Entrate_Uscite!W32</f>
        <v>56835508.359999999</v>
      </c>
      <c r="J11" s="51">
        <f t="shared" si="0"/>
        <v>19.893560864689118</v>
      </c>
      <c r="K11" s="52">
        <f t="shared" si="1"/>
        <v>182.1471618706463</v>
      </c>
      <c r="L11" s="51">
        <f>Entrate_Uscite!X32</f>
        <v>31943680.329999998</v>
      </c>
      <c r="M11" s="53">
        <f t="shared" si="6"/>
        <v>56.203738211799816</v>
      </c>
    </row>
    <row r="12" spans="1:13" x14ac:dyDescent="0.3">
      <c r="A12" s="54" t="s">
        <v>279</v>
      </c>
      <c r="B12" s="51">
        <f>Entrate_Uscite!B33</f>
        <v>350000</v>
      </c>
      <c r="C12" s="51">
        <f>Entrate_Uscite!E33</f>
        <v>350000</v>
      </c>
      <c r="D12" s="112">
        <f>Entrate_Uscite!H33</f>
        <v>0</v>
      </c>
      <c r="E12" s="112">
        <f>Entrate_Uscite!K33</f>
        <v>7992458</v>
      </c>
      <c r="F12" s="112">
        <f>Entrate_Uscite!N33</f>
        <v>60000</v>
      </c>
      <c r="G12" s="112">
        <f>Entrate_Uscite!Q33</f>
        <v>0</v>
      </c>
      <c r="H12" s="112">
        <f>Entrate_Uscite!T33</f>
        <v>0</v>
      </c>
      <c r="I12" s="51">
        <f>Entrate_Uscite!W33</f>
        <v>6897</v>
      </c>
      <c r="J12" s="51">
        <f t="shared" si="0"/>
        <v>2.4140874823304005E-3</v>
      </c>
      <c r="K12" s="52" t="str">
        <f t="shared" si="1"/>
        <v>-</v>
      </c>
      <c r="L12" s="51">
        <f>Entrate_Uscite!X33</f>
        <v>6897</v>
      </c>
      <c r="M12" s="53">
        <f t="shared" si="6"/>
        <v>100</v>
      </c>
    </row>
    <row r="13" spans="1:13" x14ac:dyDescent="0.3">
      <c r="A13" s="54" t="s">
        <v>280</v>
      </c>
      <c r="B13" s="51">
        <f>Entrate_Uscite!B34</f>
        <v>225326.83</v>
      </c>
      <c r="C13" s="51">
        <f>Entrate_Uscite!E34</f>
        <v>0</v>
      </c>
      <c r="D13" s="112">
        <f>Entrate_Uscite!H34</f>
        <v>0</v>
      </c>
      <c r="E13" s="112">
        <f>Entrate_Uscite!K34</f>
        <v>0</v>
      </c>
      <c r="F13" s="112">
        <f>Entrate_Uscite!N34</f>
        <v>0</v>
      </c>
      <c r="G13" s="112">
        <f>Entrate_Uscite!Q34</f>
        <v>0</v>
      </c>
      <c r="H13" s="112">
        <f>Entrate_Uscite!T34</f>
        <v>0</v>
      </c>
      <c r="I13" s="51">
        <f>Entrate_Uscite!W34</f>
        <v>77240</v>
      </c>
      <c r="J13" s="51">
        <f t="shared" si="0"/>
        <v>2.703553967452518E-2</v>
      </c>
      <c r="K13" s="52" t="str">
        <f t="shared" si="1"/>
        <v>-</v>
      </c>
      <c r="L13" s="51">
        <f>Entrate_Uscite!X34</f>
        <v>77240</v>
      </c>
      <c r="M13" s="53">
        <f t="shared" si="6"/>
        <v>100</v>
      </c>
    </row>
    <row r="14" spans="1:13" x14ac:dyDescent="0.3">
      <c r="A14" s="54" t="s">
        <v>281</v>
      </c>
      <c r="B14" s="51">
        <f>Entrate_Uscite!B35</f>
        <v>222556.59</v>
      </c>
      <c r="C14" s="51">
        <f>Entrate_Uscite!E35</f>
        <v>29452.76</v>
      </c>
      <c r="D14" s="112">
        <f>Entrate_Uscite!H35</f>
        <v>0</v>
      </c>
      <c r="E14" s="112">
        <f>Entrate_Uscite!K35</f>
        <v>0</v>
      </c>
      <c r="F14" s="112">
        <f>Entrate_Uscite!N35</f>
        <v>0</v>
      </c>
      <c r="G14" s="112">
        <f>Entrate_Uscite!Q35</f>
        <v>0</v>
      </c>
      <c r="H14" s="112">
        <f>Entrate_Uscite!T35</f>
        <v>24903</v>
      </c>
      <c r="I14" s="51">
        <f>Entrate_Uscite!W35</f>
        <v>5217</v>
      </c>
      <c r="J14" s="51">
        <f t="shared" si="0"/>
        <v>1.8260539938114687E-3</v>
      </c>
      <c r="K14" s="52">
        <f t="shared" si="1"/>
        <v>-79.050716781110708</v>
      </c>
      <c r="L14" s="51">
        <f>Entrate_Uscite!X35</f>
        <v>0</v>
      </c>
      <c r="M14" s="53">
        <f t="shared" si="6"/>
        <v>0</v>
      </c>
    </row>
    <row r="15" spans="1:13" x14ac:dyDescent="0.3">
      <c r="A15" s="4" t="s">
        <v>283</v>
      </c>
      <c r="B15" s="43">
        <f t="shared" ref="B15:I15" si="7">SUM(B11:B14)</f>
        <v>17127933.579999998</v>
      </c>
      <c r="C15" s="43">
        <f t="shared" si="7"/>
        <v>20992708.060000002</v>
      </c>
      <c r="D15" s="43">
        <f t="shared" si="7"/>
        <v>11760693.029999999</v>
      </c>
      <c r="E15" s="43">
        <f t="shared" si="7"/>
        <v>35739241.609999999</v>
      </c>
      <c r="F15" s="43">
        <f t="shared" si="7"/>
        <v>18168920.91</v>
      </c>
      <c r="G15" s="43">
        <f t="shared" ref="G15:H15" si="8">SUM(G11:G14)</f>
        <v>25581142.780000001</v>
      </c>
      <c r="H15" s="43">
        <f t="shared" si="8"/>
        <v>20168826.469999999</v>
      </c>
      <c r="I15" s="43">
        <f t="shared" si="7"/>
        <v>56924862.359999999</v>
      </c>
      <c r="J15" s="43">
        <f t="shared" si="0"/>
        <v>19.924836545839781</v>
      </c>
      <c r="K15" s="106">
        <f t="shared" si="1"/>
        <v>182.24181731481775</v>
      </c>
      <c r="L15" s="43">
        <f>SUM(L11:L14)</f>
        <v>32027817.329999998</v>
      </c>
      <c r="M15" s="42">
        <f t="shared" si="6"/>
        <v>56.263319755526233</v>
      </c>
    </row>
    <row r="16" spans="1:13" x14ac:dyDescent="0.3">
      <c r="A16" s="54" t="s">
        <v>284</v>
      </c>
      <c r="B16" s="51">
        <f>Entrate_Uscite!B36</f>
        <v>0</v>
      </c>
      <c r="C16" s="51">
        <f>Entrate_Uscite!E36</f>
        <v>0</v>
      </c>
      <c r="D16" s="112">
        <f>Entrate_Uscite!H36</f>
        <v>0</v>
      </c>
      <c r="E16" s="112">
        <f>Entrate_Uscite!K36</f>
        <v>0</v>
      </c>
      <c r="F16" s="112">
        <f>Entrate_Uscite!N36</f>
        <v>0</v>
      </c>
      <c r="G16" s="112">
        <f>Entrate_Uscite!Q36</f>
        <v>38210</v>
      </c>
      <c r="H16" s="112">
        <f>Entrate_Uscite!T36</f>
        <v>0</v>
      </c>
      <c r="I16" s="51">
        <f>Entrate_Uscite!W36</f>
        <v>0</v>
      </c>
      <c r="J16" s="51">
        <f t="shared" si="0"/>
        <v>0</v>
      </c>
      <c r="K16" s="52" t="str">
        <f t="shared" si="1"/>
        <v>-</v>
      </c>
      <c r="L16" s="51">
        <f>Entrate_Uscite!X36</f>
        <v>0</v>
      </c>
      <c r="M16" s="53" t="str">
        <f t="shared" si="6"/>
        <v>-</v>
      </c>
    </row>
    <row r="17" spans="1:13" x14ac:dyDescent="0.3">
      <c r="A17" s="54" t="s">
        <v>285</v>
      </c>
      <c r="B17" s="51">
        <f>Entrate_Uscite!B37</f>
        <v>0</v>
      </c>
      <c r="C17" s="51">
        <f>Entrate_Uscite!E37</f>
        <v>0</v>
      </c>
      <c r="D17" s="112">
        <f>Entrate_Uscite!H37</f>
        <v>0</v>
      </c>
      <c r="E17" s="112">
        <f>Entrate_Uscite!K37</f>
        <v>0</v>
      </c>
      <c r="F17" s="112">
        <f>Entrate_Uscite!N37</f>
        <v>0</v>
      </c>
      <c r="G17" s="112">
        <f>Entrate_Uscite!Q37</f>
        <v>0</v>
      </c>
      <c r="H17" s="112">
        <f>Entrate_Uscite!T37</f>
        <v>0</v>
      </c>
      <c r="I17" s="51">
        <f>Entrate_Uscite!W37</f>
        <v>2500000</v>
      </c>
      <c r="J17" s="51">
        <f t="shared" si="0"/>
        <v>0.87504983410555337</v>
      </c>
      <c r="K17" s="52" t="str">
        <f t="shared" si="1"/>
        <v>-</v>
      </c>
      <c r="L17" s="51">
        <f>Entrate_Uscite!X37</f>
        <v>2500000</v>
      </c>
      <c r="M17" s="53">
        <f t="shared" si="6"/>
        <v>100</v>
      </c>
    </row>
    <row r="18" spans="1:13" x14ac:dyDescent="0.3">
      <c r="A18" s="54" t="s">
        <v>286</v>
      </c>
      <c r="B18" s="51">
        <f>Entrate_Uscite!B38</f>
        <v>0</v>
      </c>
      <c r="C18" s="51">
        <f>Entrate_Uscite!E38</f>
        <v>0</v>
      </c>
      <c r="D18" s="112">
        <f>Entrate_Uscite!H38</f>
        <v>0</v>
      </c>
      <c r="E18" s="112">
        <f>Entrate_Uscite!K38</f>
        <v>0</v>
      </c>
      <c r="F18" s="112">
        <f>Entrate_Uscite!N38</f>
        <v>0</v>
      </c>
      <c r="G18" s="112">
        <f>Entrate_Uscite!Q38</f>
        <v>0</v>
      </c>
      <c r="H18" s="112">
        <f>Entrate_Uscite!T38</f>
        <v>0</v>
      </c>
      <c r="I18" s="51">
        <f>Entrate_Uscite!W38</f>
        <v>0</v>
      </c>
      <c r="J18" s="51">
        <f t="shared" si="0"/>
        <v>0</v>
      </c>
      <c r="K18" s="52" t="str">
        <f t="shared" si="1"/>
        <v>-</v>
      </c>
      <c r="L18" s="51">
        <f>Entrate_Uscite!X38</f>
        <v>0</v>
      </c>
      <c r="M18" s="53" t="str">
        <f t="shared" ref="M18:M26" si="9">IF(I18&gt;0,L18/I18*100,"-")</f>
        <v>-</v>
      </c>
    </row>
    <row r="19" spans="1:13" x14ac:dyDescent="0.3">
      <c r="A19" s="54" t="s">
        <v>287</v>
      </c>
      <c r="B19" s="51">
        <f>Entrate_Uscite!B39</f>
        <v>0</v>
      </c>
      <c r="C19" s="51">
        <f>Entrate_Uscite!E39</f>
        <v>0</v>
      </c>
      <c r="D19" s="112">
        <f>Entrate_Uscite!H39</f>
        <v>0</v>
      </c>
      <c r="E19" s="112">
        <f>Entrate_Uscite!K39</f>
        <v>0</v>
      </c>
      <c r="F19" s="112">
        <f>Entrate_Uscite!N39</f>
        <v>0</v>
      </c>
      <c r="G19" s="112">
        <f>Entrate_Uscite!Q39</f>
        <v>0</v>
      </c>
      <c r="H19" s="112">
        <f>Entrate_Uscite!T39</f>
        <v>0</v>
      </c>
      <c r="I19" s="51">
        <f>Entrate_Uscite!W39</f>
        <v>0</v>
      </c>
      <c r="J19" s="51">
        <f t="shared" si="0"/>
        <v>0</v>
      </c>
      <c r="K19" s="52" t="str">
        <f t="shared" si="1"/>
        <v>-</v>
      </c>
      <c r="L19" s="51">
        <f>Entrate_Uscite!X39</f>
        <v>0</v>
      </c>
      <c r="M19" s="53" t="str">
        <f t="shared" si="9"/>
        <v>-</v>
      </c>
    </row>
    <row r="20" spans="1:13" x14ac:dyDescent="0.3">
      <c r="A20" s="4" t="s">
        <v>288</v>
      </c>
      <c r="B20" s="41">
        <f t="shared" ref="B20:I20" si="10">SUM(B16:B19)</f>
        <v>0</v>
      </c>
      <c r="C20" s="41">
        <f t="shared" si="10"/>
        <v>0</v>
      </c>
      <c r="D20" s="41">
        <f t="shared" si="10"/>
        <v>0</v>
      </c>
      <c r="E20" s="41">
        <f t="shared" si="10"/>
        <v>0</v>
      </c>
      <c r="F20" s="41">
        <f t="shared" si="10"/>
        <v>0</v>
      </c>
      <c r="G20" s="41">
        <f t="shared" ref="G20:H20" si="11">SUM(G16:G19)</f>
        <v>38210</v>
      </c>
      <c r="H20" s="41">
        <f t="shared" si="11"/>
        <v>0</v>
      </c>
      <c r="I20" s="41">
        <f t="shared" si="10"/>
        <v>2500000</v>
      </c>
      <c r="J20" s="41">
        <f t="shared" si="0"/>
        <v>0.87504983410555337</v>
      </c>
      <c r="K20" s="106" t="str">
        <f t="shared" si="1"/>
        <v>-</v>
      </c>
      <c r="L20" s="41">
        <f>SUM(L16:L19)</f>
        <v>2500000</v>
      </c>
      <c r="M20" s="38">
        <f t="shared" si="9"/>
        <v>100</v>
      </c>
    </row>
    <row r="21" spans="1:13" x14ac:dyDescent="0.3">
      <c r="A21" s="44" t="s">
        <v>349</v>
      </c>
      <c r="B21" s="45">
        <f t="shared" ref="B21:I21" si="12">B10+B15+B20</f>
        <v>204713485.25999999</v>
      </c>
      <c r="C21" s="45">
        <f t="shared" si="12"/>
        <v>214135102.39000002</v>
      </c>
      <c r="D21" s="45">
        <f t="shared" si="12"/>
        <v>194039904.30000001</v>
      </c>
      <c r="E21" s="45">
        <f t="shared" si="12"/>
        <v>257042376.81999999</v>
      </c>
      <c r="F21" s="45">
        <f t="shared" si="12"/>
        <v>208207997.09999999</v>
      </c>
      <c r="G21" s="45">
        <f t="shared" ref="G21:H21" si="13">G10+G15+G20</f>
        <v>228690650.96000001</v>
      </c>
      <c r="H21" s="45">
        <f t="shared" si="13"/>
        <v>236032847.66</v>
      </c>
      <c r="I21" s="45">
        <f t="shared" si="12"/>
        <v>283381934.44</v>
      </c>
      <c r="J21" s="45">
        <f>I21/I$31*100</f>
        <v>99.189325888093123</v>
      </c>
      <c r="K21" s="117">
        <f t="shared" si="1"/>
        <v>20.060380260380242</v>
      </c>
      <c r="L21" s="45">
        <f>L10+L15+L20</f>
        <v>214949373.23999995</v>
      </c>
      <c r="M21" s="46">
        <f>IF(I21&gt;0,L21/I21*100,"-")</f>
        <v>75.85147361802305</v>
      </c>
    </row>
    <row r="22" spans="1:13" x14ac:dyDescent="0.3">
      <c r="A22" s="54" t="s">
        <v>289</v>
      </c>
      <c r="B22" s="55">
        <f>Entrate_Uscite!B40</f>
        <v>0</v>
      </c>
      <c r="C22" s="55">
        <f>Entrate_Uscite!E40</f>
        <v>0</v>
      </c>
      <c r="D22" s="55">
        <f>Entrate_Uscite!H40</f>
        <v>0</v>
      </c>
      <c r="E22" s="55">
        <f>Entrate_Uscite!K40</f>
        <v>0</v>
      </c>
      <c r="F22" s="55">
        <f>Entrate_Uscite!N40</f>
        <v>0</v>
      </c>
      <c r="G22" s="55">
        <f>Entrate_Uscite!Q40</f>
        <v>0</v>
      </c>
      <c r="H22" s="55">
        <f>Entrate_Uscite!T40</f>
        <v>0</v>
      </c>
      <c r="I22" s="55">
        <f>Entrate_Uscite!W40</f>
        <v>0</v>
      </c>
      <c r="J22" s="55">
        <f t="shared" si="0"/>
        <v>0</v>
      </c>
      <c r="K22" s="56" t="str">
        <f t="shared" si="1"/>
        <v>-</v>
      </c>
      <c r="L22" s="55">
        <f>Entrate_Uscite!X40</f>
        <v>0</v>
      </c>
      <c r="M22" s="53" t="str">
        <f t="shared" si="9"/>
        <v>-</v>
      </c>
    </row>
    <row r="23" spans="1:13" x14ac:dyDescent="0.3">
      <c r="A23" s="54" t="s">
        <v>290</v>
      </c>
      <c r="B23" s="55">
        <f>Entrate_Uscite!B41</f>
        <v>0</v>
      </c>
      <c r="C23" s="55">
        <f>Entrate_Uscite!E41</f>
        <v>0</v>
      </c>
      <c r="D23" s="55">
        <f>Entrate_Uscite!H41</f>
        <v>0</v>
      </c>
      <c r="E23" s="55">
        <f>Entrate_Uscite!K41</f>
        <v>0</v>
      </c>
      <c r="F23" s="55">
        <f>Entrate_Uscite!N41</f>
        <v>0</v>
      </c>
      <c r="G23" s="55">
        <f>Entrate_Uscite!Q41</f>
        <v>0</v>
      </c>
      <c r="H23" s="55">
        <f>Entrate_Uscite!T41</f>
        <v>0</v>
      </c>
      <c r="I23" s="55">
        <f>Entrate_Uscite!W41</f>
        <v>0</v>
      </c>
      <c r="J23" s="55">
        <f t="shared" si="0"/>
        <v>0</v>
      </c>
      <c r="K23" s="56" t="str">
        <f t="shared" si="1"/>
        <v>-</v>
      </c>
      <c r="L23" s="55">
        <f>Entrate_Uscite!X41</f>
        <v>0</v>
      </c>
      <c r="M23" s="53" t="str">
        <f t="shared" si="9"/>
        <v>-</v>
      </c>
    </row>
    <row r="24" spans="1:13" x14ac:dyDescent="0.3">
      <c r="A24" s="54" t="s">
        <v>291</v>
      </c>
      <c r="B24" s="55">
        <f>Entrate_Uscite!B42</f>
        <v>1922384.11</v>
      </c>
      <c r="C24" s="55">
        <f>Entrate_Uscite!E42</f>
        <v>1065590.05</v>
      </c>
      <c r="D24" s="55">
        <f>Entrate_Uscite!H42</f>
        <v>1244357.56</v>
      </c>
      <c r="E24" s="55">
        <f>Entrate_Uscite!K42</f>
        <v>1301222.6599999999</v>
      </c>
      <c r="F24" s="55">
        <f>Entrate_Uscite!N42</f>
        <v>319242.32</v>
      </c>
      <c r="G24" s="55">
        <f>Entrate_Uscite!Q42</f>
        <v>1624794.3</v>
      </c>
      <c r="H24" s="55">
        <f>Entrate_Uscite!T42</f>
        <v>2001886.79</v>
      </c>
      <c r="I24" s="55">
        <f>Entrate_Uscite!W42</f>
        <v>2316079.84</v>
      </c>
      <c r="J24" s="55">
        <f t="shared" si="0"/>
        <v>0.81067411190688665</v>
      </c>
      <c r="K24" s="56">
        <f t="shared" si="1"/>
        <v>15.694846060700556</v>
      </c>
      <c r="L24" s="55">
        <f>Entrate_Uscite!X42</f>
        <v>2316079.84</v>
      </c>
      <c r="M24" s="53">
        <f t="shared" si="9"/>
        <v>100</v>
      </c>
    </row>
    <row r="25" spans="1:13" x14ac:dyDescent="0.3">
      <c r="A25" s="54" t="s">
        <v>292</v>
      </c>
      <c r="B25" s="55">
        <f>Entrate_Uscite!B43</f>
        <v>0</v>
      </c>
      <c r="C25" s="55">
        <f>Entrate_Uscite!E43</f>
        <v>0</v>
      </c>
      <c r="D25" s="55">
        <f>Entrate_Uscite!H43</f>
        <v>0</v>
      </c>
      <c r="E25" s="55">
        <f>Entrate_Uscite!K43</f>
        <v>0</v>
      </c>
      <c r="F25" s="55">
        <f>Entrate_Uscite!N43</f>
        <v>0</v>
      </c>
      <c r="G25" s="55">
        <f>Entrate_Uscite!Q43</f>
        <v>0</v>
      </c>
      <c r="H25" s="55">
        <f>Entrate_Uscite!T43</f>
        <v>0</v>
      </c>
      <c r="I25" s="55">
        <f>Entrate_Uscite!W43</f>
        <v>0</v>
      </c>
      <c r="J25" s="55">
        <f t="shared" si="0"/>
        <v>0</v>
      </c>
      <c r="K25" s="56" t="str">
        <f t="shared" si="1"/>
        <v>-</v>
      </c>
      <c r="L25" s="55">
        <f>Entrate_Uscite!X43</f>
        <v>0</v>
      </c>
      <c r="M25" s="53" t="str">
        <f t="shared" si="9"/>
        <v>-</v>
      </c>
    </row>
    <row r="26" spans="1:13" x14ac:dyDescent="0.3">
      <c r="A26" s="54" t="s">
        <v>293</v>
      </c>
      <c r="B26" s="55">
        <f>Entrate_Uscite!B44</f>
        <v>0</v>
      </c>
      <c r="C26" s="55">
        <f>Entrate_Uscite!E44</f>
        <v>0</v>
      </c>
      <c r="D26" s="55">
        <f>Entrate_Uscite!H44</f>
        <v>0</v>
      </c>
      <c r="E26" s="55">
        <f>Entrate_Uscite!K44</f>
        <v>0</v>
      </c>
      <c r="F26" s="55">
        <f>Entrate_Uscite!N44</f>
        <v>0</v>
      </c>
      <c r="G26" s="55">
        <f>Entrate_Uscite!Q44</f>
        <v>0</v>
      </c>
      <c r="H26" s="55">
        <f>Entrate_Uscite!T44</f>
        <v>0</v>
      </c>
      <c r="I26" s="55">
        <f>Entrate_Uscite!W44</f>
        <v>0</v>
      </c>
      <c r="J26" s="55">
        <f t="shared" si="0"/>
        <v>0</v>
      </c>
      <c r="K26" s="56" t="str">
        <f t="shared" si="1"/>
        <v>-</v>
      </c>
      <c r="L26" s="55">
        <f>Entrate_Uscite!X44</f>
        <v>0</v>
      </c>
      <c r="M26" s="53" t="str">
        <f t="shared" si="9"/>
        <v>-</v>
      </c>
    </row>
    <row r="27" spans="1:13" x14ac:dyDescent="0.3">
      <c r="A27" s="4" t="s">
        <v>294</v>
      </c>
      <c r="B27" s="41">
        <f t="shared" ref="B27:I27" si="14">SUM(B22:B26)</f>
        <v>1922384.11</v>
      </c>
      <c r="C27" s="41">
        <f t="shared" si="14"/>
        <v>1065590.05</v>
      </c>
      <c r="D27" s="41">
        <f t="shared" si="14"/>
        <v>1244357.56</v>
      </c>
      <c r="E27" s="41">
        <f t="shared" si="14"/>
        <v>1301222.6599999999</v>
      </c>
      <c r="F27" s="41">
        <f t="shared" si="14"/>
        <v>319242.32</v>
      </c>
      <c r="G27" s="41">
        <f t="shared" ref="G27" si="15">SUM(G22:G26)</f>
        <v>1624794.3</v>
      </c>
      <c r="H27" s="41">
        <f t="shared" ref="H27" si="16">SUM(H22:H26)</f>
        <v>2001886.79</v>
      </c>
      <c r="I27" s="41">
        <f t="shared" si="14"/>
        <v>2316079.84</v>
      </c>
      <c r="J27" s="41">
        <f t="shared" si="0"/>
        <v>0.81067411190688665</v>
      </c>
      <c r="K27" s="106">
        <f t="shared" si="1"/>
        <v>15.694846060700556</v>
      </c>
      <c r="L27" s="41">
        <f>SUM(L22:L26)</f>
        <v>2316079.84</v>
      </c>
      <c r="M27" s="42">
        <f>IF(I27&gt;0,L27/I27*100,"-")</f>
        <v>100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106" t="str">
        <f t="shared" si="1"/>
        <v>-</v>
      </c>
      <c r="L28" s="41">
        <f>Entrate_Uscite!X52</f>
        <v>0</v>
      </c>
      <c r="M28" s="42" t="str">
        <f>IF(I28&gt;0,L28/I28*100,"-")</f>
        <v>-</v>
      </c>
    </row>
    <row r="29" spans="1:13" x14ac:dyDescent="0.3">
      <c r="A29" s="4" t="s">
        <v>296</v>
      </c>
      <c r="B29" s="41">
        <f>Entrate_Uscite!B53</f>
        <v>26411135.220000003</v>
      </c>
      <c r="C29" s="41">
        <f>Entrate_Uscite!E53</f>
        <v>31345868.859999999</v>
      </c>
      <c r="D29" s="41">
        <f>Entrate_Uscite!H53</f>
        <v>24757322.050000001</v>
      </c>
      <c r="E29" s="41">
        <f>Entrate_Uscite!K53</f>
        <v>32528926.919999998</v>
      </c>
      <c r="F29" s="41">
        <f>Entrate_Uscite!N53</f>
        <v>32557024.379999999</v>
      </c>
      <c r="G29" s="41">
        <f>Entrate_Uscite!Q53</f>
        <v>28547878.399999999</v>
      </c>
      <c r="H29" s="41">
        <f>Entrate_Uscite!T53</f>
        <v>28684286.800000001</v>
      </c>
      <c r="I29" s="41">
        <f>Entrate_Uscite!W53</f>
        <v>36017510.019999996</v>
      </c>
      <c r="J29" s="41"/>
      <c r="K29" s="106">
        <f t="shared" si="1"/>
        <v>25.565297373891809</v>
      </c>
      <c r="L29" s="41">
        <f>Entrate_Uscite!X53</f>
        <v>31366784.120000001</v>
      </c>
      <c r="M29" s="42">
        <f>IF(I29&gt;0,L29/I29*100,"-")</f>
        <v>87.087597400771145</v>
      </c>
    </row>
    <row r="30" spans="1:13" x14ac:dyDescent="0.3">
      <c r="A30" s="44" t="s">
        <v>69</v>
      </c>
      <c r="B30" s="45">
        <f t="shared" ref="B30:I30" si="17">B10+B15+B20+B27+B28+B29</f>
        <v>233047004.59</v>
      </c>
      <c r="C30" s="45">
        <f t="shared" si="17"/>
        <v>246546561.30000001</v>
      </c>
      <c r="D30" s="45">
        <f t="shared" si="17"/>
        <v>220041583.91000003</v>
      </c>
      <c r="E30" s="45">
        <f t="shared" si="17"/>
        <v>290872526.39999998</v>
      </c>
      <c r="F30" s="45">
        <f t="shared" si="17"/>
        <v>241084263.79999998</v>
      </c>
      <c r="G30" s="45">
        <f t="shared" ref="G30:H30" si="18">G10+G15+G20+G27+G28+G29</f>
        <v>258863323.66000003</v>
      </c>
      <c r="H30" s="45">
        <f t="shared" si="18"/>
        <v>266719021.25</v>
      </c>
      <c r="I30" s="45">
        <f t="shared" si="17"/>
        <v>321715524.29999995</v>
      </c>
      <c r="J30" s="45"/>
      <c r="K30" s="117">
        <f t="shared" si="1"/>
        <v>20.61964039619464</v>
      </c>
      <c r="L30" s="45">
        <f>L10+L15+L20+L27+L28+L29</f>
        <v>248632237.19999996</v>
      </c>
      <c r="M30" s="46">
        <f>IF(I30&gt;0,L30/I30*100,"-")</f>
        <v>77.283257542819172</v>
      </c>
    </row>
    <row r="31" spans="1:13" x14ac:dyDescent="0.3">
      <c r="A31" s="36" t="s">
        <v>70</v>
      </c>
      <c r="B31" s="47">
        <f t="shared" ref="B31:I31" si="19">B30-B29</f>
        <v>206635869.37</v>
      </c>
      <c r="C31" s="47">
        <f t="shared" si="19"/>
        <v>215200692.44</v>
      </c>
      <c r="D31" s="47">
        <f t="shared" si="19"/>
        <v>195284261.86000001</v>
      </c>
      <c r="E31" s="47">
        <f t="shared" si="19"/>
        <v>258343599.47999999</v>
      </c>
      <c r="F31" s="47">
        <f t="shared" si="19"/>
        <v>208527239.41999999</v>
      </c>
      <c r="G31" s="47">
        <f t="shared" ref="G31:H31" si="20">G30-G29</f>
        <v>230315445.26000002</v>
      </c>
      <c r="H31" s="47">
        <f t="shared" si="20"/>
        <v>238034734.44999999</v>
      </c>
      <c r="I31" s="47">
        <f t="shared" si="19"/>
        <v>285698014.27999997</v>
      </c>
      <c r="J31" s="47">
        <f t="shared" si="0"/>
        <v>100</v>
      </c>
      <c r="K31" s="48">
        <f t="shared" si="1"/>
        <v>20.023665848654474</v>
      </c>
      <c r="L31" s="47">
        <f>L30-L29</f>
        <v>217265453.07999995</v>
      </c>
      <c r="M31" s="49">
        <f>IF(I31&gt;0,L31/I31*100,"-")</f>
        <v>76.047239469808744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39.33203125" bestFit="1" customWidth="1"/>
    <col min="2" max="4" width="10.5546875" bestFit="1" customWidth="1"/>
    <col min="5" max="8" width="10.5546875" style="102" bestFit="1" customWidth="1"/>
    <col min="9" max="9" width="10.5546875" bestFit="1" customWidth="1"/>
    <col min="10" max="10" width="11.21875" bestFit="1" customWidth="1"/>
    <col min="11" max="11" width="11.33203125" bestFit="1" customWidth="1"/>
  </cols>
  <sheetData>
    <row r="1" spans="1:11" x14ac:dyDescent="0.3">
      <c r="A1" s="39"/>
      <c r="B1" s="118">
        <v>2016</v>
      </c>
      <c r="C1" s="118">
        <v>2017</v>
      </c>
      <c r="D1" s="118">
        <v>2018</v>
      </c>
      <c r="E1" s="118">
        <v>2019</v>
      </c>
      <c r="F1" s="118">
        <v>2020</v>
      </c>
      <c r="G1" s="118">
        <v>2021</v>
      </c>
      <c r="H1" s="118">
        <v>2022</v>
      </c>
      <c r="I1" s="118">
        <v>2023</v>
      </c>
      <c r="J1" s="118" t="s">
        <v>266</v>
      </c>
      <c r="K1" s="118" t="s">
        <v>340</v>
      </c>
    </row>
    <row r="2" spans="1:11" x14ac:dyDescent="0.3">
      <c r="A2" s="57" t="s">
        <v>298</v>
      </c>
      <c r="B2" s="59">
        <f>Entrate_Uscite!B56</f>
        <v>23984762.269999981</v>
      </c>
      <c r="C2" s="59">
        <f>Entrate_Uscite!E56</f>
        <v>35087273.300000012</v>
      </c>
      <c r="D2" s="59">
        <f>Entrate_Uscite!H56</f>
        <v>90198416.369999975</v>
      </c>
      <c r="E2" s="59">
        <f>Entrate_Uscite!K56</f>
        <v>908702.59000000358</v>
      </c>
      <c r="F2" s="59">
        <f>Entrate_Uscite!N56</f>
        <v>30838824.720000029</v>
      </c>
      <c r="G2" s="59">
        <f>Entrate_Uscite!Q56</f>
        <v>32334915.430000007</v>
      </c>
      <c r="H2" s="59">
        <f>Entrate_Uscite!T56</f>
        <v>35910240.849999994</v>
      </c>
      <c r="I2" s="59">
        <f>Entrate_Uscite!W56</f>
        <v>47040248.580000043</v>
      </c>
      <c r="J2" s="59">
        <f>I2-H2</f>
        <v>11130007.730000049</v>
      </c>
      <c r="K2" s="59">
        <f>Entrate_Uscite!X56</f>
        <v>-11318357.229999959</v>
      </c>
    </row>
    <row r="3" spans="1:11" x14ac:dyDescent="0.3">
      <c r="A3" s="57" t="s">
        <v>72</v>
      </c>
      <c r="B3" s="60">
        <f>Entrate_Uscite!B57</f>
        <v>3423071.3800000027</v>
      </c>
      <c r="C3" s="60">
        <f>Entrate_Uscite!E57</f>
        <v>-7690125.4100000001</v>
      </c>
      <c r="D3" s="60">
        <f>Entrate_Uscite!H57</f>
        <v>-1222404.1199999992</v>
      </c>
      <c r="E3" s="60">
        <f>Entrate_Uscite!K57</f>
        <v>13059386.399999999</v>
      </c>
      <c r="F3" s="60">
        <f>Entrate_Uscite!N57</f>
        <v>17661019.150000002</v>
      </c>
      <c r="G3" s="60">
        <f>Entrate_Uscite!Q57</f>
        <v>-2522499.9800000042</v>
      </c>
      <c r="H3" s="60">
        <f>Entrate_Uscite!T57</f>
        <v>33560586</v>
      </c>
      <c r="I3" s="60">
        <f>Entrate_Uscite!W57</f>
        <v>-3735774.200000003</v>
      </c>
      <c r="J3" s="59">
        <f t="shared" ref="J3:J6" si="0">I3-H3</f>
        <v>-37296360.200000003</v>
      </c>
      <c r="K3" s="59">
        <f>Entrate_Uscite!X57</f>
        <v>-11300117.309999995</v>
      </c>
    </row>
    <row r="4" spans="1:11" x14ac:dyDescent="0.3">
      <c r="A4" s="57" t="s">
        <v>301</v>
      </c>
      <c r="B4" s="60">
        <f>Entrate_Uscite!B16-Entrate_Uscite!B50</f>
        <v>0</v>
      </c>
      <c r="C4" s="60">
        <f>Entrate_Uscite!E16-Entrate_Uscite!E50</f>
        <v>0</v>
      </c>
      <c r="D4" s="60">
        <f>Entrate_Uscite!H16-Entrate_Uscite!H50</f>
        <v>0</v>
      </c>
      <c r="E4" s="60">
        <f>Entrate_Uscite!K16-Entrate_Uscite!K50</f>
        <v>0</v>
      </c>
      <c r="F4" s="60">
        <f>Entrate_Uscite!N16-Entrate_Uscite!N50</f>
        <v>0</v>
      </c>
      <c r="G4" s="60">
        <f>Entrate_Uscite!Q16-Entrate_Uscite!Q50</f>
        <v>-38210</v>
      </c>
      <c r="H4" s="60">
        <f>Entrate_Uscite!T16-Entrate_Uscite!T50</f>
        <v>0</v>
      </c>
      <c r="I4" s="60">
        <f>Entrate_Uscite!W16-Entrate_Uscite!W50</f>
        <v>0</v>
      </c>
      <c r="J4" s="59">
        <f t="shared" si="0"/>
        <v>0</v>
      </c>
      <c r="K4" s="60">
        <f>Entrate_Uscite!X16-Entrate_Uscite!X50</f>
        <v>0</v>
      </c>
    </row>
    <row r="5" spans="1:11" x14ac:dyDescent="0.3">
      <c r="A5" s="116" t="s">
        <v>299</v>
      </c>
      <c r="B5" s="61">
        <f>Entrate_Uscite!B58</f>
        <v>27407833.650000006</v>
      </c>
      <c r="C5" s="61">
        <f>Entrate_Uscite!E58</f>
        <v>27397147.890000015</v>
      </c>
      <c r="D5" s="61">
        <f>Entrate_Uscite!H58</f>
        <v>88976012.25</v>
      </c>
      <c r="E5" s="61">
        <f>Entrate_Uscite!K58</f>
        <v>13968088.99000001</v>
      </c>
      <c r="F5" s="61">
        <f>Entrate_Uscite!N58</f>
        <v>48499843.870000035</v>
      </c>
      <c r="G5" s="61">
        <f>Entrate_Uscite!Q58</f>
        <v>29774205.450000018</v>
      </c>
      <c r="H5" s="61">
        <f>Entrate_Uscite!T58</f>
        <v>69470826.849999994</v>
      </c>
      <c r="I5" s="61">
        <f>Entrate_Uscite!W58</f>
        <v>43304474.380000055</v>
      </c>
      <c r="J5" s="61">
        <f t="shared" si="0"/>
        <v>-26166352.469999939</v>
      </c>
      <c r="K5" s="61">
        <f>Entrate_Uscite!X58</f>
        <v>-22618474.539999932</v>
      </c>
    </row>
    <row r="6" spans="1:11" x14ac:dyDescent="0.3">
      <c r="A6" s="36" t="s">
        <v>300</v>
      </c>
      <c r="B6" s="62">
        <f>Entrate_Uscite!B59</f>
        <v>25485449.539999992</v>
      </c>
      <c r="C6" s="62">
        <f>Entrate_Uscite!E59</f>
        <v>29331557.840000033</v>
      </c>
      <c r="D6" s="62">
        <f>Entrate_Uscite!H59</f>
        <v>87731654.689999998</v>
      </c>
      <c r="E6" s="62">
        <f>Entrate_Uscite!K59</f>
        <v>16054807.789999992</v>
      </c>
      <c r="F6" s="62">
        <f>Entrate_Uscite!N59</f>
        <v>58486888.530000061</v>
      </c>
      <c r="G6" s="62">
        <f>Entrate_Uscite!Q59</f>
        <v>31030429.74000001</v>
      </c>
      <c r="H6" s="62">
        <f>Entrate_Uscite!T59</f>
        <v>74978577.189999998</v>
      </c>
      <c r="I6" s="62">
        <f>Entrate_Uscite!W59</f>
        <v>43322383.280000091</v>
      </c>
      <c r="J6" s="62">
        <f t="shared" si="0"/>
        <v>-31656193.909999907</v>
      </c>
      <c r="K6" s="62">
        <f>Entrate_Uscite!X59</f>
        <v>-23613804.329999894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J2" sqref="J2:J23"/>
    </sheetView>
  </sheetViews>
  <sheetFormatPr defaultRowHeight="14.4" x14ac:dyDescent="0.3"/>
  <cols>
    <col min="1" max="1" width="36.44140625" bestFit="1" customWidth="1"/>
    <col min="2" max="6" width="11.109375" bestFit="1" customWidth="1"/>
    <col min="7" max="10" width="11.109375" style="102" bestFit="1" customWidth="1"/>
    <col min="13" max="13" width="10" bestFit="1" customWidth="1"/>
  </cols>
  <sheetData>
    <row r="1" spans="1:10" x14ac:dyDescent="0.3">
      <c r="A1" s="39"/>
      <c r="B1" s="91">
        <v>2015</v>
      </c>
      <c r="C1" s="91">
        <v>2016</v>
      </c>
      <c r="D1" s="91">
        <v>2017</v>
      </c>
      <c r="E1" s="91">
        <v>2018</v>
      </c>
      <c r="F1" s="91">
        <v>2019</v>
      </c>
      <c r="G1" s="91">
        <v>2020</v>
      </c>
      <c r="H1" s="91">
        <v>2021</v>
      </c>
      <c r="I1" s="91">
        <v>2022</v>
      </c>
      <c r="J1" s="91">
        <v>2023</v>
      </c>
    </row>
    <row r="2" spans="1:10" x14ac:dyDescent="0.3">
      <c r="A2" t="s">
        <v>5</v>
      </c>
      <c r="B2" s="1">
        <v>96636026.129999995</v>
      </c>
      <c r="C2" s="1">
        <v>75825684.310000002</v>
      </c>
      <c r="D2" s="1">
        <v>69242446.909999996</v>
      </c>
      <c r="E2" s="1">
        <v>119987882.62</v>
      </c>
      <c r="F2" s="1">
        <v>87588279.090000004</v>
      </c>
      <c r="G2" s="1">
        <v>76461729.239999995</v>
      </c>
      <c r="H2" s="1">
        <v>89834927.060000002</v>
      </c>
      <c r="I2" s="1">
        <v>116070390.90000001</v>
      </c>
      <c r="J2" s="1">
        <v>117968891.37</v>
      </c>
    </row>
    <row r="3" spans="1:10" x14ac:dyDescent="0.3">
      <c r="A3" t="s">
        <v>6</v>
      </c>
      <c r="B3" s="1">
        <v>190348755.28999999</v>
      </c>
      <c r="C3" s="1">
        <v>217400507.5</v>
      </c>
      <c r="D3" s="1">
        <v>257331335.33000001</v>
      </c>
      <c r="E3" s="1">
        <v>266437997.34</v>
      </c>
      <c r="F3" s="1">
        <v>345860981.12</v>
      </c>
      <c r="G3" s="1">
        <v>418596933.63</v>
      </c>
      <c r="H3" s="1">
        <v>409839833.44999999</v>
      </c>
      <c r="I3" s="1">
        <v>399246823.74000001</v>
      </c>
      <c r="J3" s="1">
        <v>444773565.41000003</v>
      </c>
    </row>
    <row r="4" spans="1:10" x14ac:dyDescent="0.3">
      <c r="A4" t="s">
        <v>7</v>
      </c>
      <c r="B4" s="1">
        <v>140909554.69999999</v>
      </c>
      <c r="C4" s="1">
        <v>132886969.88</v>
      </c>
      <c r="D4" s="1">
        <v>131325821.88</v>
      </c>
      <c r="E4" s="1">
        <v>96070040.680000007</v>
      </c>
      <c r="F4" s="1">
        <v>128915514.33</v>
      </c>
      <c r="G4" s="1">
        <v>127604536.81999999</v>
      </c>
      <c r="H4" s="1">
        <v>115207650.83</v>
      </c>
      <c r="I4" s="1">
        <v>84289108.180000007</v>
      </c>
      <c r="J4" s="1">
        <v>102626470.16</v>
      </c>
    </row>
    <row r="5" spans="1:10" x14ac:dyDescent="0.3">
      <c r="A5" t="s">
        <v>8</v>
      </c>
      <c r="B5" s="1">
        <v>14761670.74</v>
      </c>
      <c r="C5" s="1">
        <v>10929054.619999999</v>
      </c>
      <c r="D5" s="1">
        <v>10195474.07</v>
      </c>
      <c r="E5" s="1">
        <v>12460979.720000001</v>
      </c>
      <c r="F5" s="1">
        <v>20976902.030000001</v>
      </c>
      <c r="G5" s="1">
        <v>22882386.949999999</v>
      </c>
      <c r="H5" s="1">
        <v>13281255.050000001</v>
      </c>
      <c r="I5" s="1">
        <v>9864036.9100000001</v>
      </c>
      <c r="J5" s="1">
        <v>7851549.2199999997</v>
      </c>
    </row>
    <row r="6" spans="1:10" x14ac:dyDescent="0.3">
      <c r="A6" t="s">
        <v>9</v>
      </c>
      <c r="B6" s="1">
        <v>22629320.25</v>
      </c>
      <c r="C6" s="1">
        <v>22429154.530000001</v>
      </c>
      <c r="D6" s="1">
        <v>15415117</v>
      </c>
      <c r="E6" s="1">
        <v>17217520.710000001</v>
      </c>
      <c r="F6" s="1">
        <v>40905089.439999998</v>
      </c>
      <c r="G6" s="1">
        <v>71572907.609999999</v>
      </c>
      <c r="H6" s="1">
        <v>51617824.689999998</v>
      </c>
      <c r="I6" s="1">
        <v>60295894.729999997</v>
      </c>
      <c r="J6" s="1">
        <v>73223594.180000007</v>
      </c>
    </row>
    <row r="7" spans="1:10" x14ac:dyDescent="0.3">
      <c r="A7" s="4" t="s">
        <v>0</v>
      </c>
      <c r="B7" s="3">
        <f t="shared" ref="B7:J7" si="0">B2+B3-B4-B5-B6</f>
        <v>108684235.72999997</v>
      </c>
      <c r="C7" s="3">
        <f t="shared" si="0"/>
        <v>126981012.78</v>
      </c>
      <c r="D7" s="3">
        <f t="shared" si="0"/>
        <v>169637369.29000002</v>
      </c>
      <c r="E7" s="3">
        <f t="shared" si="0"/>
        <v>260677338.84999999</v>
      </c>
      <c r="F7" s="3">
        <f t="shared" si="0"/>
        <v>242651754.41000003</v>
      </c>
      <c r="G7" s="3">
        <f t="shared" ref="G7:I7" si="1">G2+G3-G4-G5-G6</f>
        <v>272998831.49000001</v>
      </c>
      <c r="H7" s="3">
        <f t="shared" si="1"/>
        <v>319568029.94</v>
      </c>
      <c r="I7" s="3">
        <f t="shared" si="1"/>
        <v>360868174.81999993</v>
      </c>
      <c r="J7" s="3">
        <f t="shared" si="0"/>
        <v>379040843.21999997</v>
      </c>
    </row>
    <row r="8" spans="1:10" x14ac:dyDescent="0.3">
      <c r="A8" t="s">
        <v>10</v>
      </c>
      <c r="B8" s="1">
        <v>51358060.25</v>
      </c>
      <c r="C8" s="1">
        <v>62122455.899999999</v>
      </c>
      <c r="D8" s="1">
        <v>100907175.2</v>
      </c>
      <c r="E8" s="1">
        <v>131186723.33</v>
      </c>
      <c r="F8" s="1">
        <v>153287529.56</v>
      </c>
      <c r="G8" s="1">
        <v>175387298.72</v>
      </c>
      <c r="H8" s="1">
        <v>186471352.11000001</v>
      </c>
      <c r="I8" s="1">
        <v>201941002.66</v>
      </c>
      <c r="J8" s="1">
        <v>251479529.13999999</v>
      </c>
    </row>
    <row r="9" spans="1:10" x14ac:dyDescent="0.3">
      <c r="A9" t="s">
        <v>11</v>
      </c>
      <c r="B9" s="1">
        <v>0</v>
      </c>
      <c r="C9" s="89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3">
      <c r="A10" t="s">
        <v>12</v>
      </c>
      <c r="B10" s="1">
        <v>29834.18</v>
      </c>
      <c r="C10" s="89">
        <v>89502.55</v>
      </c>
      <c r="D10" s="1">
        <v>142973.73000000001</v>
      </c>
      <c r="E10" s="1">
        <v>4896439.47</v>
      </c>
      <c r="F10" s="1">
        <v>4227700.0599999996</v>
      </c>
      <c r="G10" s="1">
        <v>4349565.5</v>
      </c>
      <c r="H10" s="1">
        <v>3051879.85</v>
      </c>
      <c r="I10" s="1">
        <v>2279459.5499999998</v>
      </c>
      <c r="J10" s="1">
        <v>5664494.3200000003</v>
      </c>
    </row>
    <row r="11" spans="1:10" x14ac:dyDescent="0.3">
      <c r="A11" t="s">
        <v>13</v>
      </c>
      <c r="B11" s="1">
        <v>512000</v>
      </c>
      <c r="C11" s="89">
        <v>0</v>
      </c>
      <c r="D11" s="1">
        <v>8312000</v>
      </c>
      <c r="E11" s="1">
        <v>6812000</v>
      </c>
      <c r="F11" s="1">
        <v>6812000</v>
      </c>
      <c r="G11" s="1">
        <v>8077107.5099999998</v>
      </c>
      <c r="H11" s="1">
        <v>7976924.1699999999</v>
      </c>
      <c r="I11" s="1">
        <v>14516965.07</v>
      </c>
      <c r="J11" s="1">
        <v>11357455.970000001</v>
      </c>
    </row>
    <row r="12" spans="1:10" x14ac:dyDescent="0.3">
      <c r="A12" t="s">
        <v>14</v>
      </c>
      <c r="B12" s="1">
        <v>22866.83</v>
      </c>
      <c r="C12" s="89">
        <v>8340515.21</v>
      </c>
      <c r="D12" s="1">
        <v>635637.73</v>
      </c>
      <c r="E12" s="1">
        <f>253082.76+80490069.39</f>
        <v>80743152.150000006</v>
      </c>
      <c r="F12" s="1">
        <v>54819241.57</v>
      </c>
      <c r="G12" s="1">
        <v>53664265.049999997</v>
      </c>
      <c r="H12" s="1">
        <v>70300250.579999998</v>
      </c>
      <c r="I12" s="1">
        <v>70817279.420000002</v>
      </c>
      <c r="J12" s="1">
        <v>55162003.560000002</v>
      </c>
    </row>
    <row r="13" spans="1:10" x14ac:dyDescent="0.3">
      <c r="A13" s="4" t="s">
        <v>1</v>
      </c>
      <c r="B13" s="3">
        <f t="shared" ref="B13:J13" si="2">SUM(B8:B12)</f>
        <v>51922761.259999998</v>
      </c>
      <c r="C13" s="3">
        <f t="shared" si="2"/>
        <v>70552473.659999996</v>
      </c>
      <c r="D13" s="3">
        <f t="shared" si="2"/>
        <v>109997786.66000001</v>
      </c>
      <c r="E13" s="3">
        <f t="shared" si="2"/>
        <v>223638314.95000002</v>
      </c>
      <c r="F13" s="3">
        <f t="shared" si="2"/>
        <v>219146471.19</v>
      </c>
      <c r="G13" s="3">
        <f t="shared" ref="G13" si="3">SUM(G8:G12)</f>
        <v>241478236.77999997</v>
      </c>
      <c r="H13" s="3">
        <f t="shared" ref="H13" si="4">SUM(H8:H12)</f>
        <v>267800406.70999998</v>
      </c>
      <c r="I13" s="3">
        <f t="shared" ref="I13" si="5">SUM(I8:I12)</f>
        <v>289554706.69999999</v>
      </c>
      <c r="J13" s="3">
        <f t="shared" si="2"/>
        <v>323663482.99000001</v>
      </c>
    </row>
    <row r="14" spans="1:10" x14ac:dyDescent="0.3">
      <c r="A14" t="s">
        <v>16</v>
      </c>
      <c r="B14" s="1">
        <v>4397979.76</v>
      </c>
      <c r="C14" s="89">
        <v>4397979.76</v>
      </c>
      <c r="D14" s="1">
        <v>7632952.6799999997</v>
      </c>
      <c r="E14" s="1">
        <v>0</v>
      </c>
      <c r="F14" s="1">
        <v>1077787.6000000001</v>
      </c>
      <c r="G14" s="1">
        <v>6310310.8499999996</v>
      </c>
      <c r="H14" s="1">
        <v>7866512.8399999999</v>
      </c>
      <c r="I14" s="1">
        <v>4211817.4800000004</v>
      </c>
      <c r="J14" s="1">
        <v>2983066.64</v>
      </c>
    </row>
    <row r="15" spans="1:10" x14ac:dyDescent="0.3">
      <c r="A15" t="s">
        <v>15</v>
      </c>
      <c r="B15" s="1">
        <v>33499212.539999999</v>
      </c>
      <c r="C15" s="89">
        <v>38941913.560000002</v>
      </c>
      <c r="D15" s="1">
        <v>38785748.549999997</v>
      </c>
      <c r="E15" s="1">
        <v>26208864.82</v>
      </c>
      <c r="F15" s="1">
        <v>19374225.609999999</v>
      </c>
      <c r="G15" s="1">
        <v>21419255.370000001</v>
      </c>
      <c r="H15" s="1">
        <v>35665357.75</v>
      </c>
      <c r="I15" s="1">
        <v>60925076.009999998</v>
      </c>
      <c r="J15" s="1">
        <v>49873701.450000003</v>
      </c>
    </row>
    <row r="16" spans="1:10" x14ac:dyDescent="0.3">
      <c r="A16" t="s">
        <v>17</v>
      </c>
      <c r="B16" s="1">
        <v>2020467.16</v>
      </c>
      <c r="C16" s="89">
        <v>2020467.16</v>
      </c>
      <c r="D16" s="1">
        <v>2020467.16</v>
      </c>
      <c r="E16" s="1">
        <v>2020467.16</v>
      </c>
      <c r="F16" s="1">
        <v>0</v>
      </c>
      <c r="G16" s="1">
        <v>0</v>
      </c>
      <c r="H16" s="1">
        <v>3951770.69</v>
      </c>
      <c r="I16" s="1">
        <v>4352643.83</v>
      </c>
      <c r="J16" s="1">
        <v>1572798.79</v>
      </c>
    </row>
    <row r="17" spans="1:10" x14ac:dyDescent="0.3">
      <c r="A17" t="s">
        <v>18</v>
      </c>
      <c r="B17" s="1">
        <v>1909985.26</v>
      </c>
      <c r="C17" s="89">
        <v>6502532.5700000003</v>
      </c>
      <c r="D17" s="1">
        <v>1909985.26</v>
      </c>
      <c r="E17" s="1">
        <v>1909985.26</v>
      </c>
      <c r="F17" s="1">
        <v>0</v>
      </c>
      <c r="G17" s="1">
        <v>0</v>
      </c>
      <c r="H17" s="1">
        <v>19285</v>
      </c>
      <c r="I17" s="1">
        <v>19285</v>
      </c>
      <c r="J17" s="1">
        <v>19285</v>
      </c>
    </row>
    <row r="18" spans="1:10" x14ac:dyDescent="0.3">
      <c r="A18" t="s">
        <v>19</v>
      </c>
      <c r="B18" s="1">
        <v>0</v>
      </c>
      <c r="C18" s="89">
        <v>0</v>
      </c>
      <c r="D18" s="1">
        <v>0</v>
      </c>
      <c r="E18" s="1">
        <v>0</v>
      </c>
      <c r="F18" s="1">
        <v>0</v>
      </c>
      <c r="G18" s="1">
        <v>2575650.0299999998</v>
      </c>
      <c r="H18" s="1">
        <v>2575650.0299999998</v>
      </c>
      <c r="I18" s="1">
        <v>0</v>
      </c>
      <c r="J18" s="1">
        <v>0</v>
      </c>
    </row>
    <row r="19" spans="1:10" x14ac:dyDescent="0.3">
      <c r="A19" s="4" t="s">
        <v>2</v>
      </c>
      <c r="B19" s="3">
        <f t="shared" ref="B19:J19" si="6">SUM(B14:B18)</f>
        <v>41827644.719999991</v>
      </c>
      <c r="C19" s="3">
        <f t="shared" si="6"/>
        <v>51862893.049999997</v>
      </c>
      <c r="D19" s="3">
        <f t="shared" si="6"/>
        <v>50349153.649999991</v>
      </c>
      <c r="E19" s="3">
        <f t="shared" si="6"/>
        <v>30139317.240000002</v>
      </c>
      <c r="F19" s="3">
        <f t="shared" si="6"/>
        <v>20452013.210000001</v>
      </c>
      <c r="G19" s="3">
        <f t="shared" ref="G19:I19" si="7">SUM(G14:G18)</f>
        <v>30305216.25</v>
      </c>
      <c r="H19" s="3">
        <f t="shared" si="7"/>
        <v>50078576.310000002</v>
      </c>
      <c r="I19" s="3">
        <f t="shared" si="7"/>
        <v>69508822.319999993</v>
      </c>
      <c r="J19" s="3">
        <f t="shared" si="6"/>
        <v>54448851.880000003</v>
      </c>
    </row>
    <row r="20" spans="1:10" x14ac:dyDescent="0.3">
      <c r="A20" s="4" t="s">
        <v>3</v>
      </c>
      <c r="B20" s="3">
        <v>1155929.94</v>
      </c>
      <c r="C20" s="3">
        <v>2315530.77</v>
      </c>
      <c r="D20" s="3">
        <v>5339510.72</v>
      </c>
      <c r="E20" s="3">
        <v>5339510.72</v>
      </c>
      <c r="F20" s="3">
        <v>401296.05</v>
      </c>
      <c r="G20" s="3">
        <v>401296.05</v>
      </c>
      <c r="H20" s="3">
        <v>1159110.81</v>
      </c>
      <c r="I20" s="3">
        <v>1159110.81</v>
      </c>
      <c r="J20" s="3">
        <v>0</v>
      </c>
    </row>
    <row r="21" spans="1:10" x14ac:dyDescent="0.3">
      <c r="A21" s="64" t="s">
        <v>4</v>
      </c>
      <c r="B21" s="35">
        <f t="shared" ref="B21:J21" si="8">B7-B13-B19-B20</f>
        <v>13777899.809999986</v>
      </c>
      <c r="C21" s="35">
        <f t="shared" si="8"/>
        <v>2250115.3000000077</v>
      </c>
      <c r="D21" s="35">
        <f t="shared" si="8"/>
        <v>3950918.2600000193</v>
      </c>
      <c r="E21" s="35">
        <f t="shared" si="8"/>
        <v>1560195.9399999743</v>
      </c>
      <c r="F21" s="35">
        <f t="shared" si="8"/>
        <v>2651973.9600000279</v>
      </c>
      <c r="G21" s="35">
        <f t="shared" ref="G21:I21" si="9">G7-G13-G19-G20</f>
        <v>814082.4100000381</v>
      </c>
      <c r="H21" s="35">
        <f t="shared" si="9"/>
        <v>529936.11000001663</v>
      </c>
      <c r="I21" s="35">
        <f t="shared" si="9"/>
        <v>645534.98999995226</v>
      </c>
      <c r="J21" s="35">
        <f t="shared" si="8"/>
        <v>928508.34999995679</v>
      </c>
    </row>
    <row r="22" spans="1:10" x14ac:dyDescent="0.3">
      <c r="A22" t="s">
        <v>356</v>
      </c>
      <c r="C22" s="1">
        <v>-20821402.440000001</v>
      </c>
      <c r="D22" s="1">
        <v>-2732941.45</v>
      </c>
      <c r="E22" s="1">
        <v>-27868891.960000001</v>
      </c>
      <c r="F22" s="1">
        <v>-12474579.039999999</v>
      </c>
      <c r="G22" s="1">
        <v>-13666387.720000001</v>
      </c>
      <c r="H22" s="1">
        <v>-50906383.549999997</v>
      </c>
      <c r="I22" s="1">
        <v>-51256644.899999999</v>
      </c>
      <c r="J22" s="1">
        <v>-27182338.530000001</v>
      </c>
    </row>
    <row r="23" spans="1:10" x14ac:dyDescent="0.3">
      <c r="A23" t="s">
        <v>357</v>
      </c>
      <c r="B23" s="6">
        <f t="shared" ref="B23:J23" si="10">B8/B3*100</f>
        <v>26.981032879230028</v>
      </c>
      <c r="C23" s="6">
        <f t="shared" si="10"/>
        <v>28.575120000582331</v>
      </c>
      <c r="D23" s="6">
        <f t="shared" si="10"/>
        <v>39.212937309246584</v>
      </c>
      <c r="E23" s="6">
        <f t="shared" si="10"/>
        <v>49.237242675485717</v>
      </c>
      <c r="F23" s="6">
        <f t="shared" si="10"/>
        <v>44.32056170765771</v>
      </c>
      <c r="G23" s="104">
        <f t="shared" ref="G23:I23" si="11">G8/G3*100</f>
        <v>41.898849377388352</v>
      </c>
      <c r="H23" s="104">
        <f t="shared" si="11"/>
        <v>45.498591618169129</v>
      </c>
      <c r="I23" s="104">
        <f t="shared" si="11"/>
        <v>50.580490727086982</v>
      </c>
      <c r="J23" s="104">
        <f t="shared" si="10"/>
        <v>56.541024174442953</v>
      </c>
    </row>
  </sheetData>
  <conditionalFormatting sqref="C21:F21 J21">
    <cfRule type="cellIs" dxfId="104" priority="24" operator="greaterThan">
      <formula>0</formula>
    </cfRule>
  </conditionalFormatting>
  <conditionalFormatting sqref="C21:F21 J21">
    <cfRule type="cellIs" dxfId="103" priority="21" operator="greaterThan">
      <formula>0</formula>
    </cfRule>
    <cfRule type="cellIs" dxfId="102" priority="22" operator="lessThan">
      <formula>0</formula>
    </cfRule>
  </conditionalFormatting>
  <conditionalFormatting sqref="B21">
    <cfRule type="cellIs" dxfId="101" priority="15" operator="greaterThan">
      <formula>0</formula>
    </cfRule>
  </conditionalFormatting>
  <conditionalFormatting sqref="B21">
    <cfRule type="cellIs" dxfId="100" priority="13" operator="greaterThan">
      <formula>0</formula>
    </cfRule>
    <cfRule type="cellIs" dxfId="99" priority="14" operator="lessThan">
      <formula>0</formula>
    </cfRule>
  </conditionalFormatting>
  <conditionalFormatting sqref="G21">
    <cfRule type="cellIs" dxfId="98" priority="9" operator="greaterThan">
      <formula>0</formula>
    </cfRule>
  </conditionalFormatting>
  <conditionalFormatting sqref="G21">
    <cfRule type="cellIs" dxfId="97" priority="7" operator="greaterThan">
      <formula>0</formula>
    </cfRule>
    <cfRule type="cellIs" dxfId="96" priority="8" operator="lessThan">
      <formula>0</formula>
    </cfRule>
  </conditionalFormatting>
  <conditionalFormatting sqref="H21">
    <cfRule type="cellIs" dxfId="95" priority="6" operator="greaterThan">
      <formula>0</formula>
    </cfRule>
  </conditionalFormatting>
  <conditionalFormatting sqref="H21">
    <cfRule type="cellIs" dxfId="94" priority="4" operator="greaterThan">
      <formula>0</formula>
    </cfRule>
    <cfRule type="cellIs" dxfId="93" priority="5" operator="lessThan">
      <formula>0</formula>
    </cfRule>
  </conditionalFormatting>
  <conditionalFormatting sqref="I21">
    <cfRule type="cellIs" dxfId="92" priority="3" operator="greaterThan">
      <formula>0</formula>
    </cfRule>
  </conditionalFormatting>
  <conditionalFormatting sqref="I21">
    <cfRule type="cellIs" dxfId="91" priority="1" operator="greaterThan">
      <formula>0</formula>
    </cfRule>
    <cfRule type="cellIs" dxfId="9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K2" sqref="K2:K29"/>
    </sheetView>
  </sheetViews>
  <sheetFormatPr defaultRowHeight="14.4" x14ac:dyDescent="0.3"/>
  <cols>
    <col min="1" max="1" width="65.33203125" bestFit="1" customWidth="1"/>
    <col min="2" max="2" width="10.88671875" customWidth="1"/>
    <col min="3" max="7" width="11.109375" bestFit="1" customWidth="1"/>
    <col min="8" max="11" width="11.109375" style="102" bestFit="1" customWidth="1"/>
    <col min="12" max="12" width="10.88671875" style="102" bestFit="1" customWidth="1"/>
  </cols>
  <sheetData>
    <row r="1" spans="1:12" x14ac:dyDescent="0.3">
      <c r="C1" s="94">
        <v>2015</v>
      </c>
      <c r="D1" s="94">
        <v>2016</v>
      </c>
      <c r="E1" s="93">
        <v>2017</v>
      </c>
      <c r="F1" s="93">
        <v>2018</v>
      </c>
      <c r="G1" s="98">
        <v>2019</v>
      </c>
      <c r="H1" s="125">
        <v>2020</v>
      </c>
      <c r="I1" s="129">
        <v>2021</v>
      </c>
      <c r="J1" s="136">
        <v>2022</v>
      </c>
      <c r="K1" s="120">
        <v>2023</v>
      </c>
      <c r="L1" s="111" t="s">
        <v>266</v>
      </c>
    </row>
    <row r="2" spans="1:12" x14ac:dyDescent="0.3">
      <c r="A2" t="s">
        <v>236</v>
      </c>
      <c r="B2" s="24" t="s">
        <v>260</v>
      </c>
      <c r="C2" s="1">
        <v>21770410.25</v>
      </c>
      <c r="D2" s="1">
        <v>108513528.56999999</v>
      </c>
      <c r="E2" s="1">
        <v>108717623.53</v>
      </c>
      <c r="F2" s="1">
        <v>103502410.2</v>
      </c>
      <c r="G2" s="1">
        <v>114349174.44</v>
      </c>
      <c r="H2" s="1">
        <v>99203719.810000002</v>
      </c>
      <c r="I2" s="1">
        <v>110380519.18000001</v>
      </c>
      <c r="J2" s="1">
        <v>116612864.3</v>
      </c>
      <c r="K2" s="1">
        <v>125587194.84</v>
      </c>
      <c r="L2" s="1">
        <f>K2-J2</f>
        <v>8974330.5400000066</v>
      </c>
    </row>
    <row r="3" spans="1:12" x14ac:dyDescent="0.3">
      <c r="A3" t="s">
        <v>237</v>
      </c>
      <c r="B3" s="24" t="s">
        <v>260</v>
      </c>
      <c r="C3" s="1">
        <v>37180537.240000002</v>
      </c>
      <c r="D3" s="1">
        <v>41307779.450000003</v>
      </c>
      <c r="E3" s="1">
        <v>40262308.560000002</v>
      </c>
      <c r="F3" s="1">
        <v>38996185.630000003</v>
      </c>
      <c r="G3" s="1">
        <v>39017868.729999997</v>
      </c>
      <c r="H3" s="1">
        <v>38921096.520000003</v>
      </c>
      <c r="I3" s="1">
        <v>39524344.969999999</v>
      </c>
      <c r="J3" s="1">
        <v>39603732.259999998</v>
      </c>
      <c r="K3" s="1">
        <v>40651135.090000004</v>
      </c>
      <c r="L3" s="1">
        <f t="shared" ref="L3:L29" si="0">K3-J3</f>
        <v>1047402.8300000057</v>
      </c>
    </row>
    <row r="4" spans="1:12" x14ac:dyDescent="0.3">
      <c r="A4" t="s">
        <v>238</v>
      </c>
      <c r="B4" s="24" t="s">
        <v>260</v>
      </c>
      <c r="C4" s="1">
        <v>36060799.780000001</v>
      </c>
      <c r="D4" s="1">
        <v>40438637.920000002</v>
      </c>
      <c r="E4" s="1">
        <v>42960641.100000001</v>
      </c>
      <c r="F4" s="1">
        <v>43042674.82</v>
      </c>
      <c r="G4" s="1">
        <v>90189875.030000001</v>
      </c>
      <c r="H4" s="1">
        <v>87279524.969999999</v>
      </c>
      <c r="I4" s="1">
        <v>59022004.649999999</v>
      </c>
      <c r="J4" s="1">
        <v>65126084.119999997</v>
      </c>
      <c r="K4" s="1">
        <v>66006206.420000002</v>
      </c>
      <c r="L4" s="1">
        <f t="shared" si="0"/>
        <v>880122.30000000447</v>
      </c>
    </row>
    <row r="5" spans="1:12" x14ac:dyDescent="0.3">
      <c r="A5" t="s">
        <v>239</v>
      </c>
      <c r="B5" s="24" t="s">
        <v>260</v>
      </c>
      <c r="C5" s="1">
        <f>1738307.9+451065.41+3069397.01</f>
        <v>5258770.32</v>
      </c>
      <c r="D5" s="1">
        <v>4955408.6399999997</v>
      </c>
      <c r="E5" s="1">
        <v>4578614.79</v>
      </c>
      <c r="F5" s="1">
        <v>6834084.4500000002</v>
      </c>
      <c r="G5" s="1">
        <v>6228345.3899999997</v>
      </c>
      <c r="H5" s="1">
        <v>7653183.4900000002</v>
      </c>
      <c r="I5" s="1">
        <v>9515974.8800000008</v>
      </c>
      <c r="J5" s="1">
        <v>11470433.1</v>
      </c>
      <c r="K5" s="1">
        <v>12860919.050000001</v>
      </c>
      <c r="L5" s="1">
        <f t="shared" si="0"/>
        <v>1390485.9500000011</v>
      </c>
    </row>
    <row r="6" spans="1:12" x14ac:dyDescent="0.3">
      <c r="A6" t="s">
        <v>240</v>
      </c>
      <c r="B6" s="24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0</v>
      </c>
    </row>
    <row r="7" spans="1:12" x14ac:dyDescent="0.3">
      <c r="A7" t="s">
        <v>241</v>
      </c>
      <c r="B7" s="24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0</v>
      </c>
    </row>
    <row r="8" spans="1:12" x14ac:dyDescent="0.3">
      <c r="A8" t="s">
        <v>242</v>
      </c>
      <c r="B8" s="24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</row>
    <row r="9" spans="1:12" x14ac:dyDescent="0.3">
      <c r="A9" s="30" t="s">
        <v>243</v>
      </c>
      <c r="B9" s="31" t="s">
        <v>260</v>
      </c>
      <c r="C9" s="32">
        <v>10234089.6</v>
      </c>
      <c r="D9" s="32">
        <v>15597727.08</v>
      </c>
      <c r="E9" s="32">
        <v>33937754.899999999</v>
      </c>
      <c r="F9" s="32">
        <v>83589465.760000005</v>
      </c>
      <c r="G9" s="32">
        <v>12521005.609999999</v>
      </c>
      <c r="H9" s="32">
        <v>17182129.829999998</v>
      </c>
      <c r="I9" s="32">
        <v>18855980.629999999</v>
      </c>
      <c r="J9" s="1">
        <v>26060932.73</v>
      </c>
      <c r="K9" s="1">
        <v>32625575.219999999</v>
      </c>
      <c r="L9" s="1">
        <f t="shared" si="0"/>
        <v>6564642.4899999984</v>
      </c>
    </row>
    <row r="10" spans="1:12" x14ac:dyDescent="0.3">
      <c r="A10" s="33" t="s">
        <v>264</v>
      </c>
      <c r="B10" s="34" t="s">
        <v>260</v>
      </c>
      <c r="C10" s="88">
        <f t="shared" ref="C10:K10" si="1">SUM(C2:C9)</f>
        <v>110504607.19</v>
      </c>
      <c r="D10" s="88">
        <f t="shared" si="1"/>
        <v>210813081.66</v>
      </c>
      <c r="E10" s="88">
        <f t="shared" si="1"/>
        <v>230456942.88</v>
      </c>
      <c r="F10" s="88">
        <f t="shared" si="1"/>
        <v>275964820.86000001</v>
      </c>
      <c r="G10" s="88">
        <f t="shared" si="1"/>
        <v>262306269.19999999</v>
      </c>
      <c r="H10" s="88">
        <f t="shared" ref="H10" si="2">SUM(H2:H9)</f>
        <v>250239654.62</v>
      </c>
      <c r="I10" s="88">
        <f t="shared" ref="I10" si="3">SUM(I2:I9)</f>
        <v>237298824.31</v>
      </c>
      <c r="J10" s="88">
        <f t="shared" ref="J10" si="4">SUM(J2:J9)</f>
        <v>258874046.50999999</v>
      </c>
      <c r="K10" s="88">
        <f t="shared" si="1"/>
        <v>277731030.62</v>
      </c>
      <c r="L10" s="11">
        <f t="shared" si="0"/>
        <v>18856984.110000014</v>
      </c>
    </row>
    <row r="11" spans="1:12" x14ac:dyDescent="0.3">
      <c r="A11" t="s">
        <v>244</v>
      </c>
      <c r="B11" s="24" t="s">
        <v>261</v>
      </c>
      <c r="C11" s="1">
        <v>2070271.89</v>
      </c>
      <c r="D11" s="1">
        <v>2349168.73</v>
      </c>
      <c r="E11" s="1">
        <v>3111419.88</v>
      </c>
      <c r="F11" s="1">
        <v>2026573.68</v>
      </c>
      <c r="G11" s="1">
        <v>1987389.08</v>
      </c>
      <c r="H11" s="1">
        <v>1168804.74</v>
      </c>
      <c r="I11" s="1">
        <v>843307.6</v>
      </c>
      <c r="J11" s="1">
        <v>660522.93000000005</v>
      </c>
      <c r="K11" s="1">
        <v>1203065.48</v>
      </c>
      <c r="L11" s="1">
        <f t="shared" si="0"/>
        <v>542542.54999999993</v>
      </c>
    </row>
    <row r="12" spans="1:12" x14ac:dyDescent="0.3">
      <c r="A12" t="s">
        <v>245</v>
      </c>
      <c r="B12" s="24" t="s">
        <v>261</v>
      </c>
      <c r="C12" s="1">
        <v>33660064.539999999</v>
      </c>
      <c r="D12" s="1">
        <v>106105164.29000001</v>
      </c>
      <c r="E12" s="1">
        <v>132148629.20999999</v>
      </c>
      <c r="F12" s="1">
        <v>132126901.28</v>
      </c>
      <c r="G12" s="1">
        <v>142654502.38</v>
      </c>
      <c r="H12" s="1">
        <v>139444045.16999999</v>
      </c>
      <c r="I12" s="1">
        <v>139754798.30000001</v>
      </c>
      <c r="J12" s="1">
        <v>158599131.90000001</v>
      </c>
      <c r="K12" s="1">
        <v>162914446.80000001</v>
      </c>
      <c r="L12" s="1">
        <f t="shared" si="0"/>
        <v>4315314.900000006</v>
      </c>
    </row>
    <row r="13" spans="1:12" x14ac:dyDescent="0.3">
      <c r="A13" t="s">
        <v>246</v>
      </c>
      <c r="B13" s="24" t="s">
        <v>261</v>
      </c>
      <c r="C13" s="1">
        <v>1897315.61</v>
      </c>
      <c r="D13" s="1">
        <v>1479870.39</v>
      </c>
      <c r="E13" s="1">
        <v>1780642.33</v>
      </c>
      <c r="F13" s="1">
        <v>1912997.25</v>
      </c>
      <c r="G13" s="1">
        <v>1807106.92</v>
      </c>
      <c r="H13" s="1">
        <v>1776118.22</v>
      </c>
      <c r="I13" s="1">
        <v>1769399.46</v>
      </c>
      <c r="J13" s="1">
        <v>1615891.03</v>
      </c>
      <c r="K13" s="1">
        <v>1829376.1</v>
      </c>
      <c r="L13" s="1">
        <f t="shared" si="0"/>
        <v>213485.07000000007</v>
      </c>
    </row>
    <row r="14" spans="1:12" x14ac:dyDescent="0.3">
      <c r="A14" t="s">
        <v>247</v>
      </c>
      <c r="B14" s="24" t="s">
        <v>261</v>
      </c>
      <c r="C14" s="1">
        <v>8301776.7999999998</v>
      </c>
      <c r="D14" s="1">
        <v>7099004.7599999998</v>
      </c>
      <c r="E14" s="1">
        <v>5921003.4699999997</v>
      </c>
      <c r="F14" s="1">
        <v>6947410.3300000001</v>
      </c>
      <c r="G14" s="1">
        <v>18721862.420000002</v>
      </c>
      <c r="H14" s="1">
        <v>11053026.220000001</v>
      </c>
      <c r="I14" s="1">
        <v>15187826.789999999</v>
      </c>
      <c r="J14" s="1">
        <v>12681962.01</v>
      </c>
      <c r="K14" s="1">
        <v>14008943.73</v>
      </c>
      <c r="L14" s="1">
        <f t="shared" si="0"/>
        <v>1326981.7200000007</v>
      </c>
    </row>
    <row r="15" spans="1:12" x14ac:dyDescent="0.3">
      <c r="A15" t="s">
        <v>248</v>
      </c>
      <c r="B15" s="24" t="s">
        <v>261</v>
      </c>
      <c r="C15" s="1">
        <v>34636910.210000001</v>
      </c>
      <c r="D15" s="1">
        <v>32912999.02</v>
      </c>
      <c r="E15" s="1">
        <v>29171779.25</v>
      </c>
      <c r="F15" s="1">
        <v>29232401.550000001</v>
      </c>
      <c r="G15" s="1">
        <v>30273884.170000002</v>
      </c>
      <c r="H15" s="1">
        <v>28324259.370000001</v>
      </c>
      <c r="I15" s="1">
        <v>29369240.829999998</v>
      </c>
      <c r="J15" s="1">
        <v>32834064.699999999</v>
      </c>
      <c r="K15" s="1">
        <v>31297074.140000001</v>
      </c>
      <c r="L15" s="1">
        <f t="shared" si="0"/>
        <v>-1536990.5599999987</v>
      </c>
    </row>
    <row r="16" spans="1:12" x14ac:dyDescent="0.3">
      <c r="A16" t="s">
        <v>249</v>
      </c>
      <c r="B16" s="24" t="s">
        <v>261</v>
      </c>
      <c r="C16" s="1">
        <v>16043823.289999999</v>
      </c>
      <c r="D16" s="1">
        <v>77547676.340000004</v>
      </c>
      <c r="E16" s="1">
        <v>56015793.479999997</v>
      </c>
      <c r="F16" s="1">
        <v>49777187.229999997</v>
      </c>
      <c r="G16" s="1">
        <v>34138989.100000001</v>
      </c>
      <c r="H16" s="1">
        <v>39200467.93</v>
      </c>
      <c r="I16" s="1">
        <v>20197359.609999999</v>
      </c>
      <c r="J16" s="1">
        <v>23105418.120000001</v>
      </c>
      <c r="K16" s="1">
        <v>55914238.590000004</v>
      </c>
      <c r="L16" s="1">
        <f t="shared" si="0"/>
        <v>32808820.470000003</v>
      </c>
    </row>
    <row r="17" spans="1:12" x14ac:dyDescent="0.3">
      <c r="A17" t="s">
        <v>250</v>
      </c>
      <c r="B17" s="24" t="s">
        <v>261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</row>
    <row r="18" spans="1:12" x14ac:dyDescent="0.3">
      <c r="A18" t="s">
        <v>251</v>
      </c>
      <c r="B18" s="24" t="s">
        <v>261</v>
      </c>
      <c r="C18" s="1">
        <v>0</v>
      </c>
      <c r="D18" s="1">
        <v>8401502.5500000007</v>
      </c>
      <c r="E18" s="1">
        <v>53471.18</v>
      </c>
      <c r="F18" s="1">
        <v>0</v>
      </c>
      <c r="G18" s="1">
        <v>0</v>
      </c>
      <c r="H18" s="1">
        <v>2265107.5099999998</v>
      </c>
      <c r="I18" s="1">
        <v>0</v>
      </c>
      <c r="J18" s="1">
        <v>0</v>
      </c>
      <c r="K18" s="1">
        <v>0</v>
      </c>
      <c r="L18" s="1">
        <f t="shared" si="0"/>
        <v>0</v>
      </c>
    </row>
    <row r="19" spans="1:12" x14ac:dyDescent="0.3">
      <c r="A19" t="s">
        <v>14</v>
      </c>
      <c r="B19" s="24" t="s">
        <v>261</v>
      </c>
      <c r="C19" s="1">
        <v>0</v>
      </c>
      <c r="D19" s="1">
        <v>0</v>
      </c>
      <c r="E19" s="1">
        <v>607122.52</v>
      </c>
      <c r="F19" s="1">
        <v>4910951.12</v>
      </c>
      <c r="G19" s="1">
        <v>6148417.1100000003</v>
      </c>
      <c r="H19" s="1">
        <v>31936.97</v>
      </c>
      <c r="I19" s="1">
        <v>6625964.9100000001</v>
      </c>
      <c r="J19" s="1">
        <v>11858671.6</v>
      </c>
      <c r="K19" s="1">
        <v>0</v>
      </c>
      <c r="L19" s="1">
        <f t="shared" si="0"/>
        <v>-11858671.6</v>
      </c>
    </row>
    <row r="20" spans="1:12" x14ac:dyDescent="0.3">
      <c r="A20" s="30" t="s">
        <v>252</v>
      </c>
      <c r="B20" s="31" t="s">
        <v>261</v>
      </c>
      <c r="C20" s="32">
        <v>76606.77</v>
      </c>
      <c r="D20" s="32">
        <v>6451551.3899999997</v>
      </c>
      <c r="E20" s="32">
        <v>18034055.890000001</v>
      </c>
      <c r="F20" s="32">
        <v>5646969.71</v>
      </c>
      <c r="G20" s="32">
        <v>31111655.190000001</v>
      </c>
      <c r="H20" s="32">
        <v>5144973.54</v>
      </c>
      <c r="I20" s="32">
        <v>15505200.439999999</v>
      </c>
      <c r="J20" s="1">
        <v>8422523.5600000005</v>
      </c>
      <c r="K20" s="1">
        <v>7616684.21</v>
      </c>
      <c r="L20" s="1">
        <f t="shared" si="0"/>
        <v>-805839.35000000056</v>
      </c>
    </row>
    <row r="21" spans="1:12" x14ac:dyDescent="0.3">
      <c r="A21" s="33" t="s">
        <v>265</v>
      </c>
      <c r="B21" s="34" t="s">
        <v>261</v>
      </c>
      <c r="C21" s="88">
        <f t="shared" ref="C21:K21" si="5">SUM(C11:C20)</f>
        <v>96686769.109999999</v>
      </c>
      <c r="D21" s="88">
        <f t="shared" si="5"/>
        <v>242346937.47000003</v>
      </c>
      <c r="E21" s="88">
        <f t="shared" si="5"/>
        <v>246843917.21000004</v>
      </c>
      <c r="F21" s="88">
        <f t="shared" si="5"/>
        <v>232581392.15000004</v>
      </c>
      <c r="G21" s="88">
        <f t="shared" si="5"/>
        <v>266843806.37000003</v>
      </c>
      <c r="H21" s="88">
        <f t="shared" ref="H21:J21" si="6">SUM(H11:H20)</f>
        <v>228408739.66999999</v>
      </c>
      <c r="I21" s="88">
        <f t="shared" si="6"/>
        <v>229253097.94000003</v>
      </c>
      <c r="J21" s="88">
        <f t="shared" si="6"/>
        <v>249778185.84999999</v>
      </c>
      <c r="K21" s="88">
        <f t="shared" si="5"/>
        <v>274783829.05000001</v>
      </c>
      <c r="L21" s="11">
        <f t="shared" si="0"/>
        <v>25005643.200000018</v>
      </c>
    </row>
    <row r="22" spans="1:12" x14ac:dyDescent="0.3">
      <c r="A22" t="s">
        <v>253</v>
      </c>
      <c r="B22" s="24" t="s">
        <v>260</v>
      </c>
      <c r="C22" s="1">
        <v>68123</v>
      </c>
      <c r="D22" s="1">
        <v>33459.35</v>
      </c>
      <c r="E22" s="1">
        <v>62459.08</v>
      </c>
      <c r="F22" s="1">
        <v>73240.789999999994</v>
      </c>
      <c r="G22" s="1">
        <v>99412.81</v>
      </c>
      <c r="H22" s="1">
        <v>70082.5</v>
      </c>
      <c r="I22" s="1">
        <v>63182.17</v>
      </c>
      <c r="J22" s="1">
        <v>45574.95</v>
      </c>
      <c r="K22" s="1">
        <v>507030.19</v>
      </c>
      <c r="L22" s="1">
        <f t="shared" si="0"/>
        <v>461455.24</v>
      </c>
    </row>
    <row r="23" spans="1:12" x14ac:dyDescent="0.3">
      <c r="A23" t="s">
        <v>254</v>
      </c>
      <c r="B23" s="24" t="s">
        <v>261</v>
      </c>
      <c r="C23" s="1">
        <v>1261441.32</v>
      </c>
      <c r="D23" s="1">
        <v>859781.26</v>
      </c>
      <c r="E23" s="1">
        <v>935366.97</v>
      </c>
      <c r="F23" s="1">
        <v>866608.4</v>
      </c>
      <c r="G23" s="1">
        <v>727008.57</v>
      </c>
      <c r="H23" s="1">
        <v>627403.48</v>
      </c>
      <c r="I23" s="1">
        <v>673045.34</v>
      </c>
      <c r="J23" s="1">
        <v>789965.71</v>
      </c>
      <c r="K23" s="1">
        <v>872552.37</v>
      </c>
      <c r="L23" s="1">
        <f t="shared" si="0"/>
        <v>82586.660000000033</v>
      </c>
    </row>
    <row r="24" spans="1:12" x14ac:dyDescent="0.3">
      <c r="A24" t="s">
        <v>255</v>
      </c>
      <c r="B24" s="24" t="s">
        <v>260</v>
      </c>
      <c r="C24" s="1">
        <v>0</v>
      </c>
      <c r="D24" s="1">
        <v>8007562.4199999999</v>
      </c>
      <c r="E24" s="1">
        <v>0</v>
      </c>
      <c r="F24" s="1">
        <v>0</v>
      </c>
      <c r="G24" s="1">
        <v>2241847.0699999998</v>
      </c>
      <c r="H24" s="1">
        <v>198901.86</v>
      </c>
      <c r="I24" s="1">
        <v>-68765.149999999994</v>
      </c>
      <c r="J24" s="1">
        <v>-2365024.17</v>
      </c>
      <c r="K24" s="1">
        <v>13201452.41</v>
      </c>
      <c r="L24" s="1">
        <f t="shared" si="0"/>
        <v>15566476.58</v>
      </c>
    </row>
    <row r="25" spans="1:12" x14ac:dyDescent="0.3">
      <c r="A25" t="s">
        <v>256</v>
      </c>
      <c r="B25" s="24" t="s">
        <v>260</v>
      </c>
      <c r="C25" s="1">
        <v>77430393.640000001</v>
      </c>
      <c r="D25" s="1">
        <v>3168490.88</v>
      </c>
      <c r="E25" s="1">
        <v>3693258.28</v>
      </c>
      <c r="F25" s="1">
        <v>33436417.140000001</v>
      </c>
      <c r="G25" s="1">
        <v>21213946.52</v>
      </c>
      <c r="H25" s="1">
        <v>21510802.170000002</v>
      </c>
      <c r="I25" s="1">
        <v>74770530.379999995</v>
      </c>
      <c r="J25" s="1">
        <v>33433452.949999999</v>
      </c>
      <c r="K25" s="1">
        <v>35757655</v>
      </c>
      <c r="L25" s="1">
        <f t="shared" si="0"/>
        <v>2324202.0500000007</v>
      </c>
    </row>
    <row r="26" spans="1:12" x14ac:dyDescent="0.3">
      <c r="A26" t="s">
        <v>257</v>
      </c>
      <c r="B26" s="24" t="s">
        <v>261</v>
      </c>
      <c r="C26" s="1">
        <v>33939713.649999999</v>
      </c>
      <c r="D26" s="1">
        <v>47106386.109999999</v>
      </c>
      <c r="E26" s="1">
        <v>28446032.920000002</v>
      </c>
      <c r="F26" s="1">
        <v>45841934.920000002</v>
      </c>
      <c r="G26" s="1">
        <v>24863480.760000002</v>
      </c>
      <c r="H26" s="1">
        <v>13666034.800000001</v>
      </c>
      <c r="I26" s="1">
        <v>63907382.659999996</v>
      </c>
      <c r="J26" s="1">
        <v>53183510.780000001</v>
      </c>
      <c r="K26" s="1">
        <v>41524744.329999998</v>
      </c>
      <c r="L26" s="1">
        <f t="shared" si="0"/>
        <v>-11658766.450000003</v>
      </c>
    </row>
    <row r="27" spans="1:12" x14ac:dyDescent="0.3">
      <c r="A27" t="s">
        <v>258</v>
      </c>
      <c r="B27" s="24" t="s">
        <v>261</v>
      </c>
      <c r="C27" s="1">
        <v>2312901.16</v>
      </c>
      <c r="D27" s="1">
        <v>2190311.62</v>
      </c>
      <c r="E27" s="1">
        <v>1956099.41</v>
      </c>
      <c r="F27" s="1">
        <v>1999478.71</v>
      </c>
      <c r="G27" s="1">
        <v>2012184.56</v>
      </c>
      <c r="H27" s="1">
        <v>1904984.6</v>
      </c>
      <c r="I27" s="1">
        <v>1954821.33</v>
      </c>
      <c r="J27" s="1">
        <v>2231116.14</v>
      </c>
      <c r="K27" s="1">
        <v>2066193.99</v>
      </c>
      <c r="L27" s="1">
        <f t="shared" si="0"/>
        <v>-164922.15000000014</v>
      </c>
    </row>
    <row r="28" spans="1:12" x14ac:dyDescent="0.3">
      <c r="A28" s="10" t="s">
        <v>259</v>
      </c>
      <c r="B28" s="34" t="s">
        <v>262</v>
      </c>
      <c r="C28" s="35">
        <f t="shared" ref="C28:K28" si="7">C10-C21+C22-C23+C24+C25-C26-C27</f>
        <v>53802298.590000004</v>
      </c>
      <c r="D28" s="35">
        <f t="shared" si="7"/>
        <v>-70480822.150000036</v>
      </c>
      <c r="E28" s="35">
        <f t="shared" si="7"/>
        <v>-43968756.270000041</v>
      </c>
      <c r="F28" s="35">
        <f t="shared" si="7"/>
        <v>28185064.609999977</v>
      </c>
      <c r="G28" s="35">
        <f t="shared" si="7"/>
        <v>-8585004.6600000504</v>
      </c>
      <c r="H28" s="35">
        <f t="shared" ref="H28:J28" si="8">H10-H21+H22-H23+H24+H25-H26-H27</f>
        <v>27412278.600000013</v>
      </c>
      <c r="I28" s="35">
        <f t="shared" si="8"/>
        <v>16275424.439999981</v>
      </c>
      <c r="J28" s="35">
        <f t="shared" si="8"/>
        <v>-15994728.24000001</v>
      </c>
      <c r="K28" s="35">
        <f t="shared" si="7"/>
        <v>7949848.4799999986</v>
      </c>
      <c r="L28" s="35">
        <f t="shared" si="0"/>
        <v>23944576.720000006</v>
      </c>
    </row>
    <row r="29" spans="1:12" s="102" customFormat="1" x14ac:dyDescent="0.3">
      <c r="A29" s="66" t="s">
        <v>365</v>
      </c>
      <c r="B29" s="132"/>
      <c r="C29" s="133">
        <f>C10-SUM(C11:C15)+C17</f>
        <v>29938268.140000001</v>
      </c>
      <c r="D29" s="133">
        <f t="shared" ref="D29:K29" si="9">D10-SUM(D11:D15)+D17</f>
        <v>60866874.469999969</v>
      </c>
      <c r="E29" s="133">
        <f t="shared" si="9"/>
        <v>58323468.73999998</v>
      </c>
      <c r="F29" s="133">
        <f t="shared" si="9"/>
        <v>103718536.76999998</v>
      </c>
      <c r="G29" s="133">
        <f t="shared" si="9"/>
        <v>66861524.229999959</v>
      </c>
      <c r="H29" s="133">
        <f t="shared" si="9"/>
        <v>68473400.900000006</v>
      </c>
      <c r="I29" s="133">
        <f t="shared" si="9"/>
        <v>50374251.329999983</v>
      </c>
      <c r="J29" s="133">
        <f t="shared" ref="J29" si="10">J10-SUM(J11:J15)+J17</f>
        <v>52482473.939999998</v>
      </c>
      <c r="K29" s="133">
        <f t="shared" si="9"/>
        <v>66478124.370000005</v>
      </c>
      <c r="L29" s="133">
        <f t="shared" si="0"/>
        <v>13995650.430000007</v>
      </c>
    </row>
  </sheetData>
  <conditionalFormatting sqref="C28:G28 K28:L28">
    <cfRule type="cellIs" dxfId="89" priority="23" operator="greaterThan">
      <formula>0</formula>
    </cfRule>
  </conditionalFormatting>
  <conditionalFormatting sqref="H28">
    <cfRule type="cellIs" dxfId="88" priority="11" operator="greaterThan">
      <formula>0</formula>
    </cfRule>
  </conditionalFormatting>
  <conditionalFormatting sqref="I28">
    <cfRule type="cellIs" dxfId="87" priority="10" operator="greaterThan">
      <formula>0</formula>
    </cfRule>
  </conditionalFormatting>
  <conditionalFormatting sqref="C29:I29 K29:L29">
    <cfRule type="cellIs" dxfId="86" priority="9" operator="greaterThan">
      <formula>0</formula>
    </cfRule>
  </conditionalFormatting>
  <conditionalFormatting sqref="C29:I29 K29">
    <cfRule type="cellIs" dxfId="85" priority="8" operator="greaterThan">
      <formula>0</formula>
    </cfRule>
  </conditionalFormatting>
  <conditionalFormatting sqref="C29:I29 K29">
    <cfRule type="cellIs" dxfId="84" priority="7" operator="greaterThan">
      <formula>0</formula>
    </cfRule>
  </conditionalFormatting>
  <conditionalFormatting sqref="C29:I29 K29">
    <cfRule type="cellIs" dxfId="83" priority="6" operator="greaterThan">
      <formula>0</formula>
    </cfRule>
  </conditionalFormatting>
  <conditionalFormatting sqref="J28">
    <cfRule type="cellIs" dxfId="82" priority="5" operator="greaterThan">
      <formula>0</formula>
    </cfRule>
  </conditionalFormatting>
  <conditionalFormatting sqref="J29">
    <cfRule type="cellIs" dxfId="81" priority="4" operator="greaterThan">
      <formula>0</formula>
    </cfRule>
  </conditionalFormatting>
  <conditionalFormatting sqref="J29">
    <cfRule type="cellIs" dxfId="80" priority="3" operator="greaterThan">
      <formula>0</formula>
    </cfRule>
  </conditionalFormatting>
  <conditionalFormatting sqref="J29">
    <cfRule type="cellIs" dxfId="79" priority="2" operator="greaterThan">
      <formula>0</formula>
    </cfRule>
  </conditionalFormatting>
  <conditionalFormatting sqref="J29">
    <cfRule type="cellIs" dxfId="7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K2" sqref="K2:K16"/>
    </sheetView>
  </sheetViews>
  <sheetFormatPr defaultRowHeight="14.4" x14ac:dyDescent="0.3"/>
  <cols>
    <col min="1" max="1" width="50.6640625" bestFit="1" customWidth="1"/>
    <col min="2" max="6" width="11.5546875" bestFit="1" customWidth="1"/>
    <col min="7" max="10" width="11.5546875" style="102" bestFit="1" customWidth="1"/>
    <col min="11" max="11" width="12.33203125" style="102" bestFit="1" customWidth="1"/>
  </cols>
  <sheetData>
    <row r="1" spans="1:11" x14ac:dyDescent="0.3">
      <c r="A1" s="39"/>
      <c r="B1" s="40">
        <v>2015</v>
      </c>
      <c r="C1" s="40">
        <v>2016</v>
      </c>
      <c r="D1" s="40">
        <v>2017</v>
      </c>
      <c r="E1" s="40">
        <v>2018</v>
      </c>
      <c r="F1" s="40">
        <v>2019</v>
      </c>
      <c r="G1" s="118">
        <v>2020</v>
      </c>
      <c r="H1" s="118">
        <v>2021</v>
      </c>
      <c r="I1" s="118">
        <v>2022</v>
      </c>
      <c r="J1" s="118">
        <v>2023</v>
      </c>
      <c r="K1" s="118" t="s">
        <v>266</v>
      </c>
    </row>
    <row r="2" spans="1:11" x14ac:dyDescent="0.3">
      <c r="A2" s="65" t="s">
        <v>346</v>
      </c>
      <c r="B2" s="59">
        <f>Conto_economico!C10</f>
        <v>110504607.19</v>
      </c>
      <c r="C2" s="59">
        <f>Conto_economico!D10</f>
        <v>210813081.66</v>
      </c>
      <c r="D2" s="59">
        <f>Conto_economico!E10</f>
        <v>230456942.88</v>
      </c>
      <c r="E2" s="59">
        <f>Conto_economico!F10</f>
        <v>275964820.86000001</v>
      </c>
      <c r="F2" s="59">
        <f>Conto_economico!G10</f>
        <v>262306269.19999999</v>
      </c>
      <c r="G2" s="59">
        <f>Conto_economico!H10</f>
        <v>250239654.62</v>
      </c>
      <c r="H2" s="59">
        <f>Conto_economico!I10</f>
        <v>237298824.31</v>
      </c>
      <c r="I2" s="59">
        <f>Conto_economico!J10</f>
        <v>258874046.50999999</v>
      </c>
      <c r="J2" s="59">
        <f>Conto_economico!K10</f>
        <v>277731030.62</v>
      </c>
      <c r="K2" s="59">
        <f t="shared" ref="K2:K16" si="0">J2-I2</f>
        <v>18856984.110000014</v>
      </c>
    </row>
    <row r="3" spans="1:11" x14ac:dyDescent="0.3">
      <c r="A3" s="65" t="s">
        <v>341</v>
      </c>
      <c r="B3" s="59">
        <f>Conto_economico!C2</f>
        <v>21770410.25</v>
      </c>
      <c r="C3" s="59">
        <f>Conto_economico!D2</f>
        <v>108513528.56999999</v>
      </c>
      <c r="D3" s="59">
        <f>Conto_economico!E2</f>
        <v>108717623.53</v>
      </c>
      <c r="E3" s="59">
        <f>Conto_economico!F2</f>
        <v>103502410.2</v>
      </c>
      <c r="F3" s="59">
        <f>Conto_economico!G2</f>
        <v>114349174.44</v>
      </c>
      <c r="G3" s="59">
        <f>Conto_economico!H2</f>
        <v>99203719.810000002</v>
      </c>
      <c r="H3" s="59">
        <f>Conto_economico!I2</f>
        <v>110380519.18000001</v>
      </c>
      <c r="I3" s="59">
        <f>Conto_economico!J2</f>
        <v>116612864.3</v>
      </c>
      <c r="J3" s="59">
        <f>Conto_economico!K2</f>
        <v>125587194.84</v>
      </c>
      <c r="K3" s="59">
        <f t="shared" si="0"/>
        <v>8974330.5400000066</v>
      </c>
    </row>
    <row r="4" spans="1:11" x14ac:dyDescent="0.3">
      <c r="A4" s="65" t="s">
        <v>342</v>
      </c>
      <c r="B4" s="59">
        <f>Conto_economico!C4</f>
        <v>36060799.780000001</v>
      </c>
      <c r="C4" s="59">
        <f>Conto_economico!D4</f>
        <v>40438637.920000002</v>
      </c>
      <c r="D4" s="59">
        <f>Conto_economico!E4</f>
        <v>42960641.100000001</v>
      </c>
      <c r="E4" s="59">
        <f>Conto_economico!F4</f>
        <v>43042674.82</v>
      </c>
      <c r="F4" s="59">
        <f>Conto_economico!G4</f>
        <v>90189875.030000001</v>
      </c>
      <c r="G4" s="59">
        <f>Conto_economico!H4</f>
        <v>87279524.969999999</v>
      </c>
      <c r="H4" s="59">
        <f>Conto_economico!I4</f>
        <v>59022004.649999999</v>
      </c>
      <c r="I4" s="59">
        <f>Conto_economico!J4</f>
        <v>65126084.119999997</v>
      </c>
      <c r="J4" s="59">
        <f>Conto_economico!K4</f>
        <v>66006206.420000002</v>
      </c>
      <c r="K4" s="59">
        <f t="shared" si="0"/>
        <v>880122.30000000447</v>
      </c>
    </row>
    <row r="5" spans="1:11" x14ac:dyDescent="0.3">
      <c r="A5" s="65" t="s">
        <v>347</v>
      </c>
      <c r="B5" s="60">
        <f>Conto_economico!C21</f>
        <v>96686769.109999999</v>
      </c>
      <c r="C5" s="60">
        <f>Conto_economico!D21</f>
        <v>242346937.47000003</v>
      </c>
      <c r="D5" s="60">
        <f>Conto_economico!E21</f>
        <v>246843917.21000004</v>
      </c>
      <c r="E5" s="60">
        <f>Conto_economico!F21</f>
        <v>232581392.15000004</v>
      </c>
      <c r="F5" s="60">
        <f>Conto_economico!G21</f>
        <v>266843806.37000003</v>
      </c>
      <c r="G5" s="60">
        <f>Conto_economico!H21</f>
        <v>228408739.66999999</v>
      </c>
      <c r="H5" s="60">
        <f>Conto_economico!I21</f>
        <v>229253097.94000003</v>
      </c>
      <c r="I5" s="60">
        <f>Conto_economico!J21</f>
        <v>249778185.84999999</v>
      </c>
      <c r="J5" s="60">
        <f>Conto_economico!K21</f>
        <v>274783829.05000001</v>
      </c>
      <c r="K5" s="59">
        <f t="shared" si="0"/>
        <v>25005643.200000018</v>
      </c>
    </row>
    <row r="6" spans="1:11" x14ac:dyDescent="0.3">
      <c r="A6" s="65" t="s">
        <v>343</v>
      </c>
      <c r="B6" s="59">
        <f>Conto_economico!C12</f>
        <v>33660064.539999999</v>
      </c>
      <c r="C6" s="59">
        <f>Conto_economico!D12</f>
        <v>106105164.29000001</v>
      </c>
      <c r="D6" s="59">
        <f>Conto_economico!E12</f>
        <v>132148629.20999999</v>
      </c>
      <c r="E6" s="59">
        <f>Conto_economico!F12</f>
        <v>132126901.28</v>
      </c>
      <c r="F6" s="59">
        <f>Conto_economico!G12</f>
        <v>142654502.38</v>
      </c>
      <c r="G6" s="59">
        <f>Conto_economico!H12</f>
        <v>139444045.16999999</v>
      </c>
      <c r="H6" s="59">
        <f>Conto_economico!I12</f>
        <v>139754798.30000001</v>
      </c>
      <c r="I6" s="59">
        <f>Conto_economico!J12</f>
        <v>158599131.90000001</v>
      </c>
      <c r="J6" s="59">
        <f>Conto_economico!K12</f>
        <v>162914446.80000001</v>
      </c>
      <c r="K6" s="59">
        <f t="shared" si="0"/>
        <v>4315314.900000006</v>
      </c>
    </row>
    <row r="7" spans="1:11" x14ac:dyDescent="0.3">
      <c r="A7" s="65" t="s">
        <v>344</v>
      </c>
      <c r="B7" s="59">
        <f>Conto_economico!C15</f>
        <v>34636910.210000001</v>
      </c>
      <c r="C7" s="59">
        <f>Conto_economico!D15</f>
        <v>32912999.02</v>
      </c>
      <c r="D7" s="59">
        <f>Conto_economico!E15</f>
        <v>29171779.25</v>
      </c>
      <c r="E7" s="59">
        <f>Conto_economico!F15</f>
        <v>29232401.550000001</v>
      </c>
      <c r="F7" s="59">
        <f>Conto_economico!G15</f>
        <v>30273884.170000002</v>
      </c>
      <c r="G7" s="59">
        <f>Conto_economico!H15</f>
        <v>28324259.370000001</v>
      </c>
      <c r="H7" s="59">
        <f>Conto_economico!I15</f>
        <v>29369240.829999998</v>
      </c>
      <c r="I7" s="59">
        <f>Conto_economico!J15</f>
        <v>32834064.699999999</v>
      </c>
      <c r="J7" s="59">
        <f>Conto_economico!K15</f>
        <v>31297074.140000001</v>
      </c>
      <c r="K7" s="59">
        <f t="shared" si="0"/>
        <v>-1536990.5599999987</v>
      </c>
    </row>
    <row r="8" spans="1:11" x14ac:dyDescent="0.3">
      <c r="A8" s="65" t="s">
        <v>345</v>
      </c>
      <c r="B8" s="59">
        <f>Conto_economico!C16</f>
        <v>16043823.289999999</v>
      </c>
      <c r="C8" s="59">
        <f>Conto_economico!D16</f>
        <v>77547676.340000004</v>
      </c>
      <c r="D8" s="59">
        <f>Conto_economico!E16</f>
        <v>56015793.479999997</v>
      </c>
      <c r="E8" s="59">
        <f>Conto_economico!F16</f>
        <v>49777187.229999997</v>
      </c>
      <c r="F8" s="59">
        <f>Conto_economico!G16</f>
        <v>34138989.100000001</v>
      </c>
      <c r="G8" s="59">
        <f>Conto_economico!H16</f>
        <v>39200467.93</v>
      </c>
      <c r="H8" s="59">
        <f>Conto_economico!I16</f>
        <v>20197359.609999999</v>
      </c>
      <c r="I8" s="59">
        <f>Conto_economico!J16</f>
        <v>23105418.120000001</v>
      </c>
      <c r="J8" s="59">
        <f>Conto_economico!K16</f>
        <v>55914238.590000004</v>
      </c>
      <c r="K8" s="59">
        <f t="shared" si="0"/>
        <v>32808820.470000003</v>
      </c>
    </row>
    <row r="9" spans="1:11" s="102" customFormat="1" x14ac:dyDescent="0.3">
      <c r="A9" s="116" t="s">
        <v>365</v>
      </c>
      <c r="B9" s="61">
        <f>Conto_economico!C29</f>
        <v>29938268.140000001</v>
      </c>
      <c r="C9" s="61">
        <f>Conto_economico!D29</f>
        <v>60866874.469999969</v>
      </c>
      <c r="D9" s="61">
        <f>Conto_economico!E29</f>
        <v>58323468.73999998</v>
      </c>
      <c r="E9" s="61">
        <f>Conto_economico!F29</f>
        <v>103718536.76999998</v>
      </c>
      <c r="F9" s="61">
        <f>Conto_economico!G29</f>
        <v>66861524.229999959</v>
      </c>
      <c r="G9" s="61">
        <f>Conto_economico!H29</f>
        <v>68473400.900000006</v>
      </c>
      <c r="H9" s="61">
        <f>Conto_economico!I29</f>
        <v>50374251.329999983</v>
      </c>
      <c r="I9" s="61">
        <f>Conto_economico!J29</f>
        <v>52482473.939999998</v>
      </c>
      <c r="J9" s="61">
        <f>Conto_economico!K29</f>
        <v>66478124.370000005</v>
      </c>
      <c r="K9" s="61">
        <f t="shared" si="0"/>
        <v>13995650.430000007</v>
      </c>
    </row>
    <row r="10" spans="1:11" x14ac:dyDescent="0.3">
      <c r="A10" s="44" t="s">
        <v>307</v>
      </c>
      <c r="B10" s="61">
        <f t="shared" ref="B10:J10" si="1">B2-B5</f>
        <v>13817838.079999998</v>
      </c>
      <c r="C10" s="61">
        <f t="shared" si="1"/>
        <v>-31533855.810000032</v>
      </c>
      <c r="D10" s="61">
        <f t="shared" si="1"/>
        <v>-16386974.330000043</v>
      </c>
      <c r="E10" s="61">
        <f t="shared" si="1"/>
        <v>43383428.709999979</v>
      </c>
      <c r="F10" s="61">
        <f t="shared" si="1"/>
        <v>-4537537.1700000465</v>
      </c>
      <c r="G10" s="61">
        <f t="shared" ref="G10:I10" si="2">G2-G5</f>
        <v>21830914.950000018</v>
      </c>
      <c r="H10" s="61">
        <f t="shared" si="2"/>
        <v>8045726.369999975</v>
      </c>
      <c r="I10" s="61">
        <f t="shared" si="2"/>
        <v>9095860.6599999964</v>
      </c>
      <c r="J10" s="61">
        <f t="shared" si="1"/>
        <v>2947201.5699999928</v>
      </c>
      <c r="K10" s="61">
        <f t="shared" si="0"/>
        <v>-6148659.0900000036</v>
      </c>
    </row>
    <row r="11" spans="1:11" x14ac:dyDescent="0.3">
      <c r="A11" s="65" t="s">
        <v>308</v>
      </c>
      <c r="B11" s="59">
        <f>Conto_economico!C22-Conto_economico!C23</f>
        <v>-1193318.32</v>
      </c>
      <c r="C11" s="59">
        <f>Conto_economico!D22-Conto_economico!D23</f>
        <v>-826321.91</v>
      </c>
      <c r="D11" s="59">
        <f>Conto_economico!E22-Conto_economico!E23</f>
        <v>-872907.89</v>
      </c>
      <c r="E11" s="59">
        <f>Conto_economico!F22-Conto_economico!F23</f>
        <v>-793367.61</v>
      </c>
      <c r="F11" s="59">
        <f>Conto_economico!G22-Conto_economico!G23</f>
        <v>-627595.76</v>
      </c>
      <c r="G11" s="59">
        <f>Conto_economico!H22-Conto_economico!H23</f>
        <v>-557320.98</v>
      </c>
      <c r="H11" s="59">
        <f>Conto_economico!I22-Conto_economico!I23</f>
        <v>-609863.16999999993</v>
      </c>
      <c r="I11" s="59">
        <f>Conto_economico!J22-Conto_economico!J23</f>
        <v>-744390.76</v>
      </c>
      <c r="J11" s="59">
        <f>Conto_economico!K22-Conto_economico!K23</f>
        <v>-365522.18</v>
      </c>
      <c r="K11" s="59">
        <f t="shared" si="0"/>
        <v>378868.58</v>
      </c>
    </row>
    <row r="12" spans="1:11" x14ac:dyDescent="0.3">
      <c r="A12" s="65" t="s">
        <v>309</v>
      </c>
      <c r="B12" s="60">
        <f>Conto_economico!C25-Conto_economico!C26</f>
        <v>43490679.990000002</v>
      </c>
      <c r="C12" s="60">
        <f>Conto_economico!D25-Conto_economico!D26</f>
        <v>-43937895.229999997</v>
      </c>
      <c r="D12" s="60">
        <f>Conto_economico!E25-Conto_economico!E26</f>
        <v>-24752774.640000001</v>
      </c>
      <c r="E12" s="60">
        <f>Conto_economico!F25-Conto_economico!F26</f>
        <v>-12405517.780000001</v>
      </c>
      <c r="F12" s="60">
        <f>Conto_economico!G25-Conto_economico!G26</f>
        <v>-3649534.2400000021</v>
      </c>
      <c r="G12" s="60">
        <f>Conto_economico!H25-Conto_economico!H26</f>
        <v>7844767.370000001</v>
      </c>
      <c r="H12" s="60">
        <f>Conto_economico!I25-Conto_economico!I26</f>
        <v>10863147.719999999</v>
      </c>
      <c r="I12" s="60">
        <f>Conto_economico!J25-Conto_economico!J26</f>
        <v>-19750057.830000002</v>
      </c>
      <c r="J12" s="60">
        <f>Conto_economico!K25-Conto_economico!K26</f>
        <v>-5767089.3299999982</v>
      </c>
      <c r="K12" s="59">
        <f t="shared" si="0"/>
        <v>13982968.500000004</v>
      </c>
    </row>
    <row r="13" spans="1:11" x14ac:dyDescent="0.3">
      <c r="A13" s="65" t="s">
        <v>255</v>
      </c>
      <c r="B13" s="60">
        <f>Conto_economico!C24</f>
        <v>0</v>
      </c>
      <c r="C13" s="60">
        <f>Conto_economico!D24</f>
        <v>8007562.4199999999</v>
      </c>
      <c r="D13" s="60">
        <f>Conto_economico!E24</f>
        <v>0</v>
      </c>
      <c r="E13" s="60">
        <f>Conto_economico!F24</f>
        <v>0</v>
      </c>
      <c r="F13" s="60">
        <f>Conto_economico!G24</f>
        <v>2241847.0699999998</v>
      </c>
      <c r="G13" s="60">
        <f>Conto_economico!H24</f>
        <v>198901.86</v>
      </c>
      <c r="H13" s="60">
        <f>Conto_economico!I24</f>
        <v>-68765.149999999994</v>
      </c>
      <c r="I13" s="60">
        <f>Conto_economico!J24</f>
        <v>-2365024.17</v>
      </c>
      <c r="J13" s="60">
        <f>Conto_economico!K24</f>
        <v>13201452.41</v>
      </c>
      <c r="K13" s="59">
        <f t="shared" si="0"/>
        <v>15566476.58</v>
      </c>
    </row>
    <row r="14" spans="1:11" x14ac:dyDescent="0.3">
      <c r="A14" s="44" t="s">
        <v>310</v>
      </c>
      <c r="B14" s="61">
        <f t="shared" ref="B14:J14" si="3">SUM(B10:B13)</f>
        <v>56115199.75</v>
      </c>
      <c r="C14" s="61">
        <f t="shared" si="3"/>
        <v>-68290510.530000031</v>
      </c>
      <c r="D14" s="61">
        <f t="shared" si="3"/>
        <v>-42012656.860000044</v>
      </c>
      <c r="E14" s="61">
        <f t="shared" si="3"/>
        <v>30184543.319999978</v>
      </c>
      <c r="F14" s="61">
        <f t="shared" si="3"/>
        <v>-6572820.1000000481</v>
      </c>
      <c r="G14" s="61">
        <f t="shared" ref="G14" si="4">SUM(G10:G13)</f>
        <v>29317263.200000018</v>
      </c>
      <c r="H14" s="61">
        <f t="shared" ref="H14" si="5">SUM(H10:H13)</f>
        <v>18230245.769999973</v>
      </c>
      <c r="I14" s="61">
        <f t="shared" ref="I14" si="6">SUM(I10:I13)</f>
        <v>-13763612.100000005</v>
      </c>
      <c r="J14" s="61">
        <f t="shared" si="3"/>
        <v>10016042.469999995</v>
      </c>
      <c r="K14" s="61">
        <f t="shared" si="0"/>
        <v>23779654.57</v>
      </c>
    </row>
    <row r="15" spans="1:11" x14ac:dyDescent="0.3">
      <c r="A15" s="65" t="s">
        <v>258</v>
      </c>
      <c r="B15" s="59">
        <f>Conto_economico!C27</f>
        <v>2312901.16</v>
      </c>
      <c r="C15" s="59">
        <f>Conto_economico!D27</f>
        <v>2190311.62</v>
      </c>
      <c r="D15" s="59">
        <f>Conto_economico!E27</f>
        <v>1956099.41</v>
      </c>
      <c r="E15" s="59">
        <f>Conto_economico!F27</f>
        <v>1999478.71</v>
      </c>
      <c r="F15" s="59">
        <f>Conto_economico!G27</f>
        <v>2012184.56</v>
      </c>
      <c r="G15" s="59">
        <f>Conto_economico!H27</f>
        <v>1904984.6</v>
      </c>
      <c r="H15" s="59">
        <f>Conto_economico!I27</f>
        <v>1954821.33</v>
      </c>
      <c r="I15" s="59">
        <f>Conto_economico!J27</f>
        <v>2231116.14</v>
      </c>
      <c r="J15" s="59">
        <f>Conto_economico!K27</f>
        <v>2066193.99</v>
      </c>
      <c r="K15" s="59">
        <f t="shared" si="0"/>
        <v>-164922.15000000014</v>
      </c>
    </row>
    <row r="16" spans="1:11" x14ac:dyDescent="0.3">
      <c r="A16" s="64" t="s">
        <v>259</v>
      </c>
      <c r="B16" s="62">
        <f t="shared" ref="B16:J16" si="7">B14-B15</f>
        <v>53802298.590000004</v>
      </c>
      <c r="C16" s="62">
        <f t="shared" si="7"/>
        <v>-70480822.150000036</v>
      </c>
      <c r="D16" s="62">
        <f t="shared" si="7"/>
        <v>-43968756.270000041</v>
      </c>
      <c r="E16" s="62">
        <f t="shared" si="7"/>
        <v>28185064.609999977</v>
      </c>
      <c r="F16" s="62">
        <f t="shared" si="7"/>
        <v>-8585004.6600000486</v>
      </c>
      <c r="G16" s="62">
        <f t="shared" ref="G16:I16" si="8">G14-G15</f>
        <v>27412278.600000016</v>
      </c>
      <c r="H16" s="62">
        <f t="shared" si="8"/>
        <v>16275424.439999973</v>
      </c>
      <c r="I16" s="62">
        <f t="shared" si="8"/>
        <v>-15994728.240000006</v>
      </c>
      <c r="J16" s="62">
        <f t="shared" si="7"/>
        <v>7949848.4799999949</v>
      </c>
      <c r="K16" s="62">
        <f t="shared" si="0"/>
        <v>23944576.719999999</v>
      </c>
    </row>
  </sheetData>
  <conditionalFormatting sqref="B16:F16 J16:K16">
    <cfRule type="cellIs" dxfId="77" priority="21" operator="greaterThan">
      <formula>0</formula>
    </cfRule>
  </conditionalFormatting>
  <conditionalFormatting sqref="B10:F10 B14:F14 J14:K14 J10:K10">
    <cfRule type="cellIs" dxfId="76" priority="20" operator="lessThan">
      <formula>0</formula>
    </cfRule>
  </conditionalFormatting>
  <conditionalFormatting sqref="G16">
    <cfRule type="cellIs" dxfId="75" priority="8" operator="greaterThan">
      <formula>0</formula>
    </cfRule>
  </conditionalFormatting>
  <conditionalFormatting sqref="G14 G10">
    <cfRule type="cellIs" dxfId="74" priority="7" operator="lessThan">
      <formula>0</formula>
    </cfRule>
  </conditionalFormatting>
  <conditionalFormatting sqref="H16">
    <cfRule type="cellIs" dxfId="73" priority="6" operator="greaterThan">
      <formula>0</formula>
    </cfRule>
  </conditionalFormatting>
  <conditionalFormatting sqref="H14 H10">
    <cfRule type="cellIs" dxfId="72" priority="5" operator="lessThan">
      <formula>0</formula>
    </cfRule>
  </conditionalFormatting>
  <conditionalFormatting sqref="B9:H9 J9:K9">
    <cfRule type="cellIs" dxfId="71" priority="4" operator="lessThan">
      <formula>0</formula>
    </cfRule>
  </conditionalFormatting>
  <conditionalFormatting sqref="I16">
    <cfRule type="cellIs" dxfId="70" priority="3" operator="greaterThan">
      <formula>0</formula>
    </cfRule>
  </conditionalFormatting>
  <conditionalFormatting sqref="I14 I10">
    <cfRule type="cellIs" dxfId="69" priority="2" operator="lessThan">
      <formula>0</formula>
    </cfRule>
  </conditionalFormatting>
  <conditionalFormatting sqref="I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J2" sqref="J2:J28"/>
    </sheetView>
  </sheetViews>
  <sheetFormatPr defaultRowHeight="14.4" x14ac:dyDescent="0.3"/>
  <cols>
    <col min="1" max="1" width="51.6640625" style="30" bestFit="1" customWidth="1"/>
    <col min="2" max="3" width="12.6640625" bestFit="1" customWidth="1"/>
    <col min="4" max="6" width="11.109375" bestFit="1" customWidth="1"/>
    <col min="7" max="9" width="11.109375" style="102" bestFit="1" customWidth="1"/>
    <col min="10" max="10" width="12.6640625" style="102" bestFit="1" customWidth="1"/>
    <col min="11" max="12" width="12.6640625" bestFit="1" customWidth="1"/>
  </cols>
  <sheetData>
    <row r="1" spans="1:12" x14ac:dyDescent="0.3">
      <c r="A1" s="67"/>
      <c r="B1" s="91">
        <v>2015</v>
      </c>
      <c r="C1" s="91">
        <v>2016</v>
      </c>
      <c r="D1" s="91">
        <v>2017</v>
      </c>
      <c r="E1" s="91">
        <v>2018</v>
      </c>
      <c r="F1" s="91">
        <v>2019</v>
      </c>
      <c r="G1" s="91">
        <v>2020</v>
      </c>
      <c r="H1" s="91">
        <v>2021</v>
      </c>
      <c r="I1" s="91">
        <v>2022</v>
      </c>
      <c r="J1" s="91">
        <v>2023</v>
      </c>
    </row>
    <row r="2" spans="1:12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2" x14ac:dyDescent="0.3">
      <c r="A3" s="30" t="s">
        <v>213</v>
      </c>
      <c r="B3" s="1">
        <v>0</v>
      </c>
      <c r="C3" s="1">
        <v>111237.94</v>
      </c>
      <c r="D3" s="1">
        <v>126057.15</v>
      </c>
      <c r="E3" s="1">
        <v>119754.15</v>
      </c>
      <c r="F3" s="1">
        <v>95803.32</v>
      </c>
      <c r="G3" s="1">
        <v>76642.66</v>
      </c>
      <c r="H3" s="1">
        <v>61314.13</v>
      </c>
      <c r="I3" s="1">
        <v>45985.599999999999</v>
      </c>
      <c r="J3" s="1">
        <v>30657.07</v>
      </c>
    </row>
    <row r="4" spans="1:12" x14ac:dyDescent="0.3">
      <c r="A4" s="30" t="s">
        <v>214</v>
      </c>
      <c r="B4" s="1">
        <f>362863076.24+241054165.58+167636835.96</f>
        <v>771554077.78000009</v>
      </c>
      <c r="C4" s="1">
        <v>774304962.38</v>
      </c>
      <c r="D4" s="1">
        <v>555601624.88</v>
      </c>
      <c r="E4" s="1">
        <v>577412620.82000005</v>
      </c>
      <c r="F4" s="1">
        <v>586137077.54999995</v>
      </c>
      <c r="G4" s="1">
        <v>588422484.54999995</v>
      </c>
      <c r="H4" s="1">
        <v>602700620.90999997</v>
      </c>
      <c r="I4" s="1">
        <v>613774709.24000001</v>
      </c>
      <c r="J4" s="1">
        <v>660650917.48000002</v>
      </c>
    </row>
    <row r="5" spans="1:12" x14ac:dyDescent="0.3">
      <c r="A5" s="30" t="s">
        <v>228</v>
      </c>
      <c r="B5" s="1">
        <v>37832943.380000003</v>
      </c>
      <c r="C5" s="1">
        <v>46423586.68</v>
      </c>
      <c r="D5" s="1">
        <v>46423586.68</v>
      </c>
      <c r="E5" s="1">
        <v>43518192.07</v>
      </c>
      <c r="F5" s="1">
        <v>45760039.140000001</v>
      </c>
      <c r="G5" s="1">
        <v>45958941</v>
      </c>
      <c r="H5" s="1">
        <v>45890175.850000001</v>
      </c>
      <c r="I5" s="1">
        <v>32699825.57</v>
      </c>
      <c r="J5" s="1">
        <v>45901277.979999997</v>
      </c>
    </row>
    <row r="6" spans="1:12" x14ac:dyDescent="0.3">
      <c r="A6" s="30" t="s">
        <v>229</v>
      </c>
      <c r="B6" s="1">
        <v>24605001.879999999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2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2" x14ac:dyDescent="0.3">
      <c r="A8" s="30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2" x14ac:dyDescent="0.3">
      <c r="A9" s="30" t="s">
        <v>215</v>
      </c>
      <c r="B9" s="1">
        <f>190348754.79+8753667.44</f>
        <v>199102422.22999999</v>
      </c>
      <c r="C9" s="1">
        <v>163823033.5</v>
      </c>
      <c r="D9" s="1">
        <v>164159209.72</v>
      </c>
      <c r="E9" s="1">
        <v>142571333.00999999</v>
      </c>
      <c r="F9" s="1">
        <v>198759144.28999999</v>
      </c>
      <c r="G9" s="1">
        <v>244053175.06</v>
      </c>
      <c r="H9" s="1">
        <v>219328086.90000001</v>
      </c>
      <c r="I9" s="1">
        <v>200079495.94</v>
      </c>
      <c r="J9" s="1">
        <v>194727082.18000001</v>
      </c>
    </row>
    <row r="10" spans="1:12" x14ac:dyDescent="0.3">
      <c r="A10" s="30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2" x14ac:dyDescent="0.3">
      <c r="A11" s="30" t="s">
        <v>216</v>
      </c>
      <c r="B11" s="1">
        <v>107001079.79000001</v>
      </c>
      <c r="C11" s="1">
        <v>86190737.969999999</v>
      </c>
      <c r="D11" s="1">
        <v>69242446.909999996</v>
      </c>
      <c r="E11" s="1">
        <v>119987946.29000001</v>
      </c>
      <c r="F11" s="1">
        <v>87588342.760000005</v>
      </c>
      <c r="G11" s="1">
        <v>76461792.909999996</v>
      </c>
      <c r="H11" s="1">
        <v>104674522.28</v>
      </c>
      <c r="I11" s="1">
        <v>120049502.62</v>
      </c>
      <c r="J11" s="1">
        <v>122726504.09999999</v>
      </c>
    </row>
    <row r="12" spans="1:12" x14ac:dyDescent="0.3">
      <c r="A12" s="30" t="s">
        <v>217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2" x14ac:dyDescent="0.3">
      <c r="A13" s="10" t="s">
        <v>218</v>
      </c>
      <c r="B13" s="11">
        <f t="shared" ref="B13:J13" si="0">SUM(B2:B12)</f>
        <v>1140095525.0600002</v>
      </c>
      <c r="C13" s="11">
        <f t="shared" si="0"/>
        <v>1070853558.47</v>
      </c>
      <c r="D13" s="11">
        <f t="shared" si="0"/>
        <v>835552925.33999991</v>
      </c>
      <c r="E13" s="11">
        <f t="shared" si="0"/>
        <v>883609846.34000003</v>
      </c>
      <c r="F13" s="11">
        <f t="shared" si="0"/>
        <v>918340407.05999994</v>
      </c>
      <c r="G13" s="11">
        <f t="shared" ref="G13" si="1">SUM(G2:G12)</f>
        <v>954973036.17999995</v>
      </c>
      <c r="H13" s="11">
        <f t="shared" ref="H13" si="2">SUM(H2:H12)</f>
        <v>972654720.06999993</v>
      </c>
      <c r="I13" s="11">
        <f t="shared" ref="I13" si="3">SUM(I2:I12)</f>
        <v>966649518.97000015</v>
      </c>
      <c r="J13" s="11">
        <f t="shared" si="0"/>
        <v>1024036438.8100001</v>
      </c>
      <c r="K13" s="97"/>
      <c r="L13" s="97"/>
    </row>
    <row r="14" spans="1:12" x14ac:dyDescent="0.3">
      <c r="A14" s="30" t="s">
        <v>219</v>
      </c>
      <c r="B14" s="1">
        <v>452006522.87</v>
      </c>
      <c r="C14" s="1">
        <v>452006522.87</v>
      </c>
      <c r="D14" s="1">
        <v>174378812.36000001</v>
      </c>
      <c r="E14" s="1">
        <v>174378812.36000001</v>
      </c>
      <c r="F14" s="1">
        <v>174378812.36000001</v>
      </c>
      <c r="G14" s="1">
        <v>174378812.36000001</v>
      </c>
      <c r="H14" s="1">
        <v>166150910.94999999</v>
      </c>
      <c r="I14" s="1">
        <v>150015865</v>
      </c>
      <c r="J14" s="1">
        <v>150015865.03999999</v>
      </c>
    </row>
    <row r="15" spans="1:12" x14ac:dyDescent="0.3">
      <c r="A15" s="30" t="s">
        <v>220</v>
      </c>
      <c r="B15" s="1">
        <v>56341673.460000001</v>
      </c>
      <c r="C15" s="1">
        <v>59608547.5</v>
      </c>
      <c r="D15" s="1">
        <v>266755435.86000001</v>
      </c>
      <c r="E15" s="1">
        <v>225419010.52000001</v>
      </c>
      <c r="F15" s="1">
        <v>255603078.13</v>
      </c>
      <c r="G15" s="1">
        <v>249360634.72999999</v>
      </c>
      <c r="H15" s="1">
        <v>290936715.13</v>
      </c>
      <c r="I15" s="1">
        <v>287515091.14999998</v>
      </c>
      <c r="J15" s="1">
        <v>285986883.16000003</v>
      </c>
    </row>
    <row r="16" spans="1:12" x14ac:dyDescent="0.3">
      <c r="A16" s="30" t="s">
        <v>235</v>
      </c>
      <c r="B16" s="1">
        <v>56341673.460000001</v>
      </c>
      <c r="C16" s="1">
        <v>59608547.5</v>
      </c>
      <c r="D16" s="1">
        <v>0</v>
      </c>
      <c r="E16" s="1">
        <v>2632330.9300000002</v>
      </c>
      <c r="F16" s="1">
        <v>4631333.93</v>
      </c>
      <c r="G16" s="1">
        <v>6973895.1900000004</v>
      </c>
      <c r="H16" s="1">
        <v>7964974.04</v>
      </c>
      <c r="I16" s="1">
        <v>10274196.75</v>
      </c>
      <c r="J16" s="1">
        <v>12094368.41</v>
      </c>
    </row>
    <row r="17" spans="1:12" x14ac:dyDescent="0.3">
      <c r="A17" s="30" t="s">
        <v>221</v>
      </c>
      <c r="B17" s="1">
        <v>0</v>
      </c>
      <c r="C17" s="1">
        <v>-70480822.150000006</v>
      </c>
      <c r="D17" s="1">
        <v>-43968756.270000003</v>
      </c>
      <c r="E17" s="1">
        <v>28185064.609999999</v>
      </c>
      <c r="F17" s="1">
        <v>-8585004.6600000001</v>
      </c>
      <c r="G17" s="1">
        <v>27412278.600000001</v>
      </c>
      <c r="H17" s="1">
        <v>16275424.439999999</v>
      </c>
      <c r="I17" s="1">
        <v>-15994728.1</v>
      </c>
      <c r="J17" s="1">
        <v>7949848.4800000004</v>
      </c>
    </row>
    <row r="18" spans="1:12" s="102" customFormat="1" x14ac:dyDescent="0.3">
      <c r="A18" s="30" t="s">
        <v>362</v>
      </c>
      <c r="B18" s="1"/>
      <c r="C18" s="1"/>
      <c r="D18" s="1"/>
      <c r="E18" s="1"/>
      <c r="F18" s="1"/>
      <c r="G18" s="1">
        <v>0</v>
      </c>
      <c r="H18" s="1">
        <v>3043582.28</v>
      </c>
      <c r="I18" s="1">
        <v>19319006.719999999</v>
      </c>
      <c r="J18" s="1">
        <v>3324278.56</v>
      </c>
      <c r="K18" s="1"/>
    </row>
    <row r="19" spans="1:12" s="102" customFormat="1" x14ac:dyDescent="0.3">
      <c r="A19" s="30" t="s">
        <v>363</v>
      </c>
      <c r="B19" s="1"/>
      <c r="C19" s="1"/>
      <c r="D19" s="1"/>
      <c r="E19" s="1"/>
      <c r="F19" s="1"/>
      <c r="G19" s="1">
        <v>0</v>
      </c>
      <c r="H19" s="1">
        <v>-19774359.98</v>
      </c>
      <c r="I19" s="1">
        <v>-19774359.899999999</v>
      </c>
      <c r="J19" s="1">
        <v>-19774359.98</v>
      </c>
      <c r="K19" s="1"/>
    </row>
    <row r="20" spans="1:12" x14ac:dyDescent="0.3">
      <c r="A20" s="30" t="s">
        <v>222</v>
      </c>
      <c r="B20" s="1">
        <v>0</v>
      </c>
      <c r="C20" s="1">
        <f>8401502.55+28515.21</f>
        <v>8430017.7600000016</v>
      </c>
      <c r="D20" s="1">
        <v>9180113.9700000007</v>
      </c>
      <c r="E20" s="1">
        <v>11961522.23</v>
      </c>
      <c r="F20" s="1">
        <v>18109939.34</v>
      </c>
      <c r="G20" s="1">
        <v>16230836.710000001</v>
      </c>
      <c r="H20" s="1">
        <v>20458932.629999999</v>
      </c>
      <c r="I20" s="1">
        <v>31241429.359999999</v>
      </c>
      <c r="J20" s="1">
        <v>23978480.829999998</v>
      </c>
    </row>
    <row r="21" spans="1:12" x14ac:dyDescent="0.3">
      <c r="A21" s="30" t="s">
        <v>209</v>
      </c>
      <c r="B21" s="1">
        <v>251820420.78</v>
      </c>
      <c r="C21" s="1">
        <v>249897604.38</v>
      </c>
      <c r="D21" s="1">
        <v>234950520.75</v>
      </c>
      <c r="E21" s="1">
        <v>233706163.19</v>
      </c>
      <c r="F21" s="1">
        <v>235792881.99000001</v>
      </c>
      <c r="G21" s="1">
        <v>246098816.05000001</v>
      </c>
      <c r="H21" s="1">
        <v>253772541.75</v>
      </c>
      <c r="I21" s="1">
        <v>254844354.87</v>
      </c>
      <c r="J21" s="1">
        <v>252744490.53</v>
      </c>
    </row>
    <row r="22" spans="1:12" x14ac:dyDescent="0.3">
      <c r="A22" s="30" t="s">
        <v>223</v>
      </c>
      <c r="B22" s="1">
        <v>28973389.34</v>
      </c>
      <c r="C22" s="1">
        <v>7821305.8200000003</v>
      </c>
      <c r="D22" s="1">
        <v>41513002.829999998</v>
      </c>
      <c r="E22" s="1">
        <v>69980725.069999993</v>
      </c>
      <c r="F22" s="1">
        <v>83832867.450000003</v>
      </c>
      <c r="G22" s="1">
        <v>82607748.060000002</v>
      </c>
      <c r="H22" s="1">
        <v>81200886.599999994</v>
      </c>
      <c r="I22" s="1">
        <v>58514540.829999998</v>
      </c>
      <c r="J22" s="1">
        <v>75911105.900000006</v>
      </c>
    </row>
    <row r="23" spans="1:12" x14ac:dyDescent="0.3">
      <c r="A23" s="30" t="s">
        <v>224</v>
      </c>
      <c r="B23" s="1">
        <v>5000792.32</v>
      </c>
      <c r="C23" s="1">
        <v>8904312.8800000008</v>
      </c>
      <c r="D23" s="1">
        <v>11793211.6</v>
      </c>
      <c r="E23" s="1">
        <v>11889612.23</v>
      </c>
      <c r="F23" s="1">
        <v>22935923.219999999</v>
      </c>
      <c r="G23" s="1">
        <v>26298493.59</v>
      </c>
      <c r="H23" s="1">
        <v>15456489.66</v>
      </c>
      <c r="I23" s="1">
        <v>11423545.74</v>
      </c>
      <c r="J23" s="1">
        <v>10266014.439999999</v>
      </c>
    </row>
    <row r="24" spans="1:12" x14ac:dyDescent="0.3">
      <c r="A24" s="30" t="s">
        <v>225</v>
      </c>
      <c r="B24" s="1">
        <v>27507438.460000001</v>
      </c>
      <c r="C24" s="1">
        <v>22596630.780000001</v>
      </c>
      <c r="D24" s="1">
        <v>25684652.629999999</v>
      </c>
      <c r="E24" s="1">
        <v>14199703.300000001</v>
      </c>
      <c r="F24" s="1">
        <v>22146723.579999998</v>
      </c>
      <c r="G24" s="1">
        <v>17700205.170000002</v>
      </c>
      <c r="H24" s="1">
        <v>17984974.57</v>
      </c>
      <c r="I24" s="1">
        <v>14351021.609999999</v>
      </c>
      <c r="J24" s="1">
        <v>16449349.82</v>
      </c>
      <c r="K24" s="1"/>
      <c r="L24" s="1"/>
    </row>
    <row r="25" spans="1:12" x14ac:dyDescent="0.3">
      <c r="A25" s="30" t="s">
        <v>226</v>
      </c>
      <c r="B25" s="1">
        <v>318445287.82999998</v>
      </c>
      <c r="C25" s="1">
        <v>332069438.63</v>
      </c>
      <c r="D25" s="1">
        <v>115265931.61</v>
      </c>
      <c r="E25" s="1">
        <v>113889232.83</v>
      </c>
      <c r="F25" s="1">
        <v>114125185.65000001</v>
      </c>
      <c r="G25" s="1">
        <v>114885210.91</v>
      </c>
      <c r="H25" s="1">
        <v>127148622.04000001</v>
      </c>
      <c r="I25" s="1">
        <v>175193751.56</v>
      </c>
      <c r="J25" s="1">
        <v>217184482.03</v>
      </c>
    </row>
    <row r="26" spans="1:12" x14ac:dyDescent="0.3">
      <c r="A26" s="66" t="s">
        <v>227</v>
      </c>
      <c r="B26" s="3">
        <f t="shared" ref="B26:J26" si="4">SUM(B14:B25)-B16</f>
        <v>1140095525.0599999</v>
      </c>
      <c r="C26" s="3">
        <f t="shared" si="4"/>
        <v>1070853558.47</v>
      </c>
      <c r="D26" s="3">
        <f t="shared" si="4"/>
        <v>835552925.34000015</v>
      </c>
      <c r="E26" s="3">
        <f t="shared" si="4"/>
        <v>883609846.34000015</v>
      </c>
      <c r="F26" s="3">
        <f t="shared" si="4"/>
        <v>918340407.06000006</v>
      </c>
      <c r="G26" s="3">
        <f t="shared" ref="G26" si="5">SUM(G14:G25)-G16</f>
        <v>954973036.17999995</v>
      </c>
      <c r="H26" s="3">
        <f t="shared" ref="H26" si="6">SUM(H14:H25)-H16</f>
        <v>972654720.07000005</v>
      </c>
      <c r="I26" s="3">
        <f t="shared" ref="I26" si="7">SUM(I14:I25)-I16</f>
        <v>966649518.84000015</v>
      </c>
      <c r="J26" s="3">
        <f t="shared" si="4"/>
        <v>1024036438.8100002</v>
      </c>
    </row>
    <row r="27" spans="1:12" x14ac:dyDescent="0.3">
      <c r="A27" s="10" t="s">
        <v>267</v>
      </c>
      <c r="B27" s="11">
        <f t="shared" ref="B27:J27" si="8">B14+B15+B17+B18+B19</f>
        <v>508348196.32999998</v>
      </c>
      <c r="C27" s="11">
        <f t="shared" si="8"/>
        <v>441134248.22000003</v>
      </c>
      <c r="D27" s="11">
        <f t="shared" si="8"/>
        <v>397165491.95000005</v>
      </c>
      <c r="E27" s="11">
        <f t="shared" si="8"/>
        <v>427982887.49000001</v>
      </c>
      <c r="F27" s="11">
        <f t="shared" si="8"/>
        <v>421396885.82999998</v>
      </c>
      <c r="G27" s="11">
        <f t="shared" ref="G27:I27" si="9">G14+G15+G17+G18+G19</f>
        <v>451151725.69000006</v>
      </c>
      <c r="H27" s="11">
        <f t="shared" si="9"/>
        <v>456632272.81999993</v>
      </c>
      <c r="I27" s="11">
        <f t="shared" si="9"/>
        <v>421080874.87</v>
      </c>
      <c r="J27" s="11">
        <f t="shared" si="8"/>
        <v>427502515.26000005</v>
      </c>
    </row>
    <row r="28" spans="1:12" x14ac:dyDescent="0.3">
      <c r="E28" s="104">
        <f t="shared" ref="E28:J28" si="10">E27/E26*100</f>
        <v>48.435730912545587</v>
      </c>
      <c r="F28" s="104">
        <f t="shared" si="10"/>
        <v>45.88678474674456</v>
      </c>
      <c r="G28" s="104">
        <f t="shared" si="10"/>
        <v>47.242352254746159</v>
      </c>
      <c r="H28" s="104">
        <f t="shared" si="10"/>
        <v>46.94700631146241</v>
      </c>
      <c r="I28" s="104">
        <f t="shared" si="10"/>
        <v>43.560863235654004</v>
      </c>
      <c r="J28" s="104">
        <f t="shared" si="10"/>
        <v>41.7468069551106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7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6" max="7" width="9.109375" style="102"/>
    <col min="8" max="10" width="8.88671875" style="102"/>
    <col min="11" max="11" width="9.109375" style="102"/>
  </cols>
  <sheetData>
    <row r="1" spans="1:11" x14ac:dyDescent="0.3">
      <c r="A1" s="143" t="s">
        <v>210</v>
      </c>
      <c r="B1" s="143"/>
      <c r="C1" s="2" t="s">
        <v>211</v>
      </c>
      <c r="D1" s="2">
        <v>2016</v>
      </c>
      <c r="E1" s="92">
        <v>2017</v>
      </c>
      <c r="F1" s="92">
        <v>2018</v>
      </c>
      <c r="G1" s="92">
        <v>2019</v>
      </c>
      <c r="H1" s="92">
        <v>2020</v>
      </c>
      <c r="I1" s="92">
        <v>2021</v>
      </c>
      <c r="J1" s="92">
        <v>2022</v>
      </c>
      <c r="K1" s="92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18.690000000000001</v>
      </c>
      <c r="E3" s="7">
        <v>15.2</v>
      </c>
      <c r="F3" s="103">
        <v>12.69</v>
      </c>
      <c r="G3" s="103">
        <v>13.58</v>
      </c>
      <c r="H3" s="103">
        <v>14.55</v>
      </c>
      <c r="I3" s="103">
        <v>16.053000000000001</v>
      </c>
      <c r="J3" s="103">
        <v>13.93</v>
      </c>
      <c r="K3" s="103">
        <v>13.9</v>
      </c>
    </row>
    <row r="4" spans="1:11" x14ac:dyDescent="0.3">
      <c r="A4" t="s">
        <v>80</v>
      </c>
      <c r="D4" s="7"/>
      <c r="E4" s="7"/>
      <c r="F4" s="103"/>
      <c r="G4" s="103"/>
      <c r="H4" s="103"/>
      <c r="I4" s="103"/>
      <c r="J4" s="103"/>
      <c r="K4" s="103"/>
    </row>
    <row r="5" spans="1:11" x14ac:dyDescent="0.3">
      <c r="A5" t="s">
        <v>81</v>
      </c>
      <c r="B5" t="s">
        <v>82</v>
      </c>
      <c r="D5" s="7">
        <v>92.94</v>
      </c>
      <c r="E5" s="7">
        <v>99.25</v>
      </c>
      <c r="F5" s="103">
        <v>98.98</v>
      </c>
      <c r="G5" s="103">
        <v>88.18</v>
      </c>
      <c r="H5" s="103">
        <v>84.92</v>
      </c>
      <c r="I5" s="103">
        <v>86.158000000000001</v>
      </c>
      <c r="J5" s="103">
        <v>88.21</v>
      </c>
      <c r="K5" s="103">
        <v>96.43</v>
      </c>
    </row>
    <row r="6" spans="1:11" x14ac:dyDescent="0.3">
      <c r="A6" t="s">
        <v>83</v>
      </c>
      <c r="B6" t="s">
        <v>84</v>
      </c>
      <c r="D6" s="7">
        <v>91.74</v>
      </c>
      <c r="E6" s="7">
        <v>90.66</v>
      </c>
      <c r="F6" s="103">
        <v>100.18</v>
      </c>
      <c r="G6" s="103">
        <v>83.08</v>
      </c>
      <c r="H6" s="103">
        <v>79.2</v>
      </c>
      <c r="I6" s="103">
        <v>82.86</v>
      </c>
      <c r="J6" s="103">
        <v>86.4</v>
      </c>
      <c r="K6" s="103">
        <v>92.85</v>
      </c>
    </row>
    <row r="7" spans="1:11" x14ac:dyDescent="0.3">
      <c r="A7" t="s">
        <v>85</v>
      </c>
      <c r="B7" t="s">
        <v>86</v>
      </c>
      <c r="D7" s="7">
        <v>57.55</v>
      </c>
      <c r="E7" s="7">
        <v>64.31</v>
      </c>
      <c r="F7" s="103">
        <v>70.739999999999995</v>
      </c>
      <c r="G7" s="103">
        <v>52.86</v>
      </c>
      <c r="H7" s="103">
        <v>47.94</v>
      </c>
      <c r="I7" s="103">
        <v>50.884</v>
      </c>
      <c r="J7" s="103">
        <v>52.37</v>
      </c>
      <c r="K7" s="103">
        <v>60.3</v>
      </c>
    </row>
    <row r="8" spans="1:11" x14ac:dyDescent="0.3">
      <c r="A8" t="s">
        <v>87</v>
      </c>
      <c r="B8" t="s">
        <v>88</v>
      </c>
      <c r="D8" s="7">
        <v>56.81</v>
      </c>
      <c r="E8" s="7">
        <v>58.75</v>
      </c>
      <c r="F8" s="103">
        <v>71.599999999999994</v>
      </c>
      <c r="G8" s="103">
        <v>49.8</v>
      </c>
      <c r="H8" s="103">
        <v>44.71</v>
      </c>
      <c r="I8" s="103">
        <v>48.936</v>
      </c>
      <c r="J8" s="103">
        <v>51.3</v>
      </c>
      <c r="K8" s="103">
        <v>58.06</v>
      </c>
    </row>
    <row r="9" spans="1:11" x14ac:dyDescent="0.3">
      <c r="A9" t="s">
        <v>89</v>
      </c>
      <c r="B9" t="s">
        <v>90</v>
      </c>
      <c r="D9" s="7">
        <v>46.29</v>
      </c>
      <c r="E9" s="7">
        <v>84.5</v>
      </c>
      <c r="F9" s="103">
        <v>86.47</v>
      </c>
      <c r="G9" s="103">
        <v>64.510000000000005</v>
      </c>
      <c r="H9" s="103">
        <v>76.569999999999993</v>
      </c>
      <c r="I9" s="103">
        <v>58.564999999999998</v>
      </c>
      <c r="J9" s="103">
        <v>45.54</v>
      </c>
      <c r="K9" s="103">
        <v>50.84</v>
      </c>
    </row>
    <row r="10" spans="1:11" x14ac:dyDescent="0.3">
      <c r="A10" t="s">
        <v>91</v>
      </c>
      <c r="B10" t="s">
        <v>92</v>
      </c>
      <c r="D10" s="7">
        <v>45.56</v>
      </c>
      <c r="E10" s="7">
        <v>46.64</v>
      </c>
      <c r="F10" s="103">
        <v>63.6</v>
      </c>
      <c r="G10" s="103">
        <v>37.590000000000003</v>
      </c>
      <c r="H10" s="103">
        <v>69.47</v>
      </c>
      <c r="I10" s="103">
        <v>59.911999999999999</v>
      </c>
      <c r="J10" s="103">
        <v>44.58</v>
      </c>
      <c r="K10" s="103">
        <v>57.35</v>
      </c>
    </row>
    <row r="11" spans="1:11" x14ac:dyDescent="0.3">
      <c r="A11" t="s">
        <v>93</v>
      </c>
      <c r="B11" t="s">
        <v>94</v>
      </c>
      <c r="D11" s="7">
        <v>27.24</v>
      </c>
      <c r="E11" s="7">
        <v>45.99</v>
      </c>
      <c r="F11" s="103">
        <v>59.11</v>
      </c>
      <c r="G11" s="103">
        <v>38.08</v>
      </c>
      <c r="H11" s="103">
        <v>37.299999999999997</v>
      </c>
      <c r="I11" s="103">
        <v>31.532</v>
      </c>
      <c r="J11" s="103">
        <v>26.9</v>
      </c>
      <c r="K11" s="103">
        <v>29.66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26.81</v>
      </c>
      <c r="E12" s="7">
        <v>25.38</v>
      </c>
      <c r="F12" s="103">
        <v>43.48</v>
      </c>
      <c r="G12" s="103">
        <v>22.19</v>
      </c>
      <c r="H12" s="103">
        <v>33.85</v>
      </c>
      <c r="I12" s="103">
        <v>32.258000000000003</v>
      </c>
      <c r="J12" s="103">
        <v>26.34</v>
      </c>
      <c r="K12" s="103">
        <v>33.46</v>
      </c>
    </row>
    <row r="13" spans="1:11" x14ac:dyDescent="0.3">
      <c r="A13" t="s">
        <v>97</v>
      </c>
      <c r="D13" s="7"/>
      <c r="E13" s="7"/>
      <c r="F13" s="103"/>
      <c r="G13" s="103"/>
      <c r="H13" s="103"/>
      <c r="I13" s="103"/>
      <c r="J13" s="103"/>
      <c r="K13" s="103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</row>
    <row r="16" spans="1:11" x14ac:dyDescent="0.3">
      <c r="A16" t="s">
        <v>102</v>
      </c>
      <c r="D16" s="7"/>
      <c r="E16" s="7"/>
      <c r="F16" s="103"/>
      <c r="G16" s="103"/>
      <c r="H16" s="103"/>
      <c r="I16" s="103"/>
      <c r="J16" s="103"/>
      <c r="K16" s="103"/>
    </row>
    <row r="17" spans="1:11" x14ac:dyDescent="0.3">
      <c r="A17" t="s">
        <v>103</v>
      </c>
      <c r="B17" t="s">
        <v>104</v>
      </c>
      <c r="D17" s="7">
        <v>19.149999999999999</v>
      </c>
      <c r="E17" s="7">
        <v>16.79</v>
      </c>
      <c r="F17" s="103">
        <v>62.61</v>
      </c>
      <c r="G17" s="103">
        <v>43.67</v>
      </c>
      <c r="H17" s="128">
        <v>44.48</v>
      </c>
      <c r="I17" s="103">
        <v>21.004000000000001</v>
      </c>
      <c r="J17" s="103">
        <v>17.91</v>
      </c>
      <c r="K17" s="103">
        <v>18.52</v>
      </c>
    </row>
    <row r="18" spans="1:11" x14ac:dyDescent="0.3">
      <c r="A18" t="s">
        <v>105</v>
      </c>
      <c r="B18" t="s">
        <v>106</v>
      </c>
      <c r="D18" s="7">
        <v>18.86</v>
      </c>
      <c r="E18" s="7">
        <v>19.41</v>
      </c>
      <c r="F18" s="103">
        <v>18.03</v>
      </c>
      <c r="G18" s="103">
        <v>6.29</v>
      </c>
      <c r="H18" s="103">
        <v>18.05</v>
      </c>
      <c r="I18" s="103">
        <v>29.007000000000001</v>
      </c>
      <c r="J18" s="103">
        <v>15.68</v>
      </c>
      <c r="K18" s="103">
        <v>13.76</v>
      </c>
    </row>
    <row r="19" spans="1:11" x14ac:dyDescent="0.3">
      <c r="A19" t="s">
        <v>107</v>
      </c>
      <c r="B19" t="s">
        <v>108</v>
      </c>
      <c r="D19" s="7">
        <v>2.11</v>
      </c>
      <c r="E19" s="7">
        <v>1.37</v>
      </c>
      <c r="F19" s="103">
        <v>2.14</v>
      </c>
      <c r="G19" s="103">
        <v>3.49</v>
      </c>
      <c r="H19" s="103">
        <v>3.74</v>
      </c>
      <c r="I19" s="103">
        <v>3.214</v>
      </c>
      <c r="J19" s="103">
        <v>3.73</v>
      </c>
      <c r="K19" s="103">
        <v>2.52</v>
      </c>
    </row>
    <row r="20" spans="1:11" x14ac:dyDescent="0.3">
      <c r="A20" t="s">
        <v>109</v>
      </c>
      <c r="B20" t="s">
        <v>110</v>
      </c>
      <c r="D20" s="7">
        <v>185.39</v>
      </c>
      <c r="E20" s="7">
        <v>153.8543311991321</v>
      </c>
      <c r="F20" s="103">
        <v>162.66999999999999</v>
      </c>
      <c r="G20" s="103">
        <v>143.11000000000001</v>
      </c>
      <c r="H20" s="103">
        <v>156.26</v>
      </c>
      <c r="I20" s="103">
        <v>158.59976724675829</v>
      </c>
      <c r="J20" s="103">
        <v>168.38</v>
      </c>
      <c r="K20" s="103">
        <v>184.08565031065797</v>
      </c>
    </row>
    <row r="21" spans="1:11" x14ac:dyDescent="0.3">
      <c r="A21" t="s">
        <v>111</v>
      </c>
      <c r="D21" s="7"/>
      <c r="E21" s="7"/>
      <c r="F21" s="103"/>
      <c r="G21" s="103"/>
      <c r="H21" s="103"/>
      <c r="I21" s="103"/>
      <c r="J21" s="103"/>
      <c r="K21" s="103"/>
    </row>
    <row r="22" spans="1:11" x14ac:dyDescent="0.3">
      <c r="A22" t="s">
        <v>112</v>
      </c>
      <c r="B22" t="s">
        <v>113</v>
      </c>
      <c r="D22" s="7">
        <v>48.81</v>
      </c>
      <c r="E22" s="7">
        <v>49.16</v>
      </c>
      <c r="F22" s="103">
        <v>53.89</v>
      </c>
      <c r="G22" s="103">
        <v>45.81</v>
      </c>
      <c r="H22" s="103">
        <v>55.54</v>
      </c>
      <c r="I22" s="103">
        <v>52.610999999999997</v>
      </c>
      <c r="J22" s="103">
        <v>51.3</v>
      </c>
      <c r="K22" s="103">
        <v>52.83</v>
      </c>
    </row>
    <row r="23" spans="1:11" x14ac:dyDescent="0.3">
      <c r="A23" t="s">
        <v>114</v>
      </c>
      <c r="D23" s="7"/>
      <c r="E23" s="7"/>
      <c r="F23" s="103"/>
      <c r="G23" s="103"/>
      <c r="H23" s="103"/>
      <c r="I23" s="103"/>
      <c r="J23" s="103"/>
      <c r="K23" s="103"/>
    </row>
    <row r="24" spans="1:11" x14ac:dyDescent="0.3">
      <c r="A24" t="s">
        <v>115</v>
      </c>
      <c r="B24" t="s">
        <v>116</v>
      </c>
      <c r="D24" s="7">
        <v>0.49</v>
      </c>
      <c r="E24" s="7">
        <v>0.41</v>
      </c>
      <c r="F24" s="103">
        <v>0.32</v>
      </c>
      <c r="G24" s="103">
        <v>0.33</v>
      </c>
      <c r="H24" s="103">
        <v>0.28000000000000003</v>
      </c>
      <c r="I24" s="103">
        <v>0.28599999999999998</v>
      </c>
      <c r="J24" s="103">
        <v>0.31</v>
      </c>
      <c r="K24" s="103">
        <v>0.32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</row>
    <row r="27" spans="1:11" x14ac:dyDescent="0.3">
      <c r="A27" t="s">
        <v>121</v>
      </c>
      <c r="D27" s="7"/>
      <c r="E27" s="7"/>
      <c r="F27" s="103"/>
      <c r="G27" s="103"/>
      <c r="H27" s="103"/>
      <c r="I27" s="103"/>
      <c r="J27" s="103"/>
      <c r="K27" s="103"/>
    </row>
    <row r="28" spans="1:11" x14ac:dyDescent="0.3">
      <c r="A28" t="s">
        <v>122</v>
      </c>
      <c r="B28" t="s">
        <v>123</v>
      </c>
      <c r="D28" s="7">
        <v>16.739999999999998</v>
      </c>
      <c r="E28" s="7">
        <v>9.77</v>
      </c>
      <c r="F28" s="103">
        <v>6.23</v>
      </c>
      <c r="G28" s="103">
        <v>13.9</v>
      </c>
      <c r="H28" s="103">
        <v>8.73</v>
      </c>
      <c r="I28" s="103">
        <v>11.188000000000001</v>
      </c>
      <c r="J28" s="103">
        <v>8.5299999999999994</v>
      </c>
      <c r="K28" s="103">
        <v>20.239999999999998</v>
      </c>
    </row>
    <row r="29" spans="1:11" x14ac:dyDescent="0.3">
      <c r="A29" t="s">
        <v>124</v>
      </c>
      <c r="B29" t="s">
        <v>125</v>
      </c>
      <c r="D29" s="7">
        <v>81.203630830432616</v>
      </c>
      <c r="E29" s="7">
        <v>103.29300464519621</v>
      </c>
      <c r="F29" s="103">
        <v>60.65</v>
      </c>
      <c r="G29" s="103">
        <v>141.06</v>
      </c>
      <c r="H29" s="103">
        <v>90.74</v>
      </c>
      <c r="I29" s="103">
        <v>134.13142394228097</v>
      </c>
      <c r="J29" s="103">
        <v>105.05</v>
      </c>
      <c r="K29" s="103">
        <v>301.81885380489615</v>
      </c>
    </row>
    <row r="30" spans="1:11" x14ac:dyDescent="0.3">
      <c r="A30" t="s">
        <v>126</v>
      </c>
      <c r="B30" t="s">
        <v>127</v>
      </c>
      <c r="D30" s="7">
        <v>1.7404276479363501</v>
      </c>
      <c r="E30" s="7">
        <v>1.7538497000917013</v>
      </c>
      <c r="F30" s="103">
        <v>0</v>
      </c>
      <c r="G30" s="103">
        <v>40.630000000000003</v>
      </c>
      <c r="H30" s="103">
        <v>0.3</v>
      </c>
      <c r="I30" s="103">
        <v>0</v>
      </c>
      <c r="J30" s="103">
        <v>0</v>
      </c>
      <c r="K30" s="103">
        <v>3.6625776644894061E-2</v>
      </c>
    </row>
    <row r="31" spans="1:11" x14ac:dyDescent="0.3">
      <c r="A31" t="s">
        <v>128</v>
      </c>
      <c r="B31" t="s">
        <v>129</v>
      </c>
      <c r="D31" s="7">
        <v>82.944058478368973</v>
      </c>
      <c r="E31" s="7">
        <v>105.04685434528791</v>
      </c>
      <c r="F31" s="103">
        <v>60.65</v>
      </c>
      <c r="G31" s="103">
        <v>181.69</v>
      </c>
      <c r="H31" s="103">
        <v>91.04</v>
      </c>
      <c r="I31" s="103">
        <v>134.13142394228097</v>
      </c>
      <c r="J31" s="103">
        <v>105.05</v>
      </c>
      <c r="K31" s="103">
        <v>301.85547958154109</v>
      </c>
    </row>
    <row r="32" spans="1:11" x14ac:dyDescent="0.3">
      <c r="A32" t="s">
        <v>130</v>
      </c>
      <c r="B32" t="s">
        <v>131</v>
      </c>
      <c r="D32" s="7">
        <v>24.29</v>
      </c>
      <c r="E32" s="7">
        <v>0</v>
      </c>
      <c r="F32" s="103">
        <v>8.07</v>
      </c>
      <c r="G32" s="103">
        <v>0</v>
      </c>
      <c r="H32" s="103">
        <v>2.33</v>
      </c>
      <c r="I32" s="103">
        <v>126.401</v>
      </c>
      <c r="J32" s="103">
        <v>178.27</v>
      </c>
      <c r="K32" s="103">
        <v>82.76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103">
        <v>0</v>
      </c>
      <c r="G33" s="103">
        <v>0</v>
      </c>
      <c r="H33" s="103">
        <v>0</v>
      </c>
      <c r="I33" s="103">
        <v>-0.14899999999999999</v>
      </c>
      <c r="J33" s="103">
        <v>0</v>
      </c>
      <c r="K33" s="103">
        <v>0</v>
      </c>
    </row>
    <row r="34" spans="1:11" x14ac:dyDescent="0.3">
      <c r="A34" t="s">
        <v>134</v>
      </c>
      <c r="B34" t="s">
        <v>135</v>
      </c>
      <c r="D34" s="7">
        <v>0</v>
      </c>
      <c r="E34" s="7">
        <v>8.26</v>
      </c>
      <c r="F34" s="103">
        <v>0</v>
      </c>
      <c r="G34" s="103">
        <v>4.42</v>
      </c>
      <c r="H34" s="103">
        <v>11.48</v>
      </c>
      <c r="I34" s="103">
        <v>7.657</v>
      </c>
      <c r="J34" s="103">
        <v>37.28</v>
      </c>
      <c r="K34" s="103">
        <v>4.1100000000000003</v>
      </c>
    </row>
    <row r="35" spans="1:11" x14ac:dyDescent="0.3">
      <c r="A35" t="s">
        <v>136</v>
      </c>
      <c r="D35" s="7"/>
      <c r="E35" s="7"/>
      <c r="F35" s="103"/>
      <c r="G35" s="103"/>
      <c r="H35" s="103"/>
      <c r="I35" s="103"/>
      <c r="J35" s="103"/>
      <c r="K35" s="103"/>
    </row>
    <row r="36" spans="1:11" x14ac:dyDescent="0.3">
      <c r="A36" t="s">
        <v>137</v>
      </c>
      <c r="B36" t="s">
        <v>138</v>
      </c>
      <c r="D36" s="7">
        <v>78.650000000000006</v>
      </c>
      <c r="E36" s="7">
        <v>67.3</v>
      </c>
      <c r="F36" s="103">
        <v>60.37</v>
      </c>
      <c r="G36" s="103">
        <v>69.12</v>
      </c>
      <c r="H36" s="103">
        <v>56.96</v>
      </c>
      <c r="I36" s="103">
        <v>69.576999999999998</v>
      </c>
      <c r="J36" s="103">
        <v>70.650000000000006</v>
      </c>
      <c r="K36" s="103">
        <v>73.28</v>
      </c>
    </row>
    <row r="37" spans="1:11" x14ac:dyDescent="0.3">
      <c r="A37" t="s">
        <v>139</v>
      </c>
      <c r="B37" t="s">
        <v>140</v>
      </c>
      <c r="D37" s="7">
        <v>59.88</v>
      </c>
      <c r="E37" s="7">
        <v>51.73</v>
      </c>
      <c r="F37" s="103">
        <v>28.48</v>
      </c>
      <c r="G37" s="103">
        <v>62.21</v>
      </c>
      <c r="H37" s="103">
        <v>25.63</v>
      </c>
      <c r="I37" s="103">
        <v>49.392000000000003</v>
      </c>
      <c r="J37" s="103">
        <v>26</v>
      </c>
      <c r="K37" s="103">
        <v>69.63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</row>
    <row r="39" spans="1:11" x14ac:dyDescent="0.3">
      <c r="A39" t="s">
        <v>143</v>
      </c>
      <c r="B39" t="s">
        <v>144</v>
      </c>
      <c r="D39" s="7">
        <v>43.2</v>
      </c>
      <c r="E39" s="7">
        <v>41.44</v>
      </c>
      <c r="F39" s="103">
        <v>31.04</v>
      </c>
      <c r="G39" s="103">
        <v>30.71</v>
      </c>
      <c r="H39" s="103">
        <v>28.88</v>
      </c>
      <c r="I39" s="103">
        <v>28.509</v>
      </c>
      <c r="J39" s="103">
        <v>28.75</v>
      </c>
      <c r="K39" s="103">
        <v>29.04</v>
      </c>
    </row>
    <row r="40" spans="1:11" x14ac:dyDescent="0.3">
      <c r="A40" t="s">
        <v>145</v>
      </c>
      <c r="B40" t="s">
        <v>146</v>
      </c>
      <c r="D40" s="7">
        <v>58.05</v>
      </c>
      <c r="E40" s="7">
        <v>16</v>
      </c>
      <c r="F40" s="103">
        <v>14.25</v>
      </c>
      <c r="G40" s="103">
        <v>59.28</v>
      </c>
      <c r="H40" s="103">
        <v>29.08</v>
      </c>
      <c r="I40" s="103">
        <v>20.013000000000002</v>
      </c>
      <c r="J40" s="103">
        <v>13.41</v>
      </c>
      <c r="K40" s="103">
        <v>44.79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</row>
    <row r="42" spans="1:11" x14ac:dyDescent="0.3">
      <c r="A42" t="s">
        <v>149</v>
      </c>
      <c r="D42" s="7"/>
      <c r="E42" s="7"/>
      <c r="F42" s="103"/>
      <c r="G42" s="103"/>
      <c r="H42" s="103"/>
      <c r="I42" s="103"/>
      <c r="J42" s="103"/>
      <c r="K42" s="103"/>
    </row>
    <row r="43" spans="1:11" x14ac:dyDescent="0.3">
      <c r="A43" t="s">
        <v>150</v>
      </c>
      <c r="B43" t="s">
        <v>151</v>
      </c>
      <c r="D43" s="7">
        <v>64.319999999999993</v>
      </c>
      <c r="E43" s="7">
        <v>71.290000000000006</v>
      </c>
      <c r="F43" s="103">
        <v>76.31</v>
      </c>
      <c r="G43" s="103">
        <v>69.569999999999993</v>
      </c>
      <c r="H43" s="103">
        <v>74.61</v>
      </c>
      <c r="I43" s="103">
        <v>71.631</v>
      </c>
      <c r="J43" s="103">
        <v>79.98</v>
      </c>
      <c r="K43" s="103">
        <v>73.34</v>
      </c>
    </row>
    <row r="44" spans="1:11" x14ac:dyDescent="0.3">
      <c r="A44" t="s">
        <v>152</v>
      </c>
      <c r="B44" t="s">
        <v>153</v>
      </c>
      <c r="D44" s="7">
        <v>46.47</v>
      </c>
      <c r="E44" s="7">
        <v>44.77</v>
      </c>
      <c r="F44" s="103">
        <v>40.4</v>
      </c>
      <c r="G44" s="103">
        <v>40.520000000000003</v>
      </c>
      <c r="H44" s="103">
        <v>38.409999999999997</v>
      </c>
      <c r="I44" s="103">
        <v>39.4</v>
      </c>
      <c r="J44" s="103">
        <v>48.77</v>
      </c>
      <c r="K44" s="103">
        <v>52.34</v>
      </c>
    </row>
    <row r="45" spans="1:11" x14ac:dyDescent="0.3">
      <c r="A45" t="s">
        <v>154</v>
      </c>
      <c r="B45" t="s">
        <v>155</v>
      </c>
      <c r="D45" s="7">
        <v>1.03</v>
      </c>
      <c r="E45" s="7">
        <v>3.44</v>
      </c>
      <c r="F45" s="103">
        <v>11.45</v>
      </c>
      <c r="G45" s="103">
        <v>19.72</v>
      </c>
      <c r="H45" s="103">
        <v>16.510000000000002</v>
      </c>
      <c r="I45" s="103">
        <v>58.822000000000003</v>
      </c>
      <c r="J45" s="103">
        <v>38.76</v>
      </c>
      <c r="K45" s="103">
        <v>61.88</v>
      </c>
    </row>
    <row r="46" spans="1:11" x14ac:dyDescent="0.3">
      <c r="A46" t="s">
        <v>156</v>
      </c>
      <c r="B46" t="s">
        <v>157</v>
      </c>
      <c r="D46" s="7">
        <v>4.5999999999999996</v>
      </c>
      <c r="E46" s="7">
        <v>0.39</v>
      </c>
      <c r="F46" s="103">
        <v>38.97</v>
      </c>
      <c r="G46" s="103">
        <v>32.049999999999997</v>
      </c>
      <c r="H46" s="103">
        <v>1.28</v>
      </c>
      <c r="I46" s="103">
        <v>2.105</v>
      </c>
      <c r="J46" s="103">
        <v>65.849999999999994</v>
      </c>
      <c r="K46" s="103">
        <v>17.28</v>
      </c>
    </row>
    <row r="47" spans="1:11" x14ac:dyDescent="0.3">
      <c r="A47" t="s">
        <v>158</v>
      </c>
      <c r="B47" t="s">
        <v>159</v>
      </c>
      <c r="D47" s="7">
        <v>1.0900000000000001</v>
      </c>
      <c r="E47" s="7">
        <v>2.56</v>
      </c>
      <c r="F47" s="103">
        <v>9.9600000000000009</v>
      </c>
      <c r="G47" s="103">
        <v>11</v>
      </c>
      <c r="H47" s="103">
        <v>-5.31</v>
      </c>
      <c r="I47" s="103">
        <v>3.91</v>
      </c>
      <c r="J47" s="103">
        <v>2.62</v>
      </c>
      <c r="K47" s="103">
        <v>22.84</v>
      </c>
    </row>
    <row r="48" spans="1:11" x14ac:dyDescent="0.3">
      <c r="A48" t="s">
        <v>160</v>
      </c>
      <c r="D48" s="7"/>
      <c r="E48" s="7"/>
      <c r="F48" s="103"/>
      <c r="G48" s="103"/>
      <c r="H48" s="103"/>
      <c r="I48" s="103"/>
      <c r="J48" s="103"/>
      <c r="K48" s="103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3">
        <v>0</v>
      </c>
    </row>
    <row r="50" spans="1:11" x14ac:dyDescent="0.3">
      <c r="A50" t="s">
        <v>163</v>
      </c>
      <c r="B50" t="s">
        <v>164</v>
      </c>
      <c r="D50" s="7">
        <v>10.02</v>
      </c>
      <c r="E50" s="7">
        <v>0.43</v>
      </c>
      <c r="F50" s="103">
        <v>0.53</v>
      </c>
      <c r="G50" s="103">
        <v>0.56000000000000005</v>
      </c>
      <c r="H50" s="103">
        <v>0.14000000000000001</v>
      </c>
      <c r="I50" s="103">
        <v>0.66</v>
      </c>
      <c r="J50" s="103">
        <v>0.79</v>
      </c>
      <c r="K50" s="103">
        <v>0.91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1.38</v>
      </c>
      <c r="E51" s="7">
        <v>0.88</v>
      </c>
      <c r="F51" s="103">
        <v>0.78</v>
      </c>
      <c r="G51" s="103">
        <v>0.91</v>
      </c>
      <c r="H51" s="103">
        <v>0.43</v>
      </c>
      <c r="I51" s="103">
        <v>0.97599999999999998</v>
      </c>
      <c r="J51" s="103">
        <v>1.1100000000000001</v>
      </c>
      <c r="K51" s="103">
        <v>1.18</v>
      </c>
    </row>
    <row r="52" spans="1:11" x14ac:dyDescent="0.3">
      <c r="A52" t="s">
        <v>167</v>
      </c>
      <c r="B52" t="s">
        <v>168</v>
      </c>
      <c r="D52" s="7">
        <v>1242.6534280457483</v>
      </c>
      <c r="E52" s="7">
        <v>1252.2366814157074</v>
      </c>
      <c r="F52" s="103">
        <v>1177.3399999999999</v>
      </c>
      <c r="G52" s="103">
        <v>1188.1199999999999</v>
      </c>
      <c r="H52" s="103">
        <v>1231.5999999999999</v>
      </c>
      <c r="I52" s="103">
        <v>1330.6236032970317</v>
      </c>
      <c r="J52" s="103">
        <v>1349.05</v>
      </c>
      <c r="K52" s="103">
        <v>1342.17243125697</v>
      </c>
    </row>
    <row r="53" spans="1:11" x14ac:dyDescent="0.3">
      <c r="A53" t="s">
        <v>169</v>
      </c>
      <c r="D53" s="7">
        <v>3.5955344582974647</v>
      </c>
      <c r="E53" s="7">
        <v>5.4766405650383359</v>
      </c>
      <c r="F53" s="103">
        <v>2.6468379224824874</v>
      </c>
      <c r="G53" s="103">
        <v>1.2582929875878937</v>
      </c>
      <c r="H53" s="103">
        <v>0.44519548064239889</v>
      </c>
      <c r="I53" s="103">
        <v>0.52854064291635838</v>
      </c>
      <c r="J53" s="103">
        <v>0.50008449786410358</v>
      </c>
      <c r="K53" s="103">
        <v>0.24496261197399222</v>
      </c>
    </row>
    <row r="54" spans="1:11" x14ac:dyDescent="0.3">
      <c r="A54" t="s">
        <v>170</v>
      </c>
      <c r="B54" t="s">
        <v>171</v>
      </c>
      <c r="D54" s="7">
        <v>1.772009256138497</v>
      </c>
      <c r="E54" s="7">
        <v>2.3290376858213455</v>
      </c>
      <c r="F54" s="103">
        <v>0.59851613756796429</v>
      </c>
      <c r="G54" s="103">
        <v>1.0929135733834761</v>
      </c>
      <c r="H54" s="103">
        <v>0.29819996135399507</v>
      </c>
      <c r="I54" s="103">
        <v>0.16582888785824851</v>
      </c>
      <c r="J54" s="103">
        <v>0.17888387922319371</v>
      </c>
      <c r="K54" s="103">
        <v>0.24496261197399222</v>
      </c>
    </row>
    <row r="55" spans="1:11" x14ac:dyDescent="0.3">
      <c r="A55" t="s">
        <v>172</v>
      </c>
      <c r="B55" t="s">
        <v>173</v>
      </c>
      <c r="D55" s="7">
        <v>1.8235252021589679</v>
      </c>
      <c r="E55" s="7">
        <v>3.1476028792169908</v>
      </c>
      <c r="F55" s="103">
        <v>2.0483217849145232</v>
      </c>
      <c r="G55" s="103">
        <v>0.16537941420441757</v>
      </c>
      <c r="H55" s="103">
        <v>0.14699551928840382</v>
      </c>
      <c r="I55" s="103">
        <v>0.36271175505810987</v>
      </c>
      <c r="J55" s="103">
        <v>0.32120061864090987</v>
      </c>
      <c r="K55" s="103">
        <v>0</v>
      </c>
    </row>
    <row r="56" spans="1:11" x14ac:dyDescent="0.3">
      <c r="A56" t="s">
        <v>174</v>
      </c>
      <c r="B56" t="s">
        <v>175</v>
      </c>
      <c r="D56" s="7">
        <v>55.561435615760246</v>
      </c>
      <c r="E56" s="7">
        <v>64.842898189464123</v>
      </c>
      <c r="F56" s="103">
        <v>85.791237526284121</v>
      </c>
      <c r="G56" s="103">
        <v>90.313161643049995</v>
      </c>
      <c r="H56" s="103">
        <v>88.453945191646483</v>
      </c>
      <c r="I56" s="103">
        <v>83.800750269130617</v>
      </c>
      <c r="J56" s="103">
        <v>80.238360405272388</v>
      </c>
      <c r="K56" s="103">
        <v>85.390133749291437</v>
      </c>
    </row>
    <row r="57" spans="1:11" x14ac:dyDescent="0.3">
      <c r="A57" t="s">
        <v>176</v>
      </c>
      <c r="B57" t="s">
        <v>177</v>
      </c>
      <c r="D57" s="7">
        <v>40.84302992594229</v>
      </c>
      <c r="E57" s="7">
        <v>29.680461245497536</v>
      </c>
      <c r="F57" s="103">
        <v>11.561924551233389</v>
      </c>
      <c r="G57" s="103">
        <v>8.4285453693621193</v>
      </c>
      <c r="H57" s="103">
        <v>11.10085932771111</v>
      </c>
      <c r="I57" s="103">
        <v>15.67070908795302</v>
      </c>
      <c r="J57" s="103">
        <v>19.261555096863503</v>
      </c>
      <c r="K57" s="103">
        <v>14.364903638734578</v>
      </c>
    </row>
    <row r="58" spans="1:11" x14ac:dyDescent="0.3">
      <c r="A58" t="s">
        <v>178</v>
      </c>
      <c r="D58" s="7"/>
      <c r="E58" s="7"/>
      <c r="F58" s="103"/>
      <c r="G58" s="103"/>
      <c r="H58" s="103"/>
      <c r="I58" s="103"/>
      <c r="J58" s="103"/>
      <c r="K58" s="103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103" t="s">
        <v>355</v>
      </c>
      <c r="G59" s="103" t="s">
        <v>355</v>
      </c>
      <c r="H59" s="103" t="s">
        <v>355</v>
      </c>
      <c r="I59" s="103" t="s">
        <v>355</v>
      </c>
      <c r="J59" s="103" t="s">
        <v>355</v>
      </c>
      <c r="K59" s="103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103" t="s">
        <v>355</v>
      </c>
      <c r="G60" s="103" t="s">
        <v>355</v>
      </c>
      <c r="H60" s="103" t="s">
        <v>355</v>
      </c>
      <c r="I60" s="103" t="s">
        <v>355</v>
      </c>
      <c r="J60" s="103" t="s">
        <v>355</v>
      </c>
      <c r="K60" s="103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103">
        <v>0</v>
      </c>
      <c r="G62" s="103">
        <v>0</v>
      </c>
      <c r="H62" s="103">
        <v>0</v>
      </c>
      <c r="I62" s="103">
        <v>0</v>
      </c>
      <c r="J62" s="103">
        <v>0</v>
      </c>
      <c r="K62" s="103">
        <v>0</v>
      </c>
    </row>
    <row r="63" spans="1:11" x14ac:dyDescent="0.3">
      <c r="A63" t="s">
        <v>187</v>
      </c>
      <c r="D63" s="7"/>
      <c r="E63" s="7"/>
      <c r="F63" s="103"/>
      <c r="G63" s="103"/>
      <c r="H63" s="103"/>
      <c r="I63" s="103"/>
      <c r="J63" s="103"/>
      <c r="K63" s="103"/>
    </row>
    <row r="64" spans="1:11" x14ac:dyDescent="0.3">
      <c r="A64" s="8" t="s">
        <v>188</v>
      </c>
      <c r="B64" s="8" t="s">
        <v>189</v>
      </c>
      <c r="C64" s="9">
        <v>1</v>
      </c>
      <c r="D64" s="7">
        <v>1.43</v>
      </c>
      <c r="E64" s="7">
        <v>5.74</v>
      </c>
      <c r="F64" s="103">
        <v>0.75</v>
      </c>
      <c r="G64" s="103">
        <v>8.48</v>
      </c>
      <c r="H64" s="103">
        <v>1.36</v>
      </c>
      <c r="I64" s="103">
        <v>1.2070000000000001</v>
      </c>
      <c r="J64" s="103">
        <v>8.73</v>
      </c>
      <c r="K64" s="103">
        <v>1.75</v>
      </c>
    </row>
    <row r="65" spans="1:11" x14ac:dyDescent="0.3">
      <c r="A65" s="8" t="s">
        <v>190</v>
      </c>
      <c r="B65" s="8" t="s">
        <v>191</v>
      </c>
      <c r="C65" s="9"/>
      <c r="D65" s="7">
        <v>1.4</v>
      </c>
      <c r="E65" s="7">
        <v>1.85</v>
      </c>
      <c r="F65" s="103">
        <v>0.14000000000000001</v>
      </c>
      <c r="G65" s="103">
        <v>0</v>
      </c>
      <c r="H65" s="103">
        <v>0</v>
      </c>
      <c r="I65" s="103">
        <v>6.3E-2</v>
      </c>
      <c r="J65" s="103">
        <v>0.02</v>
      </c>
      <c r="K65" s="103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</row>
    <row r="67" spans="1:11" x14ac:dyDescent="0.3">
      <c r="A67" t="s">
        <v>194</v>
      </c>
      <c r="D67" s="7"/>
      <c r="E67" s="7"/>
      <c r="F67" s="103"/>
      <c r="G67" s="103"/>
      <c r="H67" s="103"/>
      <c r="I67" s="103"/>
      <c r="J67" s="103"/>
      <c r="K67" s="103"/>
    </row>
    <row r="68" spans="1:11" x14ac:dyDescent="0.3">
      <c r="A68" t="s">
        <v>195</v>
      </c>
      <c r="B68" t="s">
        <v>196</v>
      </c>
      <c r="D68" s="7">
        <v>37.381942547974177</v>
      </c>
      <c r="E68" s="7">
        <v>48.65</v>
      </c>
      <c r="F68" s="108">
        <v>15.86</v>
      </c>
      <c r="G68" s="108">
        <v>53.59</v>
      </c>
      <c r="H68" s="108">
        <v>20.77</v>
      </c>
      <c r="I68" s="108">
        <v>47.002000000000002</v>
      </c>
      <c r="J68" s="108">
        <v>46.8</v>
      </c>
      <c r="K68" s="108">
        <v>21.41</v>
      </c>
    </row>
    <row r="69" spans="1:11" x14ac:dyDescent="0.3">
      <c r="A69" t="s">
        <v>197</v>
      </c>
      <c r="D69" s="7"/>
      <c r="E69" s="7"/>
      <c r="F69" s="103"/>
      <c r="G69" s="103"/>
      <c r="H69" s="103"/>
      <c r="I69" s="103"/>
      <c r="J69" s="103"/>
      <c r="K69" s="103"/>
    </row>
    <row r="70" spans="1:11" x14ac:dyDescent="0.3">
      <c r="A70" t="s">
        <v>198</v>
      </c>
      <c r="B70" t="s">
        <v>199</v>
      </c>
      <c r="D70" s="7">
        <v>12.26</v>
      </c>
      <c r="E70" s="28">
        <v>13.73</v>
      </c>
      <c r="F70" s="103">
        <v>9.09</v>
      </c>
      <c r="G70" s="103">
        <v>14.64</v>
      </c>
      <c r="H70" s="103">
        <v>14.74</v>
      </c>
      <c r="I70" s="103">
        <v>12.127000000000001</v>
      </c>
      <c r="J70" s="103">
        <v>11.39</v>
      </c>
      <c r="K70" s="103">
        <v>12.61</v>
      </c>
    </row>
    <row r="71" spans="1:11" x14ac:dyDescent="0.3">
      <c r="A71" t="s">
        <v>200</v>
      </c>
      <c r="B71" t="s">
        <v>201</v>
      </c>
      <c r="D71" s="7">
        <v>13.44</v>
      </c>
      <c r="E71" s="28">
        <v>16.23</v>
      </c>
      <c r="F71" s="103">
        <v>13.58</v>
      </c>
      <c r="G71" s="103">
        <v>14.7</v>
      </c>
      <c r="H71" s="103">
        <v>17.13</v>
      </c>
      <c r="I71" s="103">
        <v>14.058</v>
      </c>
      <c r="J71" s="103">
        <v>13.29</v>
      </c>
      <c r="K71" s="103">
        <v>15.26</v>
      </c>
    </row>
    <row r="72" spans="1:11" x14ac:dyDescent="0.3">
      <c r="A72" t="s">
        <v>305</v>
      </c>
      <c r="D72" s="7"/>
      <c r="E72" s="7"/>
      <c r="F72" s="103"/>
      <c r="G72" s="103"/>
      <c r="H72" s="103"/>
      <c r="I72" s="103"/>
      <c r="J72" s="103"/>
      <c r="K72" s="103"/>
    </row>
    <row r="73" spans="1:11" x14ac:dyDescent="0.3">
      <c r="B73" t="s">
        <v>202</v>
      </c>
      <c r="D73" s="7">
        <v>52.425803059693536</v>
      </c>
      <c r="E73" s="7">
        <v>52.6</v>
      </c>
      <c r="F73" s="103">
        <v>47.79</v>
      </c>
      <c r="G73" s="103">
        <v>45.18</v>
      </c>
      <c r="H73" s="103">
        <v>38.690414081851472</v>
      </c>
      <c r="I73" s="103">
        <v>42.501224187652923</v>
      </c>
      <c r="J73" s="103">
        <v>42.919347516494305</v>
      </c>
      <c r="K73" s="103">
        <v>41.117348459907056</v>
      </c>
    </row>
    <row r="74" spans="1:11" x14ac:dyDescent="0.3">
      <c r="B74" t="s">
        <v>203</v>
      </c>
      <c r="D74" s="7">
        <v>66.162433902103899</v>
      </c>
      <c r="E74" s="7">
        <v>71.209999999999994</v>
      </c>
      <c r="F74" s="103">
        <v>72.069999999999993</v>
      </c>
      <c r="G74" s="103">
        <v>68.19</v>
      </c>
      <c r="H74" s="103">
        <v>61.841500412151163</v>
      </c>
      <c r="I74" s="103">
        <v>62.041969843578279</v>
      </c>
      <c r="J74" s="103">
        <v>66.772336040824413</v>
      </c>
      <c r="K74" s="103">
        <v>66.632988172248304</v>
      </c>
    </row>
    <row r="75" spans="1:11" x14ac:dyDescent="0.3">
      <c r="B75" t="s">
        <v>204</v>
      </c>
      <c r="D75" s="7">
        <v>30.983774652264696</v>
      </c>
      <c r="E75" s="7">
        <v>28.9</v>
      </c>
      <c r="F75" s="103">
        <v>20.440000000000001</v>
      </c>
      <c r="G75" s="103">
        <v>18.82</v>
      </c>
      <c r="H75" s="103">
        <v>17.055884647447687</v>
      </c>
      <c r="I75" s="103">
        <v>24.585213922457662</v>
      </c>
      <c r="J75" s="103">
        <v>20.933388568148334</v>
      </c>
      <c r="K75" s="103">
        <v>17.467746921234799</v>
      </c>
    </row>
    <row r="76" spans="1:11" x14ac:dyDescent="0.3">
      <c r="A76" s="8" t="s">
        <v>37</v>
      </c>
      <c r="B76" s="8"/>
      <c r="C76" s="9">
        <v>47</v>
      </c>
      <c r="D76" s="7">
        <v>49.514893791022693</v>
      </c>
      <c r="E76" s="7">
        <v>47.579702724084825</v>
      </c>
      <c r="F76" s="108">
        <v>50.437282095795688</v>
      </c>
      <c r="G76" s="108">
        <v>38.337193190546273</v>
      </c>
      <c r="H76" s="108">
        <v>33.741748985406801</v>
      </c>
      <c r="I76" s="108">
        <v>37.674936691601701</v>
      </c>
      <c r="J76" s="108">
        <v>42.987608519709219</v>
      </c>
      <c r="K76" s="108">
        <v>39.659188498019738</v>
      </c>
    </row>
    <row r="77" spans="1:11" x14ac:dyDescent="0.3">
      <c r="A77" s="29" t="s">
        <v>338</v>
      </c>
      <c r="B77" s="29"/>
      <c r="C77" s="58"/>
      <c r="D77" s="28">
        <v>46.252320324621316</v>
      </c>
      <c r="E77" s="28">
        <v>45.665289357830147</v>
      </c>
      <c r="F77" s="108">
        <v>48.049963301380153</v>
      </c>
      <c r="G77" s="108">
        <v>35.775905002237771</v>
      </c>
      <c r="H77" s="108">
        <v>31.435231738636602</v>
      </c>
      <c r="I77" s="108">
        <v>35.240155024047539</v>
      </c>
      <c r="J77" s="108">
        <v>40.48545145374122</v>
      </c>
      <c r="K77" s="108">
        <v>36.575903589579546</v>
      </c>
    </row>
    <row r="78" spans="1:11" x14ac:dyDescent="0.3">
      <c r="A78" t="s">
        <v>268</v>
      </c>
      <c r="D78" s="7"/>
      <c r="E78" s="7"/>
      <c r="F78" s="103"/>
      <c r="G78" s="103"/>
      <c r="H78" s="103"/>
      <c r="I78" s="103"/>
      <c r="J78" s="103"/>
      <c r="K78" s="103"/>
    </row>
    <row r="79" spans="1:11" x14ac:dyDescent="0.3">
      <c r="A79">
        <v>4</v>
      </c>
      <c r="B79" t="s">
        <v>205</v>
      </c>
      <c r="D79" s="7">
        <v>5.4188689594696315</v>
      </c>
      <c r="E79" s="7">
        <v>1.9887005649717515</v>
      </c>
      <c r="F79" s="108">
        <v>2.7081021087680357</v>
      </c>
      <c r="G79" s="108">
        <v>2.3022692222956596</v>
      </c>
      <c r="H79" s="108">
        <v>3.909191583610188</v>
      </c>
      <c r="I79" s="108">
        <v>4.7330676124421727</v>
      </c>
      <c r="J79" s="108">
        <v>4.2190403322767516</v>
      </c>
      <c r="K79" s="108">
        <v>3.3055128486712055</v>
      </c>
    </row>
    <row r="80" spans="1:11" x14ac:dyDescent="0.3">
      <c r="A80">
        <v>9</v>
      </c>
      <c r="B80" t="s">
        <v>350</v>
      </c>
      <c r="D80" s="7">
        <v>22.801937672530332</v>
      </c>
      <c r="E80" s="7">
        <v>23.163841807909606</v>
      </c>
      <c r="F80" s="108">
        <v>27.802441731409548</v>
      </c>
      <c r="G80" s="108">
        <v>21.998237497246087</v>
      </c>
      <c r="H80" s="108">
        <v>21.373200442967885</v>
      </c>
      <c r="I80" s="108">
        <v>22.469572657375174</v>
      </c>
      <c r="J80" s="108">
        <v>20.679855721936828</v>
      </c>
      <c r="K80" s="108">
        <v>20.777509334504725</v>
      </c>
    </row>
    <row r="81" spans="1:11" x14ac:dyDescent="0.3">
      <c r="A81">
        <v>10</v>
      </c>
      <c r="B81" t="s">
        <v>206</v>
      </c>
      <c r="D81" s="7">
        <v>15.620177234714403</v>
      </c>
      <c r="E81" s="7">
        <v>14.305084745762711</v>
      </c>
      <c r="F81" s="108">
        <v>15.26082130965594</v>
      </c>
      <c r="G81" s="108">
        <v>13.692443269442608</v>
      </c>
      <c r="H81" s="108">
        <v>11.627906976744185</v>
      </c>
      <c r="I81" s="108">
        <v>12.402021225073531</v>
      </c>
      <c r="J81" s="108">
        <v>22.767515575472729</v>
      </c>
      <c r="K81" s="108">
        <v>24.412475291016911</v>
      </c>
    </row>
    <row r="82" spans="1:11" x14ac:dyDescent="0.3">
      <c r="A82">
        <v>12</v>
      </c>
      <c r="B82" t="s">
        <v>207</v>
      </c>
      <c r="D82" s="7">
        <v>15.926827483270367</v>
      </c>
      <c r="E82" s="7">
        <v>13.423728813559324</v>
      </c>
      <c r="F82" s="108">
        <v>13.118756936736961</v>
      </c>
      <c r="G82" s="108">
        <v>11.698612029081294</v>
      </c>
      <c r="H82" s="108">
        <v>11.738648947951273</v>
      </c>
      <c r="I82" s="108">
        <v>13.21529198131427</v>
      </c>
      <c r="J82" s="108">
        <v>12.98502568586731</v>
      </c>
      <c r="K82" s="108">
        <v>11.98111135515045</v>
      </c>
    </row>
    <row r="83" spans="1:11" x14ac:dyDescent="0.3">
      <c r="A83" t="s">
        <v>208</v>
      </c>
      <c r="D83" s="7"/>
      <c r="E83" s="7"/>
      <c r="F83" s="103"/>
      <c r="G83" s="103"/>
      <c r="H83" s="103"/>
      <c r="I83" s="103"/>
      <c r="J83" s="103"/>
      <c r="K83" s="103"/>
    </row>
    <row r="84" spans="1:11" x14ac:dyDescent="0.3">
      <c r="A84">
        <v>4</v>
      </c>
      <c r="B84" t="s">
        <v>205</v>
      </c>
      <c r="D84" s="7">
        <v>65.40499507675564</v>
      </c>
      <c r="E84" s="7">
        <v>55.823972536403019</v>
      </c>
      <c r="F84" s="103">
        <v>47.47</v>
      </c>
      <c r="G84" s="103">
        <v>55</v>
      </c>
      <c r="H84" s="103">
        <v>63.504589230010019</v>
      </c>
      <c r="I84" s="103">
        <v>65.508456963654439</v>
      </c>
      <c r="J84" s="103">
        <v>68.262475244210947</v>
      </c>
      <c r="K84" s="103">
        <v>68.461066465317415</v>
      </c>
    </row>
    <row r="85" spans="1:11" x14ac:dyDescent="0.3">
      <c r="A85">
        <v>9</v>
      </c>
      <c r="B85" t="s">
        <v>350</v>
      </c>
      <c r="D85" s="7">
        <v>85.206140462043066</v>
      </c>
      <c r="E85" s="7">
        <v>85.7871994182306</v>
      </c>
      <c r="F85" s="103">
        <v>85.966869852893652</v>
      </c>
      <c r="G85" s="103">
        <v>81.718208436720957</v>
      </c>
      <c r="H85" s="103">
        <v>84.492567109075878</v>
      </c>
      <c r="I85" s="103">
        <v>76.514637355678232</v>
      </c>
      <c r="J85" s="103">
        <v>86.895510884973888</v>
      </c>
      <c r="K85" s="103">
        <v>85.257617905896566</v>
      </c>
    </row>
    <row r="86" spans="1:11" x14ac:dyDescent="0.3">
      <c r="A86">
        <v>10</v>
      </c>
      <c r="B86" t="s">
        <v>206</v>
      </c>
      <c r="D86" s="7">
        <v>85.207066287502755</v>
      </c>
      <c r="E86" s="7">
        <v>81.277269796344726</v>
      </c>
      <c r="F86" s="103">
        <v>83.50189658181489</v>
      </c>
      <c r="G86" s="103">
        <v>69.946431583944801</v>
      </c>
      <c r="H86" s="103">
        <v>69.349319093505713</v>
      </c>
      <c r="I86" s="103">
        <v>85.765198182508399</v>
      </c>
      <c r="J86" s="103">
        <v>91.014983361967325</v>
      </c>
      <c r="K86" s="103">
        <v>71.448938026299601</v>
      </c>
    </row>
    <row r="87" spans="1:11" x14ac:dyDescent="0.3">
      <c r="A87">
        <v>12</v>
      </c>
      <c r="B87" t="s">
        <v>207</v>
      </c>
      <c r="D87" s="7">
        <v>58.282201774393869</v>
      </c>
      <c r="E87" s="7">
        <v>52.453629075621755</v>
      </c>
      <c r="F87" s="103">
        <v>53.930260097282257</v>
      </c>
      <c r="G87" s="103">
        <v>49.671588259586052</v>
      </c>
      <c r="H87" s="103">
        <v>44.876474170393443</v>
      </c>
      <c r="I87" s="103">
        <v>52.364850878462299</v>
      </c>
      <c r="J87" s="103">
        <v>66.679048222784061</v>
      </c>
      <c r="K87" s="103">
        <v>66.663100097873155</v>
      </c>
    </row>
    <row r="88" spans="1:11" x14ac:dyDescent="0.3">
      <c r="B88" s="63" t="s">
        <v>306</v>
      </c>
      <c r="D88" s="7"/>
      <c r="E88" s="7"/>
      <c r="F88" s="103"/>
      <c r="G88" s="103"/>
      <c r="H88" s="103"/>
      <c r="I88" s="103"/>
      <c r="J88" s="103"/>
      <c r="K88" s="103"/>
    </row>
    <row r="89" spans="1:11" x14ac:dyDescent="0.3">
      <c r="B89" t="s">
        <v>110</v>
      </c>
      <c r="D89" s="7">
        <v>367.13226833883101</v>
      </c>
      <c r="E89" s="7">
        <v>350.14826884227551</v>
      </c>
      <c r="F89" s="103">
        <v>362.58510068602214</v>
      </c>
      <c r="G89" s="103">
        <v>355.01394750014094</v>
      </c>
      <c r="H89" s="103">
        <v>354.72657825926274</v>
      </c>
      <c r="I89" s="103">
        <v>352.25227220007974</v>
      </c>
      <c r="J89" s="103">
        <v>369.77947768871218</v>
      </c>
      <c r="K89" s="103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103">
        <v>170.92035541980178</v>
      </c>
      <c r="G90" s="103">
        <v>180.492157874811</v>
      </c>
      <c r="H90" s="103">
        <v>204.57029658165237</v>
      </c>
      <c r="I90" s="103">
        <v>209.21258224469867</v>
      </c>
      <c r="J90" s="103">
        <v>229.38618194069946</v>
      </c>
      <c r="K90" s="103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103">
        <v>36.521612903225808</v>
      </c>
      <c r="G91" s="103">
        <v>24.474374999999998</v>
      </c>
      <c r="H91" s="103">
        <v>18.420312500000001</v>
      </c>
      <c r="I91" s="103">
        <v>10.619375</v>
      </c>
      <c r="J91" s="103">
        <v>3.849687499999999</v>
      </c>
      <c r="K91" s="103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103">
        <v>1723.4313709635639</v>
      </c>
      <c r="G92" s="103">
        <v>1688.3834954123995</v>
      </c>
      <c r="H92" s="103">
        <v>1744.0187221199872</v>
      </c>
      <c r="I92" s="103">
        <v>1744.7789254873785</v>
      </c>
      <c r="J92" s="103">
        <v>1726.9557160967668</v>
      </c>
      <c r="K92" s="103">
        <v>1697.0701833805592</v>
      </c>
    </row>
    <row r="93" spans="1:11" x14ac:dyDescent="0.3">
      <c r="D93" s="7"/>
      <c r="E93" s="7"/>
      <c r="F93" s="103"/>
      <c r="G93" s="103"/>
      <c r="H93" s="103"/>
      <c r="I93" s="103"/>
      <c r="J93" s="103"/>
      <c r="K93" s="103"/>
    </row>
    <row r="94" spans="1:11" x14ac:dyDescent="0.3">
      <c r="B94" s="37" t="s">
        <v>303</v>
      </c>
      <c r="D94" s="7"/>
      <c r="E94" s="7"/>
      <c r="F94" s="103"/>
      <c r="G94" s="103"/>
      <c r="H94" s="103"/>
      <c r="I94" s="103"/>
      <c r="J94" s="103"/>
      <c r="K94" s="103"/>
    </row>
    <row r="95" spans="1:11" x14ac:dyDescent="0.3">
      <c r="D95" s="7"/>
      <c r="E95" s="7"/>
      <c r="F95" s="103"/>
      <c r="G95" s="103"/>
      <c r="H95" s="103"/>
      <c r="I95" s="103"/>
      <c r="J95" s="103"/>
      <c r="K95" s="103"/>
    </row>
    <row r="96" spans="1:11" x14ac:dyDescent="0.3">
      <c r="D96" s="7"/>
      <c r="E96" s="7"/>
      <c r="F96" s="103"/>
      <c r="G96" s="103"/>
      <c r="H96" s="103"/>
      <c r="I96" s="103"/>
      <c r="J96" s="103"/>
      <c r="K96" s="103"/>
    </row>
    <row r="97" spans="4:11" x14ac:dyDescent="0.3">
      <c r="D97" s="7"/>
      <c r="E97" s="7"/>
      <c r="F97" s="103"/>
      <c r="G97" s="103"/>
      <c r="H97" s="103"/>
      <c r="I97" s="103"/>
      <c r="J97" s="103"/>
      <c r="K97" s="103"/>
    </row>
    <row r="98" spans="4:11" x14ac:dyDescent="0.3">
      <c r="D98" s="7"/>
      <c r="E98" s="7"/>
      <c r="F98" s="103"/>
      <c r="G98" s="103"/>
      <c r="H98" s="103"/>
      <c r="I98" s="103"/>
      <c r="J98" s="103"/>
      <c r="K98" s="103"/>
    </row>
    <row r="99" spans="4:11" x14ac:dyDescent="0.3">
      <c r="D99" s="7"/>
      <c r="E99" s="7"/>
      <c r="F99" s="103"/>
      <c r="G99" s="103"/>
      <c r="H99" s="103"/>
      <c r="I99" s="103"/>
      <c r="J99" s="103"/>
      <c r="K99" s="103"/>
    </row>
    <row r="100" spans="4:11" x14ac:dyDescent="0.3">
      <c r="D100" s="7"/>
      <c r="E100" s="7"/>
      <c r="F100" s="103"/>
      <c r="G100" s="103"/>
      <c r="H100" s="103"/>
      <c r="I100" s="103"/>
      <c r="J100" s="103"/>
      <c r="K100" s="103"/>
    </row>
    <row r="101" spans="4:11" x14ac:dyDescent="0.3">
      <c r="D101" s="7"/>
      <c r="E101" s="7"/>
      <c r="F101" s="103"/>
      <c r="G101" s="103"/>
      <c r="H101" s="103"/>
      <c r="I101" s="103"/>
      <c r="J101" s="103"/>
      <c r="K101" s="103"/>
    </row>
    <row r="102" spans="4:11" x14ac:dyDescent="0.3">
      <c r="D102" s="7"/>
      <c r="E102" s="7"/>
      <c r="F102" s="103"/>
      <c r="G102" s="103"/>
      <c r="H102" s="103"/>
      <c r="I102" s="103"/>
      <c r="J102" s="103"/>
      <c r="K102" s="103"/>
    </row>
    <row r="103" spans="4:11" x14ac:dyDescent="0.3">
      <c r="D103" s="7"/>
      <c r="E103" s="7"/>
      <c r="F103" s="103"/>
      <c r="G103" s="103"/>
      <c r="H103" s="103"/>
      <c r="I103" s="103"/>
      <c r="J103" s="103"/>
      <c r="K103" s="103"/>
    </row>
    <row r="104" spans="4:11" x14ac:dyDescent="0.3">
      <c r="D104" s="7"/>
      <c r="E104" s="7"/>
      <c r="F104" s="103"/>
      <c r="G104" s="103"/>
      <c r="H104" s="103"/>
      <c r="I104" s="103"/>
      <c r="J104" s="103"/>
      <c r="K104" s="103"/>
    </row>
    <row r="105" spans="4:11" x14ac:dyDescent="0.3">
      <c r="D105" s="7"/>
      <c r="E105" s="7"/>
      <c r="F105" s="103"/>
      <c r="G105" s="103"/>
      <c r="H105" s="103"/>
      <c r="I105" s="103"/>
      <c r="J105" s="103"/>
      <c r="K105" s="103"/>
    </row>
    <row r="106" spans="4:11" x14ac:dyDescent="0.3">
      <c r="D106" s="7"/>
      <c r="E106" s="7"/>
      <c r="F106" s="103"/>
      <c r="G106" s="103"/>
      <c r="H106" s="103"/>
      <c r="I106" s="103"/>
      <c r="J106" s="103"/>
      <c r="K106" s="103"/>
    </row>
    <row r="107" spans="4:11" x14ac:dyDescent="0.3">
      <c r="D107" s="7"/>
      <c r="E107" s="7"/>
      <c r="F107" s="103"/>
      <c r="G107" s="103"/>
      <c r="H107" s="103"/>
      <c r="I107" s="103"/>
      <c r="J107" s="103"/>
      <c r="K107" s="103"/>
    </row>
    <row r="108" spans="4:11" x14ac:dyDescent="0.3">
      <c r="D108" s="7"/>
      <c r="E108" s="7"/>
      <c r="F108" s="103"/>
      <c r="G108" s="103"/>
      <c r="H108" s="103"/>
      <c r="I108" s="103"/>
      <c r="J108" s="103"/>
      <c r="K108" s="103"/>
    </row>
    <row r="109" spans="4:11" x14ac:dyDescent="0.3">
      <c r="D109" s="7"/>
      <c r="E109" s="7"/>
      <c r="F109" s="103"/>
      <c r="G109" s="103"/>
      <c r="H109" s="103"/>
      <c r="I109" s="103"/>
      <c r="J109" s="103"/>
      <c r="K109" s="103"/>
    </row>
    <row r="110" spans="4:11" x14ac:dyDescent="0.3">
      <c r="D110" s="7"/>
      <c r="E110" s="7"/>
      <c r="F110" s="103"/>
      <c r="G110" s="103"/>
      <c r="H110" s="103"/>
      <c r="I110" s="103"/>
      <c r="J110" s="103"/>
      <c r="K110" s="103"/>
    </row>
    <row r="111" spans="4:11" x14ac:dyDescent="0.3">
      <c r="D111" s="7"/>
      <c r="E111" s="7"/>
      <c r="F111" s="103"/>
      <c r="G111" s="103"/>
      <c r="H111" s="103"/>
      <c r="I111" s="103"/>
      <c r="J111" s="103"/>
      <c r="K111" s="103"/>
    </row>
    <row r="112" spans="4:11" x14ac:dyDescent="0.3">
      <c r="D112" s="7"/>
      <c r="E112" s="7"/>
      <c r="F112" s="103"/>
      <c r="G112" s="103"/>
      <c r="H112" s="103"/>
      <c r="I112" s="103"/>
      <c r="J112" s="103"/>
      <c r="K112" s="103"/>
    </row>
    <row r="113" spans="2:11" x14ac:dyDescent="0.3">
      <c r="D113" s="7"/>
      <c r="E113" s="7"/>
      <c r="F113" s="103"/>
      <c r="G113" s="103"/>
      <c r="H113" s="103"/>
      <c r="I113" s="103"/>
      <c r="J113" s="103"/>
      <c r="K113" s="103"/>
    </row>
    <row r="114" spans="2:11" x14ac:dyDescent="0.3">
      <c r="D114" s="7"/>
      <c r="E114" s="7"/>
      <c r="F114" s="103"/>
      <c r="G114" s="103"/>
      <c r="H114" s="103"/>
      <c r="I114" s="103"/>
      <c r="J114" s="103"/>
      <c r="K114" s="103"/>
    </row>
    <row r="115" spans="2:11" x14ac:dyDescent="0.3">
      <c r="B115" s="37" t="s">
        <v>304</v>
      </c>
      <c r="D115" s="7"/>
      <c r="E115" s="7"/>
      <c r="F115" s="103"/>
      <c r="G115" s="103"/>
      <c r="H115" s="103"/>
      <c r="I115" s="103"/>
      <c r="J115" s="103"/>
      <c r="K115" s="103"/>
    </row>
    <row r="116" spans="2:11" x14ac:dyDescent="0.3">
      <c r="D116" s="7"/>
      <c r="E116" s="7"/>
      <c r="F116" s="103"/>
      <c r="G116" s="103"/>
      <c r="H116" s="103"/>
      <c r="I116" s="103"/>
      <c r="J116" s="103"/>
      <c r="K116" s="103"/>
    </row>
    <row r="117" spans="2:11" x14ac:dyDescent="0.3">
      <c r="D117" s="7"/>
      <c r="E117" s="7"/>
      <c r="F117" s="103"/>
      <c r="G117" s="103"/>
      <c r="H117" s="103"/>
      <c r="I117" s="103"/>
      <c r="J117" s="103"/>
      <c r="K117" s="103"/>
    </row>
    <row r="118" spans="2:11" x14ac:dyDescent="0.3">
      <c r="D118" s="7"/>
      <c r="E118" s="7"/>
      <c r="F118" s="103"/>
      <c r="G118" s="103"/>
      <c r="H118" s="103"/>
      <c r="I118" s="103"/>
      <c r="J118" s="103"/>
      <c r="K118" s="103"/>
    </row>
    <row r="119" spans="2:11" x14ac:dyDescent="0.3">
      <c r="D119" s="7"/>
      <c r="E119" s="7"/>
      <c r="F119" s="103"/>
      <c r="G119" s="103"/>
      <c r="H119" s="103"/>
      <c r="I119" s="103"/>
      <c r="J119" s="103"/>
      <c r="K119" s="103"/>
    </row>
    <row r="120" spans="2:11" x14ac:dyDescent="0.3">
      <c r="D120" s="7"/>
      <c r="E120" s="7"/>
      <c r="F120" s="103"/>
      <c r="G120" s="103"/>
      <c r="H120" s="103"/>
      <c r="I120" s="103"/>
      <c r="J120" s="103"/>
      <c r="K120" s="103"/>
    </row>
    <row r="121" spans="2:11" x14ac:dyDescent="0.3">
      <c r="D121" s="7"/>
      <c r="E121" s="7"/>
      <c r="F121" s="103"/>
      <c r="G121" s="103"/>
      <c r="H121" s="103"/>
      <c r="I121" s="103"/>
      <c r="J121" s="103"/>
      <c r="K121" s="103"/>
    </row>
    <row r="122" spans="2:11" x14ac:dyDescent="0.3">
      <c r="D122" s="7"/>
      <c r="E122" s="7"/>
      <c r="F122" s="103"/>
      <c r="G122" s="103"/>
      <c r="H122" s="103"/>
      <c r="I122" s="103"/>
      <c r="J122" s="103"/>
      <c r="K122" s="103"/>
    </row>
    <row r="123" spans="2:11" x14ac:dyDescent="0.3">
      <c r="D123" s="7"/>
      <c r="E123" s="7"/>
      <c r="F123" s="103"/>
      <c r="G123" s="103"/>
      <c r="H123" s="103"/>
      <c r="I123" s="103"/>
      <c r="J123" s="103"/>
      <c r="K123" s="103"/>
    </row>
    <row r="124" spans="2:11" x14ac:dyDescent="0.3">
      <c r="D124" s="7"/>
      <c r="E124" s="7"/>
      <c r="F124" s="103"/>
      <c r="G124" s="103"/>
      <c r="H124" s="103"/>
      <c r="I124" s="103"/>
      <c r="J124" s="103"/>
      <c r="K124" s="103"/>
    </row>
    <row r="125" spans="2:11" x14ac:dyDescent="0.3">
      <c r="D125" s="7"/>
      <c r="E125" s="7"/>
      <c r="F125" s="103"/>
      <c r="G125" s="103"/>
      <c r="H125" s="103"/>
      <c r="I125" s="103"/>
      <c r="J125" s="103"/>
      <c r="K125" s="103"/>
    </row>
    <row r="126" spans="2:11" x14ac:dyDescent="0.3">
      <c r="D126" s="7"/>
      <c r="E126" s="7"/>
      <c r="F126" s="103"/>
      <c r="G126" s="103"/>
      <c r="H126" s="103"/>
      <c r="I126" s="103"/>
      <c r="J126" s="103"/>
      <c r="K126" s="103"/>
    </row>
    <row r="127" spans="2:11" x14ac:dyDescent="0.3">
      <c r="D127" s="7"/>
      <c r="E127" s="7"/>
      <c r="F127" s="103"/>
      <c r="G127" s="103"/>
      <c r="H127" s="103"/>
      <c r="I127" s="103"/>
      <c r="J127" s="103"/>
      <c r="K127" s="103"/>
    </row>
    <row r="128" spans="2:11" x14ac:dyDescent="0.3">
      <c r="D128" s="7"/>
      <c r="E128" s="7"/>
      <c r="F128" s="103"/>
      <c r="G128" s="103"/>
      <c r="H128" s="103"/>
      <c r="I128" s="103"/>
      <c r="J128" s="103"/>
      <c r="K128" s="103"/>
    </row>
    <row r="129" spans="2:11" x14ac:dyDescent="0.3">
      <c r="D129" s="7"/>
      <c r="E129" s="7"/>
      <c r="F129" s="103"/>
      <c r="G129" s="103"/>
      <c r="H129" s="103"/>
      <c r="I129" s="103"/>
      <c r="J129" s="103"/>
      <c r="K129" s="103"/>
    </row>
    <row r="130" spans="2:11" x14ac:dyDescent="0.3">
      <c r="D130" s="7"/>
      <c r="E130" s="7"/>
      <c r="F130" s="103"/>
      <c r="G130" s="103"/>
      <c r="H130" s="103"/>
      <c r="I130" s="103"/>
      <c r="J130" s="103"/>
      <c r="K130" s="103"/>
    </row>
    <row r="131" spans="2:11" x14ac:dyDescent="0.3">
      <c r="D131" s="7"/>
      <c r="E131" s="7"/>
      <c r="F131" s="103"/>
      <c r="G131" s="103"/>
      <c r="H131" s="103"/>
      <c r="I131" s="103"/>
      <c r="J131" s="103"/>
      <c r="K131" s="103"/>
    </row>
    <row r="132" spans="2:11" x14ac:dyDescent="0.3">
      <c r="D132" s="7"/>
      <c r="E132" s="7"/>
      <c r="F132" s="103"/>
      <c r="G132" s="103"/>
      <c r="H132" s="103"/>
      <c r="I132" s="103"/>
      <c r="J132" s="103"/>
      <c r="K132" s="103"/>
    </row>
    <row r="133" spans="2:11" x14ac:dyDescent="0.3">
      <c r="D133" s="7"/>
      <c r="E133" s="7"/>
      <c r="F133" s="103"/>
      <c r="G133" s="103"/>
      <c r="H133" s="103"/>
      <c r="I133" s="103"/>
      <c r="J133" s="103"/>
      <c r="K133" s="103"/>
    </row>
    <row r="134" spans="2:11" x14ac:dyDescent="0.3">
      <c r="D134" s="7"/>
      <c r="E134" s="7"/>
      <c r="F134" s="103"/>
      <c r="G134" s="103"/>
      <c r="H134" s="103"/>
      <c r="I134" s="103"/>
      <c r="J134" s="103"/>
      <c r="K134" s="103"/>
    </row>
    <row r="135" spans="2:11" x14ac:dyDescent="0.3">
      <c r="D135" s="7"/>
      <c r="E135" s="7"/>
      <c r="F135" s="103"/>
      <c r="G135" s="103"/>
      <c r="H135" s="103"/>
      <c r="I135" s="103"/>
      <c r="J135" s="103"/>
      <c r="K135" s="103"/>
    </row>
    <row r="136" spans="2:11" x14ac:dyDescent="0.3">
      <c r="B136" s="37" t="s">
        <v>159</v>
      </c>
      <c r="D136" s="7"/>
      <c r="E136" s="7"/>
      <c r="F136" s="103"/>
      <c r="G136" s="103"/>
      <c r="H136" s="103"/>
      <c r="I136" s="103"/>
      <c r="J136" s="103"/>
      <c r="K136" s="103"/>
    </row>
    <row r="137" spans="2:11" x14ac:dyDescent="0.3">
      <c r="D137" s="7"/>
      <c r="E137" s="7"/>
      <c r="F137" s="103"/>
      <c r="G137" s="103"/>
      <c r="H137" s="103"/>
      <c r="I137" s="103"/>
      <c r="J137" s="103"/>
      <c r="K137" s="103"/>
    </row>
    <row r="138" spans="2:11" x14ac:dyDescent="0.3">
      <c r="D138" s="7"/>
      <c r="E138" s="7"/>
      <c r="F138" s="103"/>
      <c r="G138" s="103"/>
      <c r="H138" s="103"/>
      <c r="I138" s="103"/>
      <c r="J138" s="103"/>
      <c r="K138" s="103"/>
    </row>
    <row r="139" spans="2:11" x14ac:dyDescent="0.3">
      <c r="D139" s="7"/>
      <c r="E139" s="7"/>
      <c r="F139" s="103"/>
      <c r="G139" s="103"/>
      <c r="H139" s="103"/>
      <c r="I139" s="103"/>
      <c r="J139" s="103"/>
      <c r="K139" s="103"/>
    </row>
    <row r="140" spans="2:11" x14ac:dyDescent="0.3">
      <c r="D140" s="7"/>
      <c r="E140" s="7"/>
      <c r="F140" s="103"/>
      <c r="G140" s="103"/>
      <c r="H140" s="103"/>
      <c r="I140" s="103"/>
      <c r="J140" s="103"/>
      <c r="K140" s="103"/>
    </row>
    <row r="141" spans="2:11" x14ac:dyDescent="0.3">
      <c r="D141" s="7"/>
      <c r="E141" s="7"/>
      <c r="F141" s="103"/>
      <c r="G141" s="103"/>
      <c r="H141" s="103"/>
      <c r="I141" s="103"/>
      <c r="J141" s="103"/>
      <c r="K141" s="103"/>
    </row>
    <row r="142" spans="2:11" x14ac:dyDescent="0.3">
      <c r="D142" s="7"/>
      <c r="E142" s="7"/>
      <c r="F142" s="103"/>
      <c r="G142" s="103"/>
      <c r="H142" s="103"/>
      <c r="I142" s="103"/>
      <c r="J142" s="103"/>
      <c r="K142" s="103"/>
    </row>
    <row r="143" spans="2:11" x14ac:dyDescent="0.3">
      <c r="D143" s="7"/>
      <c r="E143" s="7"/>
      <c r="F143" s="103"/>
      <c r="G143" s="103"/>
      <c r="H143" s="103"/>
      <c r="I143" s="103"/>
      <c r="J143" s="103"/>
      <c r="K143" s="103"/>
    </row>
    <row r="144" spans="2:11" x14ac:dyDescent="0.3">
      <c r="D144" s="7"/>
      <c r="E144" s="7"/>
      <c r="F144" s="103"/>
      <c r="G144" s="103"/>
      <c r="H144" s="103"/>
      <c r="I144" s="103"/>
      <c r="J144" s="103"/>
      <c r="K144" s="103"/>
    </row>
    <row r="145" spans="2:11" x14ac:dyDescent="0.3">
      <c r="D145" s="7"/>
      <c r="E145" s="7"/>
      <c r="F145" s="103"/>
      <c r="G145" s="103"/>
      <c r="H145" s="103"/>
      <c r="I145" s="103"/>
      <c r="J145" s="103"/>
      <c r="K145" s="103"/>
    </row>
    <row r="146" spans="2:11" x14ac:dyDescent="0.3">
      <c r="D146" s="7"/>
      <c r="E146" s="7"/>
      <c r="F146" s="103"/>
      <c r="G146" s="103"/>
      <c r="H146" s="103"/>
      <c r="I146" s="103"/>
      <c r="J146" s="103"/>
      <c r="K146" s="103"/>
    </row>
    <row r="147" spans="2:11" x14ac:dyDescent="0.3">
      <c r="D147" s="7"/>
      <c r="E147" s="7"/>
      <c r="F147" s="103"/>
      <c r="G147" s="103"/>
      <c r="H147" s="103"/>
      <c r="I147" s="103"/>
      <c r="J147" s="103"/>
      <c r="K147" s="103"/>
    </row>
    <row r="148" spans="2:11" x14ac:dyDescent="0.3">
      <c r="D148" s="7"/>
      <c r="E148" s="7"/>
      <c r="F148" s="103"/>
      <c r="G148" s="103"/>
      <c r="H148" s="103"/>
      <c r="I148" s="103"/>
      <c r="J148" s="103"/>
      <c r="K148" s="103"/>
    </row>
    <row r="149" spans="2:11" x14ac:dyDescent="0.3">
      <c r="D149" s="7"/>
      <c r="E149" s="7"/>
      <c r="F149" s="103"/>
      <c r="G149" s="103"/>
      <c r="H149" s="103"/>
      <c r="I149" s="103"/>
      <c r="J149" s="103"/>
      <c r="K149" s="103"/>
    </row>
    <row r="150" spans="2:11" x14ac:dyDescent="0.3">
      <c r="D150" s="7"/>
      <c r="E150" s="7"/>
      <c r="F150" s="103"/>
      <c r="G150" s="103"/>
      <c r="H150" s="103"/>
      <c r="I150" s="103"/>
      <c r="J150" s="103"/>
      <c r="K150" s="103"/>
    </row>
    <row r="151" spans="2:11" x14ac:dyDescent="0.3">
      <c r="D151" s="7"/>
      <c r="E151" s="7"/>
      <c r="F151" s="103"/>
      <c r="G151" s="103"/>
      <c r="H151" s="103"/>
      <c r="I151" s="103"/>
      <c r="J151" s="103"/>
      <c r="K151" s="103"/>
    </row>
    <row r="152" spans="2:11" x14ac:dyDescent="0.3">
      <c r="D152" s="7"/>
      <c r="E152" s="7"/>
      <c r="F152" s="103"/>
      <c r="G152" s="103"/>
      <c r="H152" s="103"/>
      <c r="I152" s="103"/>
      <c r="J152" s="103"/>
      <c r="K152" s="103"/>
    </row>
    <row r="153" spans="2:11" x14ac:dyDescent="0.3">
      <c r="D153" s="7"/>
      <c r="E153" s="7"/>
      <c r="F153" s="103"/>
      <c r="G153" s="103"/>
      <c r="H153" s="103"/>
      <c r="I153" s="103"/>
      <c r="J153" s="103"/>
      <c r="K153" s="103"/>
    </row>
    <row r="154" spans="2:11" x14ac:dyDescent="0.3">
      <c r="D154" s="7"/>
      <c r="E154" s="7"/>
      <c r="F154" s="103"/>
      <c r="G154" s="103"/>
      <c r="H154" s="103"/>
      <c r="I154" s="103"/>
      <c r="J154" s="103"/>
      <c r="K154" s="103"/>
    </row>
    <row r="155" spans="2:11" x14ac:dyDescent="0.3">
      <c r="D155" s="7"/>
      <c r="E155" s="7"/>
      <c r="F155" s="103"/>
      <c r="G155" s="103"/>
      <c r="H155" s="103"/>
      <c r="I155" s="103"/>
      <c r="J155" s="103"/>
      <c r="K155" s="103"/>
    </row>
    <row r="156" spans="2:11" x14ac:dyDescent="0.3">
      <c r="D156" s="7"/>
      <c r="E156" s="7"/>
      <c r="F156" s="103"/>
      <c r="G156" s="103"/>
      <c r="H156" s="103"/>
      <c r="I156" s="103"/>
      <c r="J156" s="103"/>
      <c r="K156" s="103"/>
    </row>
    <row r="157" spans="2:11" x14ac:dyDescent="0.3">
      <c r="B157" s="37" t="s">
        <v>168</v>
      </c>
      <c r="D157" s="7"/>
      <c r="E157" s="7"/>
      <c r="F157" s="103"/>
      <c r="G157" s="103"/>
      <c r="H157" s="103"/>
      <c r="I157" s="103"/>
      <c r="J157" s="103"/>
      <c r="K157" s="103"/>
    </row>
    <row r="158" spans="2:11" x14ac:dyDescent="0.3">
      <c r="D158" s="7"/>
      <c r="E158" s="7"/>
      <c r="F158" s="103"/>
      <c r="G158" s="103"/>
      <c r="H158" s="103"/>
      <c r="I158" s="103"/>
      <c r="J158" s="103"/>
      <c r="K158" s="103"/>
    </row>
    <row r="159" spans="2:11" x14ac:dyDescent="0.3">
      <c r="D159" s="7"/>
      <c r="E159" s="7"/>
      <c r="F159" s="103"/>
      <c r="G159" s="103"/>
      <c r="H159" s="103"/>
      <c r="I159" s="103"/>
      <c r="J159" s="103"/>
      <c r="K159" s="103"/>
    </row>
    <row r="160" spans="2:11" x14ac:dyDescent="0.3">
      <c r="D160" s="7"/>
      <c r="E160" s="7"/>
      <c r="F160" s="103"/>
      <c r="G160" s="103"/>
      <c r="H160" s="103"/>
      <c r="I160" s="103"/>
      <c r="J160" s="103"/>
      <c r="K160" s="103"/>
    </row>
    <row r="161" spans="4:11" x14ac:dyDescent="0.3">
      <c r="D161" s="7"/>
      <c r="E161" s="7"/>
      <c r="F161" s="103"/>
      <c r="G161" s="103"/>
      <c r="H161" s="103"/>
      <c r="I161" s="103"/>
      <c r="J161" s="103"/>
      <c r="K161" s="103"/>
    </row>
    <row r="162" spans="4:11" x14ac:dyDescent="0.3">
      <c r="D162" s="7"/>
      <c r="E162" s="7"/>
      <c r="F162" s="103"/>
      <c r="G162" s="103"/>
      <c r="H162" s="103"/>
      <c r="I162" s="103"/>
      <c r="J162" s="103"/>
      <c r="K162" s="103"/>
    </row>
    <row r="163" spans="4:11" x14ac:dyDescent="0.3">
      <c r="D163" s="7"/>
      <c r="E163" s="7"/>
      <c r="F163" s="103"/>
      <c r="G163" s="103"/>
      <c r="H163" s="103"/>
      <c r="I163" s="103"/>
      <c r="J163" s="103"/>
      <c r="K163" s="103"/>
    </row>
    <row r="164" spans="4:11" x14ac:dyDescent="0.3">
      <c r="D164" s="7"/>
      <c r="E164" s="7"/>
      <c r="F164" s="103"/>
      <c r="G164" s="103"/>
      <c r="H164" s="103"/>
      <c r="I164" s="103"/>
      <c r="J164" s="103"/>
      <c r="K164" s="103"/>
    </row>
    <row r="165" spans="4:11" x14ac:dyDescent="0.3">
      <c r="D165" s="7"/>
      <c r="E165" s="7"/>
      <c r="F165" s="103"/>
      <c r="G165" s="103"/>
      <c r="H165" s="103"/>
      <c r="I165" s="103"/>
      <c r="J165" s="103"/>
      <c r="K165" s="103"/>
    </row>
    <row r="166" spans="4:11" x14ac:dyDescent="0.3">
      <c r="D166" s="7"/>
      <c r="E166" s="7"/>
      <c r="F166" s="103"/>
      <c r="G166" s="103"/>
      <c r="H166" s="103"/>
      <c r="I166" s="103"/>
      <c r="J166" s="103"/>
      <c r="K166" s="103"/>
    </row>
    <row r="167" spans="4:11" x14ac:dyDescent="0.3">
      <c r="D167" s="7"/>
      <c r="E167" s="7"/>
      <c r="F167" s="103"/>
      <c r="G167" s="103"/>
      <c r="H167" s="103"/>
      <c r="I167" s="103"/>
      <c r="J167" s="103"/>
      <c r="K167" s="103"/>
    </row>
    <row r="168" spans="4:11" x14ac:dyDescent="0.3">
      <c r="D168" s="7"/>
      <c r="E168" s="7"/>
      <c r="F168" s="103"/>
      <c r="G168" s="103"/>
      <c r="H168" s="103"/>
      <c r="I168" s="103"/>
      <c r="J168" s="103"/>
      <c r="K168" s="103"/>
    </row>
    <row r="169" spans="4:11" x14ac:dyDescent="0.3">
      <c r="D169" s="7"/>
      <c r="E169" s="7"/>
      <c r="F169" s="103"/>
      <c r="G169" s="103"/>
      <c r="H169" s="103"/>
      <c r="I169" s="103"/>
      <c r="J169" s="103"/>
      <c r="K169" s="103"/>
    </row>
    <row r="170" spans="4:11" x14ac:dyDescent="0.3">
      <c r="D170" s="7"/>
      <c r="E170" s="7"/>
      <c r="F170" s="103"/>
      <c r="G170" s="103"/>
      <c r="H170" s="103"/>
      <c r="I170" s="103"/>
      <c r="J170" s="103"/>
      <c r="K170" s="103"/>
    </row>
    <row r="171" spans="4:11" x14ac:dyDescent="0.3">
      <c r="D171" s="7"/>
      <c r="E171" s="7"/>
      <c r="F171" s="103"/>
      <c r="G171" s="103"/>
      <c r="H171" s="103"/>
      <c r="I171" s="103"/>
      <c r="J171" s="103"/>
      <c r="K171" s="103"/>
    </row>
    <row r="172" spans="4:11" x14ac:dyDescent="0.3">
      <c r="D172" s="7"/>
      <c r="E172" s="7"/>
      <c r="F172" s="103"/>
      <c r="G172" s="103"/>
      <c r="H172" s="103"/>
      <c r="I172" s="103"/>
      <c r="J172" s="103"/>
      <c r="K172" s="103"/>
    </row>
    <row r="173" spans="4:11" x14ac:dyDescent="0.3">
      <c r="D173" s="7"/>
      <c r="E173" s="7"/>
      <c r="F173" s="103"/>
      <c r="G173" s="103"/>
      <c r="H173" s="103"/>
      <c r="I173" s="103"/>
      <c r="J173" s="103"/>
      <c r="K173" s="103"/>
    </row>
    <row r="174" spans="4:11" x14ac:dyDescent="0.3">
      <c r="D174" s="7"/>
      <c r="E174" s="7"/>
      <c r="F174" s="103"/>
      <c r="G174" s="103"/>
      <c r="H174" s="103"/>
      <c r="I174" s="103"/>
      <c r="J174" s="103"/>
      <c r="K174" s="103"/>
    </row>
    <row r="175" spans="4:11" x14ac:dyDescent="0.3">
      <c r="D175" s="7"/>
      <c r="E175" s="7"/>
      <c r="F175" s="103"/>
      <c r="G175" s="103"/>
      <c r="H175" s="103"/>
      <c r="I175" s="103"/>
      <c r="J175" s="103"/>
      <c r="K175" s="103"/>
    </row>
    <row r="176" spans="4:11" x14ac:dyDescent="0.3">
      <c r="D176" s="7"/>
      <c r="E176" s="7"/>
      <c r="F176" s="103"/>
      <c r="G176" s="103"/>
      <c r="H176" s="103"/>
      <c r="I176" s="103"/>
      <c r="J176" s="103"/>
      <c r="K176" s="103"/>
    </row>
    <row r="177" spans="2:11" x14ac:dyDescent="0.3">
      <c r="D177" s="7"/>
      <c r="E177" s="7"/>
      <c r="F177" s="103"/>
      <c r="G177" s="103"/>
      <c r="H177" s="103"/>
      <c r="I177" s="103"/>
      <c r="J177" s="103"/>
      <c r="K177" s="103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67" priority="51" operator="greaterThan">
      <formula>$C3</formula>
    </cfRule>
  </conditionalFormatting>
  <conditionalFormatting sqref="D12">
    <cfRule type="cellIs" dxfId="66" priority="49" operator="lessThan">
      <formula>$C12</formula>
    </cfRule>
  </conditionalFormatting>
  <conditionalFormatting sqref="D15:G15 K15">
    <cfRule type="cellIs" dxfId="65" priority="47" operator="greaterThan">
      <formula>$C$15</formula>
    </cfRule>
  </conditionalFormatting>
  <conditionalFormatting sqref="E3:G3 K3">
    <cfRule type="cellIs" dxfId="64" priority="43" operator="greaterThan">
      <formula>$C3</formula>
    </cfRule>
  </conditionalFormatting>
  <conditionalFormatting sqref="D51:G51 K51">
    <cfRule type="cellIs" dxfId="63" priority="42" operator="greaterThan">
      <formula>$C51</formula>
    </cfRule>
  </conditionalFormatting>
  <conditionalFormatting sqref="D62:G62 K62">
    <cfRule type="cellIs" dxfId="62" priority="41" operator="greaterThan">
      <formula>$C62</formula>
    </cfRule>
  </conditionalFormatting>
  <conditionalFormatting sqref="D64:G64 K64">
    <cfRule type="cellIs" dxfId="61" priority="40" operator="greaterThan">
      <formula>$C64</formula>
    </cfRule>
  </conditionalFormatting>
  <conditionalFormatting sqref="E12:G12 K12">
    <cfRule type="cellIs" dxfId="60" priority="39" operator="lessThan">
      <formula>$C12</formula>
    </cfRule>
  </conditionalFormatting>
  <conditionalFormatting sqref="D76:G77">
    <cfRule type="cellIs" dxfId="59" priority="38" operator="lessThan">
      <formula>$C76</formula>
    </cfRule>
  </conditionalFormatting>
  <conditionalFormatting sqref="E76:G77 K76:K77">
    <cfRule type="cellIs" dxfId="58" priority="37" operator="lessThan">
      <formula>$C76</formula>
    </cfRule>
  </conditionalFormatting>
  <conditionalFormatting sqref="D65 E65:G66 K65:K66">
    <cfRule type="expression" dxfId="57" priority="28">
      <formula>D$65+D$66&gt;=$C$66</formula>
    </cfRule>
  </conditionalFormatting>
  <conditionalFormatting sqref="D66">
    <cfRule type="expression" dxfId="56" priority="26">
      <formula>D$65+D$66&gt;=$C$66</formula>
    </cfRule>
  </conditionalFormatting>
  <conditionalFormatting sqref="H15">
    <cfRule type="cellIs" dxfId="55" priority="24" operator="greaterThan">
      <formula>$C$15</formula>
    </cfRule>
  </conditionalFormatting>
  <conditionalFormatting sqref="H3">
    <cfRule type="cellIs" dxfId="54" priority="23" operator="greaterThan">
      <formula>$C3</formula>
    </cfRule>
  </conditionalFormatting>
  <conditionalFormatting sqref="H51">
    <cfRule type="cellIs" dxfId="53" priority="22" operator="greaterThan">
      <formula>$C51</formula>
    </cfRule>
  </conditionalFormatting>
  <conditionalFormatting sqref="H62">
    <cfRule type="cellIs" dxfId="52" priority="21" operator="greaterThan">
      <formula>$C62</formula>
    </cfRule>
  </conditionalFormatting>
  <conditionalFormatting sqref="H64">
    <cfRule type="cellIs" dxfId="51" priority="20" operator="greaterThan">
      <formula>$C64</formula>
    </cfRule>
  </conditionalFormatting>
  <conditionalFormatting sqref="H12">
    <cfRule type="cellIs" dxfId="50" priority="19" operator="lessThan">
      <formula>$C12</formula>
    </cfRule>
  </conditionalFormatting>
  <conditionalFormatting sqref="H76:H77">
    <cfRule type="cellIs" dxfId="49" priority="18" operator="lessThan">
      <formula>$C76</formula>
    </cfRule>
  </conditionalFormatting>
  <conditionalFormatting sqref="H65:H66">
    <cfRule type="expression" dxfId="48" priority="17">
      <formula>H$65+H$66&gt;=$C$66</formula>
    </cfRule>
  </conditionalFormatting>
  <conditionalFormatting sqref="I15">
    <cfRule type="cellIs" dxfId="47" priority="16" operator="greaterThan">
      <formula>$C$15</formula>
    </cfRule>
  </conditionalFormatting>
  <conditionalFormatting sqref="I3">
    <cfRule type="cellIs" dxfId="46" priority="15" operator="greaterThan">
      <formula>$C3</formula>
    </cfRule>
  </conditionalFormatting>
  <conditionalFormatting sqref="I51">
    <cfRule type="cellIs" dxfId="45" priority="14" operator="greaterThan">
      <formula>$C51</formula>
    </cfRule>
  </conditionalFormatting>
  <conditionalFormatting sqref="I62">
    <cfRule type="cellIs" dxfId="44" priority="13" operator="greaterThan">
      <formula>$C62</formula>
    </cfRule>
  </conditionalFormatting>
  <conditionalFormatting sqref="I64">
    <cfRule type="cellIs" dxfId="43" priority="12" operator="greaterThan">
      <formula>$C64</formula>
    </cfRule>
  </conditionalFormatting>
  <conditionalFormatting sqref="I12">
    <cfRule type="cellIs" dxfId="42" priority="11" operator="lessThan">
      <formula>$C12</formula>
    </cfRule>
  </conditionalFormatting>
  <conditionalFormatting sqref="I76:I77">
    <cfRule type="cellIs" dxfId="41" priority="10" operator="lessThan">
      <formula>$C76</formula>
    </cfRule>
  </conditionalFormatting>
  <conditionalFormatting sqref="I65:I66">
    <cfRule type="expression" dxfId="40" priority="9">
      <formula>I$65+I$66&gt;=$C$66</formula>
    </cfRule>
  </conditionalFormatting>
  <conditionalFormatting sqref="J15">
    <cfRule type="cellIs" dxfId="39" priority="8" operator="greaterThan">
      <formula>$C$15</formula>
    </cfRule>
  </conditionalFormatting>
  <conditionalFormatting sqref="J3">
    <cfRule type="cellIs" dxfId="38" priority="7" operator="greaterThan">
      <formula>$C3</formula>
    </cfRule>
  </conditionalFormatting>
  <conditionalFormatting sqref="J51">
    <cfRule type="cellIs" dxfId="37" priority="6" operator="greaterThan">
      <formula>$C51</formula>
    </cfRule>
  </conditionalFormatting>
  <conditionalFormatting sqref="J62">
    <cfRule type="cellIs" dxfId="36" priority="5" operator="greaterThan">
      <formula>$C62</formula>
    </cfRule>
  </conditionalFormatting>
  <conditionalFormatting sqref="J64">
    <cfRule type="cellIs" dxfId="35" priority="4" operator="greaterThan">
      <formula>$C64</formula>
    </cfRule>
  </conditionalFormatting>
  <conditionalFormatting sqref="J12">
    <cfRule type="cellIs" dxfId="34" priority="3" operator="lessThan">
      <formula>$C12</formula>
    </cfRule>
  </conditionalFormatting>
  <conditionalFormatting sqref="J76:J77">
    <cfRule type="cellIs" dxfId="33" priority="2" operator="lessThan">
      <formula>$C76</formula>
    </cfRule>
  </conditionalFormatting>
  <conditionalFormatting sqref="J65: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2024-12-27T12:04:06Z</dcterms:modified>
</cp:coreProperties>
</file>