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5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27" i="5"/>
  <c r="H28" i="5" s="1"/>
  <c r="H26" i="5"/>
  <c r="H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10" i="10"/>
  <c r="H14" i="10" s="1"/>
  <c r="H16" i="10" s="1"/>
  <c r="H9" i="10"/>
  <c r="H8" i="10"/>
  <c r="H7" i="10"/>
  <c r="H6" i="10"/>
  <c r="H5" i="10"/>
  <c r="H4" i="10"/>
  <c r="H3" i="10"/>
  <c r="H2" i="10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H23" i="1"/>
  <c r="H19" i="1"/>
  <c r="H13" i="1"/>
  <c r="H7" i="1"/>
  <c r="H21" i="1" s="1"/>
  <c r="I28" i="6" l="1"/>
  <c r="K26" i="8"/>
  <c r="K25" i="8"/>
  <c r="K23" i="8"/>
  <c r="K20" i="8"/>
  <c r="K19" i="8"/>
  <c r="K18" i="8"/>
  <c r="K17" i="8"/>
  <c r="K16" i="8"/>
  <c r="K14" i="8"/>
  <c r="K13" i="8"/>
  <c r="K12" i="8"/>
  <c r="K7" i="8"/>
  <c r="K15" i="7"/>
  <c r="K14" i="7"/>
  <c r="K13" i="7"/>
  <c r="K12" i="7"/>
  <c r="K8" i="7"/>
  <c r="K6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H5" i="7" s="1"/>
  <c r="Z57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20" i="8"/>
  <c r="H30" i="8"/>
  <c r="H31" i="8" s="1"/>
  <c r="H21" i="8"/>
  <c r="H15" i="7"/>
  <c r="H11" i="7"/>
  <c r="H16" i="7" s="1"/>
  <c r="H20" i="7"/>
  <c r="H21" i="7" s="1"/>
  <c r="T53" i="2" l="1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V19" i="2"/>
  <c r="V18" i="2"/>
  <c r="V17" i="2"/>
  <c r="U16" i="2"/>
  <c r="T16" i="2"/>
  <c r="V16" i="2" s="1"/>
  <c r="U15" i="2"/>
  <c r="U57" i="2" s="1"/>
  <c r="T15" i="2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4" i="2" l="1"/>
  <c r="T57" i="2"/>
  <c r="V15" i="2"/>
  <c r="U20" i="2"/>
  <c r="U21" i="2" s="1"/>
  <c r="U59" i="2" s="1"/>
  <c r="V48" i="2"/>
  <c r="U54" i="2"/>
  <c r="U55" i="2" s="1"/>
  <c r="T58" i="2"/>
  <c r="T21" i="2"/>
  <c r="U58" i="2"/>
  <c r="T56" i="2"/>
  <c r="U60" i="2"/>
  <c r="G3" i="13"/>
  <c r="G4" i="13"/>
  <c r="V54" i="2" l="1"/>
  <c r="T55" i="2"/>
  <c r="V55" i="2" s="1"/>
  <c r="V21" i="2"/>
  <c r="T59" i="2"/>
  <c r="V20" i="2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27" i="8"/>
  <c r="G10" i="8"/>
  <c r="G20" i="8"/>
  <c r="G5" i="7"/>
  <c r="G15" i="7"/>
  <c r="G11" i="7"/>
  <c r="G21" i="8" l="1"/>
  <c r="G30" i="8"/>
  <c r="G16" i="7"/>
  <c r="G20" i="7"/>
  <c r="Q53" i="2"/>
  <c r="S53" i="2" s="1"/>
  <c r="R52" i="2"/>
  <c r="Q52" i="2"/>
  <c r="S52" i="2" s="1"/>
  <c r="R51" i="2"/>
  <c r="Q51" i="2"/>
  <c r="Q54" i="2" s="1"/>
  <c r="R50" i="2"/>
  <c r="Q50" i="2"/>
  <c r="S50" i="2" s="1"/>
  <c r="R49" i="2"/>
  <c r="Q49" i="2"/>
  <c r="S49" i="2" s="1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Q20" i="2"/>
  <c r="S19" i="2"/>
  <c r="S18" i="2"/>
  <c r="S17" i="2"/>
  <c r="R16" i="2"/>
  <c r="Q16" i="2"/>
  <c r="R15" i="2"/>
  <c r="Q15" i="2"/>
  <c r="R14" i="2"/>
  <c r="S14" i="2" s="1"/>
  <c r="Q14" i="2"/>
  <c r="S13" i="2"/>
  <c r="S12" i="2"/>
  <c r="S11" i="2"/>
  <c r="S10" i="2"/>
  <c r="S9" i="2"/>
  <c r="S8" i="2"/>
  <c r="S7" i="2"/>
  <c r="S6" i="2"/>
  <c r="S5" i="2"/>
  <c r="S4" i="2"/>
  <c r="S3" i="2"/>
  <c r="G27" i="5"/>
  <c r="G28" i="5" s="1"/>
  <c r="G26" i="5"/>
  <c r="G13" i="5"/>
  <c r="G15" i="10"/>
  <c r="G13" i="10"/>
  <c r="G12" i="10"/>
  <c r="G11" i="10"/>
  <c r="G8" i="10"/>
  <c r="G7" i="10"/>
  <c r="G6" i="10"/>
  <c r="G5" i="10"/>
  <c r="G4" i="10"/>
  <c r="G3" i="10"/>
  <c r="H21" i="6"/>
  <c r="H10" i="6"/>
  <c r="G2" i="10" s="1"/>
  <c r="G23" i="1"/>
  <c r="G19" i="1"/>
  <c r="G13" i="1"/>
  <c r="G7" i="1"/>
  <c r="G21" i="1" s="1"/>
  <c r="G10" i="10" l="1"/>
  <c r="G14" i="10" s="1"/>
  <c r="G16" i="10" s="1"/>
  <c r="H28" i="6"/>
  <c r="H29" i="6"/>
  <c r="G9" i="10" s="1"/>
  <c r="R20" i="2"/>
  <c r="S16" i="2"/>
  <c r="G4" i="9"/>
  <c r="R56" i="2"/>
  <c r="G31" i="8"/>
  <c r="Q57" i="2"/>
  <c r="Q21" i="2"/>
  <c r="Q56" i="2"/>
  <c r="G2" i="9" s="1"/>
  <c r="G21" i="7"/>
  <c r="Q55" i="2"/>
  <c r="S48" i="2"/>
  <c r="R54" i="2"/>
  <c r="R55" i="2" s="1"/>
  <c r="R57" i="2"/>
  <c r="S20" i="2"/>
  <c r="S51" i="2"/>
  <c r="Q58" i="2"/>
  <c r="G5" i="9" s="1"/>
  <c r="S15" i="2"/>
  <c r="R58" i="2"/>
  <c r="R60" i="2"/>
  <c r="G5" i="13"/>
  <c r="G6" i="13"/>
  <c r="G3" i="9" l="1"/>
  <c r="R21" i="2"/>
  <c r="S55" i="2"/>
  <c r="S54" i="2"/>
  <c r="Q59" i="2"/>
  <c r="G6" i="9" s="1"/>
  <c r="G11" i="13"/>
  <c r="G10" i="13"/>
  <c r="G9" i="13"/>
  <c r="G8" i="13"/>
  <c r="G7" i="13"/>
  <c r="S21" i="2" l="1"/>
  <c r="R59" i="2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1" i="7" l="1"/>
  <c r="F10" i="8"/>
  <c r="F15" i="8"/>
  <c r="F27" i="8"/>
  <c r="F20" i="8"/>
  <c r="F5" i="7"/>
  <c r="F15" i="7"/>
  <c r="F16" i="7" l="1"/>
  <c r="F21" i="8"/>
  <c r="F20" i="7"/>
  <c r="F30" i="8"/>
  <c r="F21" i="7" l="1"/>
  <c r="F31" i="8"/>
  <c r="N53" i="2"/>
  <c r="P53" i="2" s="1"/>
  <c r="P52" i="2"/>
  <c r="O52" i="2"/>
  <c r="N52" i="2"/>
  <c r="P51" i="2"/>
  <c r="O51" i="2"/>
  <c r="N51" i="2"/>
  <c r="O50" i="2"/>
  <c r="N50" i="2"/>
  <c r="P50" i="2" s="1"/>
  <c r="O49" i="2"/>
  <c r="O61" i="2" s="1"/>
  <c r="N49" i="2"/>
  <c r="P49" i="2" s="1"/>
  <c r="O48" i="2"/>
  <c r="O54" i="2" s="1"/>
  <c r="O55" i="2" s="1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N56" i="2" s="1"/>
  <c r="F2" i="9" s="1"/>
  <c r="P13" i="2"/>
  <c r="P12" i="2"/>
  <c r="P11" i="2"/>
  <c r="P10" i="2"/>
  <c r="P9" i="2"/>
  <c r="P8" i="2"/>
  <c r="P7" i="2"/>
  <c r="P6" i="2"/>
  <c r="P5" i="2"/>
  <c r="P4" i="2"/>
  <c r="P3" i="2"/>
  <c r="F27" i="5"/>
  <c r="F28" i="5" s="1"/>
  <c r="F26" i="5"/>
  <c r="F13" i="5"/>
  <c r="F15" i="10"/>
  <c r="F13" i="10"/>
  <c r="F12" i="10"/>
  <c r="F11" i="10"/>
  <c r="F8" i="10"/>
  <c r="F7" i="10"/>
  <c r="F6" i="10"/>
  <c r="F5" i="10"/>
  <c r="F4" i="10"/>
  <c r="F3" i="10"/>
  <c r="G21" i="6"/>
  <c r="G10" i="6"/>
  <c r="F23" i="1"/>
  <c r="F19" i="1"/>
  <c r="F13" i="1"/>
  <c r="F7" i="1"/>
  <c r="F21" i="1" s="1"/>
  <c r="G28" i="6" l="1"/>
  <c r="G29" i="6"/>
  <c r="F9" i="10" s="1"/>
  <c r="F2" i="10"/>
  <c r="F10" i="10" s="1"/>
  <c r="F14" i="10" s="1"/>
  <c r="F16" i="10" s="1"/>
  <c r="N20" i="2"/>
  <c r="O58" i="2"/>
  <c r="P15" i="2"/>
  <c r="O57" i="2"/>
  <c r="P16" i="2"/>
  <c r="F4" i="9"/>
  <c r="N21" i="2"/>
  <c r="P14" i="2"/>
  <c r="N54" i="2"/>
  <c r="N57" i="2"/>
  <c r="O60" i="2"/>
  <c r="O56" i="2"/>
  <c r="O20" i="2"/>
  <c r="N58" i="2"/>
  <c r="I27" i="5"/>
  <c r="E27" i="5"/>
  <c r="D27" i="5"/>
  <c r="C27" i="5"/>
  <c r="B27" i="5"/>
  <c r="F5" i="9" l="1"/>
  <c r="O21" i="2"/>
  <c r="O59" i="2" s="1"/>
  <c r="F3" i="9"/>
  <c r="P20" i="2"/>
  <c r="N55" i="2"/>
  <c r="P55" i="2" s="1"/>
  <c r="P54" i="2"/>
  <c r="N59" i="2"/>
  <c r="F6" i="9" s="1"/>
  <c r="P21" i="2"/>
  <c r="H9" i="12" l="1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15" i="7"/>
  <c r="E10" i="8"/>
  <c r="E15" i="8"/>
  <c r="E20" i="8"/>
  <c r="E27" i="8"/>
  <c r="E11" i="7"/>
  <c r="E21" i="8" l="1"/>
  <c r="E20" i="7"/>
  <c r="E16" i="7"/>
  <c r="E21" i="7" l="1"/>
  <c r="K53" i="2"/>
  <c r="L52" i="2"/>
  <c r="K52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I26" i="5"/>
  <c r="I13" i="5"/>
  <c r="I15" i="10"/>
  <c r="I13" i="10"/>
  <c r="I12" i="10"/>
  <c r="I11" i="10"/>
  <c r="I8" i="10"/>
  <c r="I7" i="10"/>
  <c r="I6" i="10"/>
  <c r="I4" i="10"/>
  <c r="I3" i="10"/>
  <c r="J21" i="6"/>
  <c r="K21" i="6" s="1"/>
  <c r="J10" i="6"/>
  <c r="K10" i="6" s="1"/>
  <c r="J29" i="6" l="1"/>
  <c r="K29" i="6" s="1"/>
  <c r="I5" i="10"/>
  <c r="I2" i="10"/>
  <c r="K54" i="2"/>
  <c r="L54" i="2"/>
  <c r="E29" i="8"/>
  <c r="K20" i="2"/>
  <c r="K21" i="2" s="1"/>
  <c r="M15" i="2"/>
  <c r="L61" i="2"/>
  <c r="M50" i="2"/>
  <c r="E28" i="8"/>
  <c r="M53" i="2"/>
  <c r="L60" i="2"/>
  <c r="M16" i="2"/>
  <c r="E4" i="9"/>
  <c r="M48" i="2"/>
  <c r="L57" i="2"/>
  <c r="K57" i="2"/>
  <c r="M49" i="2"/>
  <c r="M51" i="2"/>
  <c r="M52" i="2"/>
  <c r="M54" i="2"/>
  <c r="K55" i="2"/>
  <c r="L56" i="2"/>
  <c r="L58" i="2"/>
  <c r="L20" i="2"/>
  <c r="M14" i="2"/>
  <c r="K56" i="2"/>
  <c r="K58" i="2"/>
  <c r="I28" i="5"/>
  <c r="J28" i="6"/>
  <c r="K28" i="6" s="1"/>
  <c r="I23" i="1"/>
  <c r="I19" i="1"/>
  <c r="I13" i="1"/>
  <c r="I7" i="1"/>
  <c r="I9" i="10" l="1"/>
  <c r="I10" i="10"/>
  <c r="L21" i="2"/>
  <c r="L55" i="2"/>
  <c r="M55" i="2"/>
  <c r="E5" i="9"/>
  <c r="E2" i="9"/>
  <c r="E3" i="9"/>
  <c r="E30" i="8"/>
  <c r="M20" i="2"/>
  <c r="K59" i="2"/>
  <c r="E6" i="9" s="1"/>
  <c r="M21" i="2"/>
  <c r="I21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K4" i="9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AA57" i="2" s="1"/>
  <c r="W57" i="2"/>
  <c r="I3" i="9" s="1"/>
  <c r="J3" i="9" s="1"/>
  <c r="X56" i="2"/>
  <c r="AA56" i="2" s="1"/>
  <c r="W56" i="2"/>
  <c r="Z56" i="2" s="1"/>
  <c r="J53" i="2"/>
  <c r="H53" i="2"/>
  <c r="D29" i="8" s="1"/>
  <c r="I52" i="2"/>
  <c r="H52" i="2"/>
  <c r="J52" i="2" s="1"/>
  <c r="I51" i="2"/>
  <c r="H51" i="2"/>
  <c r="I50" i="2"/>
  <c r="H50" i="2"/>
  <c r="J50" i="2" s="1"/>
  <c r="I49" i="2"/>
  <c r="H49" i="2"/>
  <c r="J49" i="2" s="1"/>
  <c r="I48" i="2"/>
  <c r="I54" i="2" s="1"/>
  <c r="I55" i="2" s="1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J16" i="2" s="1"/>
  <c r="I15" i="2"/>
  <c r="I57" i="2" s="1"/>
  <c r="H15" i="2"/>
  <c r="H57" i="2" s="1"/>
  <c r="D3" i="9" s="1"/>
  <c r="I14" i="2"/>
  <c r="H14" i="2"/>
  <c r="J14" i="2" s="1"/>
  <c r="J13" i="2"/>
  <c r="J12" i="2"/>
  <c r="J11" i="2"/>
  <c r="J10" i="2"/>
  <c r="J9" i="2"/>
  <c r="J8" i="2"/>
  <c r="J7" i="2"/>
  <c r="J6" i="2"/>
  <c r="J5" i="2"/>
  <c r="J4" i="2"/>
  <c r="J3" i="2"/>
  <c r="E26" i="5"/>
  <c r="E13" i="5"/>
  <c r="E15" i="10"/>
  <c r="E13" i="10"/>
  <c r="E12" i="10"/>
  <c r="E11" i="10"/>
  <c r="E8" i="10"/>
  <c r="E7" i="10"/>
  <c r="E6" i="10"/>
  <c r="E4" i="10"/>
  <c r="E3" i="10"/>
  <c r="F21" i="6"/>
  <c r="F10" i="6"/>
  <c r="C23" i="1"/>
  <c r="D23" i="1"/>
  <c r="E23" i="1"/>
  <c r="B23" i="1"/>
  <c r="E2" i="10" l="1"/>
  <c r="F29" i="6"/>
  <c r="E9" i="10" s="1"/>
  <c r="K3" i="9"/>
  <c r="I14" i="10"/>
  <c r="K2" i="9"/>
  <c r="K5" i="9"/>
  <c r="I58" i="2"/>
  <c r="J48" i="2"/>
  <c r="J51" i="2"/>
  <c r="I2" i="9"/>
  <c r="J2" i="9" s="1"/>
  <c r="I5" i="9"/>
  <c r="J5" i="9" s="1"/>
  <c r="H56" i="2"/>
  <c r="D2" i="9" s="1"/>
  <c r="H58" i="2"/>
  <c r="D5" i="9" s="1"/>
  <c r="I60" i="2"/>
  <c r="I61" i="2"/>
  <c r="D4" i="9"/>
  <c r="E31" i="8"/>
  <c r="J15" i="2"/>
  <c r="I56" i="2"/>
  <c r="D28" i="8"/>
  <c r="L59" i="2"/>
  <c r="D5" i="7"/>
  <c r="D27" i="8"/>
  <c r="E5" i="10"/>
  <c r="D10" i="8"/>
  <c r="D20" i="8"/>
  <c r="D15" i="8"/>
  <c r="D11" i="7"/>
  <c r="D15" i="7"/>
  <c r="H20" i="2"/>
  <c r="H54" i="2"/>
  <c r="I20" i="2"/>
  <c r="I21" i="2" s="1"/>
  <c r="I59" i="2" s="1"/>
  <c r="E28" i="5"/>
  <c r="F28" i="6"/>
  <c r="I16" i="10" l="1"/>
  <c r="D30" i="8"/>
  <c r="D31" i="8" s="1"/>
  <c r="D20" i="7"/>
  <c r="E10" i="10"/>
  <c r="D21" i="8"/>
  <c r="D16" i="7"/>
  <c r="J20" i="2"/>
  <c r="H21" i="2"/>
  <c r="J54" i="2"/>
  <c r="H55" i="2"/>
  <c r="J55" i="2" s="1"/>
  <c r="H59" i="2" l="1"/>
  <c r="D6" i="9" s="1"/>
  <c r="D21" i="7"/>
  <c r="E14" i="10"/>
  <c r="J21" i="2"/>
  <c r="E16" i="10" l="1"/>
  <c r="E19" i="1"/>
  <c r="E13" i="1"/>
  <c r="E7" i="1"/>
  <c r="E21" i="1" l="1"/>
  <c r="F52" i="2"/>
  <c r="E52" i="2"/>
  <c r="E53" i="2" l="1"/>
  <c r="F51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E15" i="2"/>
  <c r="F14" i="2"/>
  <c r="E14" i="2"/>
  <c r="D13" i="1"/>
  <c r="B24" i="5"/>
  <c r="B21" i="5"/>
  <c r="B5" i="5"/>
  <c r="C16" i="6"/>
  <c r="C5" i="6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C57" i="2" s="1"/>
  <c r="B15" i="2"/>
  <c r="C14" i="2"/>
  <c r="B14" i="2"/>
  <c r="B12" i="1"/>
  <c r="B20" i="2" l="1"/>
  <c r="B21" i="2" s="1"/>
  <c r="B57" i="2"/>
  <c r="B3" i="9" s="1"/>
  <c r="F20" i="2"/>
  <c r="F21" i="2" s="1"/>
  <c r="F57" i="2"/>
  <c r="C61" i="2"/>
  <c r="E58" i="2"/>
  <c r="C5" i="9" s="1"/>
  <c r="E56" i="2"/>
  <c r="C2" i="9" s="1"/>
  <c r="B58" i="2"/>
  <c r="B5" i="9" s="1"/>
  <c r="B56" i="2"/>
  <c r="B2" i="9" s="1"/>
  <c r="B4" i="9"/>
  <c r="F60" i="2"/>
  <c r="F58" i="2"/>
  <c r="F56" i="2"/>
  <c r="C58" i="2"/>
  <c r="C56" i="2"/>
  <c r="C60" i="2"/>
  <c r="E57" i="2"/>
  <c r="C3" i="9" s="1"/>
  <c r="C20" i="2"/>
  <c r="C21" i="2" s="1"/>
  <c r="E20" i="2"/>
  <c r="E21" i="2" s="1"/>
  <c r="D21" i="6" l="1"/>
  <c r="E21" i="6"/>
  <c r="C21" i="6"/>
  <c r="E10" i="6"/>
  <c r="E29" i="6" s="1"/>
  <c r="D9" i="10" s="1"/>
  <c r="D10" i="6"/>
  <c r="D29" i="6" s="1"/>
  <c r="C9" i="10" s="1"/>
  <c r="C10" i="6"/>
  <c r="C29" i="6" s="1"/>
  <c r="B9" i="10" s="1"/>
  <c r="C19" i="1" l="1"/>
  <c r="B19" i="1"/>
  <c r="D19" i="1"/>
  <c r="B13" i="1"/>
  <c r="C13" i="1"/>
  <c r="B7" i="1"/>
  <c r="C7" i="1"/>
  <c r="D7" i="1"/>
  <c r="D26" i="5" l="1"/>
  <c r="C26" i="5"/>
  <c r="B26" i="5"/>
  <c r="D13" i="5"/>
  <c r="C13" i="5"/>
  <c r="B13" i="5"/>
  <c r="D28" i="6"/>
  <c r="E28" i="6"/>
  <c r="C28" i="6"/>
  <c r="D28" i="5" l="1"/>
  <c r="B21" i="1"/>
  <c r="C21" i="1"/>
  <c r="D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I13" i="8"/>
  <c r="M13" i="8" s="1"/>
  <c r="I12" i="8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K18" i="7" s="1"/>
  <c r="I17" i="7"/>
  <c r="K17" i="7" s="1"/>
  <c r="I14" i="7"/>
  <c r="I13" i="7"/>
  <c r="I12" i="7"/>
  <c r="I10" i="7"/>
  <c r="K10" i="7" s="1"/>
  <c r="I9" i="7"/>
  <c r="K9" i="7" s="1"/>
  <c r="I8" i="7"/>
  <c r="I7" i="7"/>
  <c r="K7" i="7" s="1"/>
  <c r="I6" i="7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" i="7" l="1"/>
  <c r="J13" i="7"/>
  <c r="J10" i="7"/>
  <c r="J12" i="7"/>
  <c r="J9" i="7"/>
  <c r="J8" i="7"/>
  <c r="J5" i="7"/>
  <c r="J11" i="7"/>
  <c r="J21" i="7"/>
  <c r="M21" i="7"/>
  <c r="J4" i="7"/>
  <c r="J6" i="7"/>
  <c r="J17" i="7"/>
  <c r="J3" i="7"/>
  <c r="J15" i="7"/>
  <c r="J14" i="7"/>
  <c r="J18" i="7"/>
  <c r="J7" i="7"/>
  <c r="J16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K28" i="8" s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I31" i="8" l="1"/>
  <c r="K31" i="8" s="1"/>
  <c r="M30" i="8"/>
  <c r="X59" i="2"/>
  <c r="Y55" i="2"/>
  <c r="W59" i="2"/>
  <c r="J5" i="8"/>
  <c r="J28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24" i="8"/>
  <c r="J23" i="8"/>
  <c r="J2" i="8"/>
  <c r="J20" i="8"/>
  <c r="J18" i="8"/>
  <c r="J10" i="8"/>
  <c r="J15" i="8"/>
  <c r="J25" i="8"/>
  <c r="J26" i="8"/>
  <c r="J14" i="8"/>
  <c r="J27" i="8"/>
  <c r="J4" i="8"/>
  <c r="J22" i="8"/>
  <c r="J11" i="8"/>
  <c r="J12" i="8"/>
  <c r="M31" i="8"/>
  <c r="J19" i="8"/>
  <c r="J7" i="8"/>
  <c r="J6" i="8"/>
  <c r="J8" i="8"/>
  <c r="J17" i="8"/>
  <c r="J21" i="8"/>
  <c r="J3" i="8"/>
  <c r="J9" i="8"/>
  <c r="J31" i="8"/>
  <c r="J13" i="8"/>
  <c r="J16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<sst xmlns="http://schemas.openxmlformats.org/spreadsheetml/2006/main" count="483" uniqueCount="367">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</sst>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/>
    <xf numFmtId="167" fontId="9" fillId="4" borderId="0" xfId="0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099"/>
          <c:y val="5.4234059497589075E-2"/>
          <c:w val="0.80361249792401179"/>
          <c:h val="0.69993782761097478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455106419.31999999</c:v>
                </c:pt>
                <c:pt idx="1">
                  <c:v>464676045.80000001</c:v>
                </c:pt>
                <c:pt idx="2">
                  <c:v>438511640.39999998</c:v>
                </c:pt>
                <c:pt idx="3">
                  <c:v>474810801.43000001</c:v>
                </c:pt>
                <c:pt idx="4">
                  <c:v>464991287.93000001</c:v>
                </c:pt>
                <c:pt idx="5">
                  <c:v>457350467.35000002</c:v>
                </c:pt>
                <c:pt idx="6">
                  <c:v>435402037.66000003</c:v>
                </c:pt>
                <c:pt idx="7">
                  <c:v>468832567.22000003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Risultato_amministrazione!$B$4:$I$4</c:f>
              <c:numCache>
                <c:formatCode>#,##0</c:formatCode>
                <c:ptCount val="8"/>
                <c:pt idx="0">
                  <c:v>174016522.08000001</c:v>
                </c:pt>
                <c:pt idx="1">
                  <c:v>190896533.19999999</c:v>
                </c:pt>
                <c:pt idx="2">
                  <c:v>178633700.16</c:v>
                </c:pt>
                <c:pt idx="3">
                  <c:v>186299457.11000001</c:v>
                </c:pt>
                <c:pt idx="4">
                  <c:v>203739977.53</c:v>
                </c:pt>
                <c:pt idx="5">
                  <c:v>157676242.80000001</c:v>
                </c:pt>
                <c:pt idx="6">
                  <c:v>119962598.52</c:v>
                </c:pt>
                <c:pt idx="7">
                  <c:v>105616843.90000001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517136"/>
        <c:axId val="1660518224"/>
      </c:lineChart>
      <c:catAx>
        <c:axId val="16605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8224"/>
        <c:crosses val="autoZero"/>
        <c:auto val="1"/>
        <c:lblAlgn val="ctr"/>
        <c:lblOffset val="100"/>
        <c:noMultiLvlLbl val="0"/>
      </c:catAx>
      <c:valAx>
        <c:axId val="1660518224"/>
        <c:scaling>
          <c:orientation val="minMax"/>
          <c:max val="500000000"/>
          <c:min val="1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66051713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4.1702144416021866E-2"/>
          <c:w val="0.95679921453118533"/>
          <c:h val="0.7718652739094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446.06237784727307</c:v>
                </c:pt>
                <c:pt idx="1">
                  <c:v>175.869</c:v>
                </c:pt>
                <c:pt idx="2">
                  <c:v>211.56</c:v>
                </c:pt>
                <c:pt idx="3">
                  <c:v>247.09200000000001</c:v>
                </c:pt>
                <c:pt idx="4">
                  <c:v>453.31400000000002</c:v>
                </c:pt>
                <c:pt idx="5">
                  <c:v>502.75400000000002</c:v>
                </c:pt>
                <c:pt idx="6">
                  <c:v>239.78</c:v>
                </c:pt>
                <c:pt idx="7">
                  <c:v>340.51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925600"/>
        <c:axId val="1661926688"/>
      </c:barChart>
      <c:catAx>
        <c:axId val="16619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926688"/>
        <c:crosses val="autoZero"/>
        <c:auto val="1"/>
        <c:lblAlgn val="ctr"/>
        <c:lblOffset val="100"/>
        <c:noMultiLvlLbl val="0"/>
      </c:catAx>
      <c:valAx>
        <c:axId val="1661926688"/>
        <c:scaling>
          <c:orientation val="minMax"/>
          <c:max val="5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6619256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3.6934441366574503E-3"/>
          <c:w val="0.956799214531185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170.8115</c:v>
                </c:pt>
                <c:pt idx="1">
                  <c:v>216.41</c:v>
                </c:pt>
                <c:pt idx="2">
                  <c:v>260.29000000000002</c:v>
                </c:pt>
                <c:pt idx="3">
                  <c:v>227.85</c:v>
                </c:pt>
                <c:pt idx="4">
                  <c:v>254.9</c:v>
                </c:pt>
                <c:pt idx="5">
                  <c:v>61.57</c:v>
                </c:pt>
                <c:pt idx="6">
                  <c:v>42.81</c:v>
                </c:pt>
                <c:pt idx="7">
                  <c:v>20.56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8288"/>
        <c:axId val="1657725024"/>
      </c:barChart>
      <c:catAx>
        <c:axId val="16577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725024"/>
        <c:crosses val="autoZero"/>
        <c:auto val="1"/>
        <c:lblAlgn val="ctr"/>
        <c:lblOffset val="100"/>
        <c:noMultiLvlLbl val="0"/>
      </c:catAx>
      <c:valAx>
        <c:axId val="1657725024"/>
        <c:scaling>
          <c:orientation val="minMax"/>
          <c:max val="29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65772828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3.6934441366574503E-3"/>
          <c:w val="0.95679921453118533"/>
          <c:h val="0.8726625515300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2720.0243086329392</c:v>
                </c:pt>
                <c:pt idx="1">
                  <c:v>2698.2009699666296</c:v>
                </c:pt>
                <c:pt idx="2">
                  <c:v>2746.0540279913412</c:v>
                </c:pt>
                <c:pt idx="3">
                  <c:v>2768.7507648990731</c:v>
                </c:pt>
                <c:pt idx="4">
                  <c:v>3525.1982624246421</c:v>
                </c:pt>
                <c:pt idx="5">
                  <c:v>2991.3564993111777</c:v>
                </c:pt>
                <c:pt idx="6">
                  <c:v>2999.6639105325589</c:v>
                </c:pt>
                <c:pt idx="7">
                  <c:v>2930.1947997803663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7-4161-A0AF-B61751835E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7-4161-A0AF-B61751835E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7-4161-A0AF-B61751835E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782032400589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7-4161-A0AF-B61751835E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451474377326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994369691764343E-2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0857906288768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177211565989121E-2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2848"/>
        <c:axId val="1657723392"/>
      </c:barChart>
      <c:catAx>
        <c:axId val="1657722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57723392"/>
        <c:crosses val="autoZero"/>
        <c:auto val="1"/>
        <c:lblAlgn val="ctr"/>
        <c:lblOffset val="100"/>
        <c:noMultiLvlLbl val="0"/>
      </c:catAx>
      <c:valAx>
        <c:axId val="1657723392"/>
        <c:scaling>
          <c:orientation val="minMax"/>
          <c:max val="380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6577228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126625</c:v>
                </c:pt>
                <c:pt idx="1">
                  <c:v>127485</c:v>
                </c:pt>
                <c:pt idx="2">
                  <c:v>128136</c:v>
                </c:pt>
                <c:pt idx="3">
                  <c:v>129206</c:v>
                </c:pt>
                <c:pt idx="4">
                  <c:v>131556</c:v>
                </c:pt>
                <c:pt idx="5">
                  <c:v>132364</c:v>
                </c:pt>
                <c:pt idx="6">
                  <c:v>133019</c:v>
                </c:pt>
                <c:pt idx="7">
                  <c:v>133941</c:v>
                </c:pt>
                <c:pt idx="8">
                  <c:v>134338</c:v>
                </c:pt>
                <c:pt idx="9">
                  <c:v>134732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25568"/>
        <c:axId val="1657726656"/>
      </c:barChart>
      <c:catAx>
        <c:axId val="165772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657726656"/>
        <c:crosses val="autoZero"/>
        <c:auto val="1"/>
        <c:lblAlgn val="ctr"/>
        <c:lblOffset val="100"/>
        <c:noMultiLvlLbl val="0"/>
      </c:catAx>
      <c:valAx>
        <c:axId val="1657726656"/>
        <c:scaling>
          <c:orientation val="minMax"/>
          <c:max val="16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65772556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455106419.31999999</c:v>
                </c:pt>
                <c:pt idx="1">
                  <c:v>464676045.80000001</c:v>
                </c:pt>
                <c:pt idx="2">
                  <c:v>438511640.39999998</c:v>
                </c:pt>
                <c:pt idx="3">
                  <c:v>474810801.43000001</c:v>
                </c:pt>
                <c:pt idx="4">
                  <c:v>464991287.93000001</c:v>
                </c:pt>
                <c:pt idx="5">
                  <c:v>457350467.35000002</c:v>
                </c:pt>
                <c:pt idx="6">
                  <c:v>435402037.66000003</c:v>
                </c:pt>
                <c:pt idx="7">
                  <c:v>468832567.22000003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Risultato_amministrazione!$B$8:$I$8</c:f>
              <c:numCache>
                <c:formatCode>#,##0</c:formatCode>
                <c:ptCount val="8"/>
                <c:pt idx="0">
                  <c:v>152326220.34</c:v>
                </c:pt>
                <c:pt idx="1">
                  <c:v>156429479.27000001</c:v>
                </c:pt>
                <c:pt idx="2">
                  <c:v>136866771.56999999</c:v>
                </c:pt>
                <c:pt idx="3">
                  <c:v>202318385.87</c:v>
                </c:pt>
                <c:pt idx="4">
                  <c:v>204200510.40000001</c:v>
                </c:pt>
                <c:pt idx="5">
                  <c:v>197107813.22999999</c:v>
                </c:pt>
                <c:pt idx="6">
                  <c:v>192956881.13999999</c:v>
                </c:pt>
                <c:pt idx="7">
                  <c:v>199899101.47999999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0516048"/>
        <c:axId val="1660519312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Risultato_amministrazione!$E$1:$BI$1</c:f>
              <c:numCache>
                <c:formatCode>General</c:formatCode>
                <c:ptCount val="5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Risultato_amministrazione!$B$23:$I$23</c:f>
              <c:numCache>
                <c:formatCode>0.0</c:formatCode>
                <c:ptCount val="8"/>
                <c:pt idx="0">
                  <c:v>33.470461824642939</c:v>
                </c:pt>
                <c:pt idx="1">
                  <c:v>33.664201261049811</c:v>
                </c:pt>
                <c:pt idx="2">
                  <c:v>31.211662122618534</c:v>
                </c:pt>
                <c:pt idx="3">
                  <c:v>42.61031662731186</c:v>
                </c:pt>
                <c:pt idx="4">
                  <c:v>43.914911031782694</c:v>
                </c:pt>
                <c:pt idx="5">
                  <c:v>43.09776141086958</c:v>
                </c:pt>
                <c:pt idx="6">
                  <c:v>44.316944903844842</c:v>
                </c:pt>
                <c:pt idx="7">
                  <c:v>42.637631311605787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4320"/>
        <c:axId val="1660518768"/>
      </c:lineChart>
      <c:catAx>
        <c:axId val="166051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9312"/>
        <c:crosses val="autoZero"/>
        <c:auto val="1"/>
        <c:lblAlgn val="ctr"/>
        <c:lblOffset val="100"/>
        <c:noMultiLvlLbl val="0"/>
      </c:catAx>
      <c:valAx>
        <c:axId val="1660519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0516048"/>
        <c:crosses val="autoZero"/>
        <c:crossBetween val="between"/>
      </c:valAx>
      <c:valAx>
        <c:axId val="1660518768"/>
        <c:scaling>
          <c:orientation val="minMax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4320"/>
        <c:crosses val="max"/>
        <c:crossBetween val="between"/>
        <c:majorUnit val="10"/>
      </c:valAx>
      <c:catAx>
        <c:axId val="166649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05187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26309293243465E-2"/>
          <c:y val="7.4745333960593487E-3"/>
          <c:w val="0.8740987316476716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4.9773807086435834E-2"/>
                  <c:y val="-3.8647342995169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0475181695654137E-2"/>
                  <c:y val="-4.02333534500101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-2188539.8699999731</c:v>
                </c:pt>
                <c:pt idx="1">
                  <c:v>-10868138.029999966</c:v>
                </c:pt>
                <c:pt idx="2">
                  <c:v>-30006597.48</c:v>
                </c:pt>
                <c:pt idx="3">
                  <c:v>-125941690.18000001</c:v>
                </c:pt>
                <c:pt idx="4">
                  <c:v>-70972851.969999999</c:v>
                </c:pt>
                <c:pt idx="5">
                  <c:v>84356488.260000005</c:v>
                </c:pt>
                <c:pt idx="6">
                  <c:v>1239167.0000000251</c:v>
                </c:pt>
                <c:pt idx="7">
                  <c:v>-12066161.180000024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96496"/>
        <c:axId val="1666492144"/>
      </c:barChart>
      <c:catAx>
        <c:axId val="166649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66492144"/>
        <c:crosses val="autoZero"/>
        <c:auto val="1"/>
        <c:lblAlgn val="ctr"/>
        <c:lblOffset val="100"/>
        <c:noMultiLvlLbl val="0"/>
      </c:catAx>
      <c:valAx>
        <c:axId val="1666492144"/>
        <c:scaling>
          <c:orientation val="minMax"/>
          <c:max val="100000000"/>
          <c:min val="-135000000"/>
        </c:scaling>
        <c:delete val="1"/>
        <c:axPos val="b"/>
        <c:numFmt formatCode="#,##0" sourceLinked="1"/>
        <c:majorTickMark val="out"/>
        <c:minorTickMark val="none"/>
        <c:tickLblPos val="nextTo"/>
        <c:crossAx val="1666496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Stato_patrimoniale!$B$21:$I$21</c:f>
              <c:numCache>
                <c:formatCode>#,##0</c:formatCode>
                <c:ptCount val="8"/>
                <c:pt idx="0">
                  <c:v>367913208.00999999</c:v>
                </c:pt>
                <c:pt idx="1">
                  <c:v>363852400.80000001</c:v>
                </c:pt>
                <c:pt idx="2">
                  <c:v>367888858.13</c:v>
                </c:pt>
                <c:pt idx="3">
                  <c:v>369251677.00999999</c:v>
                </c:pt>
                <c:pt idx="4">
                  <c:v>470134541.06999999</c:v>
                </c:pt>
                <c:pt idx="5">
                  <c:v>386501207.85000002</c:v>
                </c:pt>
                <c:pt idx="6">
                  <c:v>384364934.83999997</c:v>
                </c:pt>
                <c:pt idx="7">
                  <c:v>373555884.05000001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Stato_patrimoniale!$B$22:$I$22</c:f>
              <c:numCache>
                <c:formatCode>#,##0</c:formatCode>
                <c:ptCount val="8"/>
                <c:pt idx="0">
                  <c:v>103545035.73999999</c:v>
                </c:pt>
                <c:pt idx="1">
                  <c:v>127142325.64</c:v>
                </c:pt>
                <c:pt idx="2">
                  <c:v>115112100.26000001</c:v>
                </c:pt>
                <c:pt idx="3">
                  <c:v>101826075.45</c:v>
                </c:pt>
                <c:pt idx="4">
                  <c:v>134326276.21000001</c:v>
                </c:pt>
                <c:pt idx="5">
                  <c:v>95254182.319999993</c:v>
                </c:pt>
                <c:pt idx="6">
                  <c:v>67883553.760000005</c:v>
                </c:pt>
                <c:pt idx="7">
                  <c:v>57106827.490000002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Stato_patrimoniale!$B$23:$I$23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7295893.4000000004</c:v>
                </c:pt>
                <c:pt idx="4">
                  <c:v>10168144.880000001</c:v>
                </c:pt>
                <c:pt idx="5">
                  <c:v>21706729.640000001</c:v>
                </c:pt>
                <c:pt idx="6">
                  <c:v>6618028.6900000004</c:v>
                </c:pt>
                <c:pt idx="7">
                  <c:v>7040286.0099999998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Stato_patrimoniale!$B$24:$I$24</c:f>
              <c:numCache>
                <c:formatCode>#,##0</c:formatCode>
                <c:ptCount val="8"/>
                <c:pt idx="0">
                  <c:v>70471486.340000004</c:v>
                </c:pt>
                <c:pt idx="1">
                  <c:v>60712279.93</c:v>
                </c:pt>
                <c:pt idx="2">
                  <c:v>47536478.759999998</c:v>
                </c:pt>
                <c:pt idx="3">
                  <c:v>53890560.890000001</c:v>
                </c:pt>
                <c:pt idx="4">
                  <c:v>32246468.129999999</c:v>
                </c:pt>
                <c:pt idx="5">
                  <c:v>36404190.25</c:v>
                </c:pt>
                <c:pt idx="6">
                  <c:v>44360237.43</c:v>
                </c:pt>
                <c:pt idx="7">
                  <c:v>40646045.200000003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5952"/>
        <c:axId val="1666495408"/>
      </c:barChart>
      <c:catAx>
        <c:axId val="166649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5408"/>
        <c:crosses val="autoZero"/>
        <c:auto val="1"/>
        <c:lblAlgn val="ctr"/>
        <c:lblOffset val="100"/>
        <c:noMultiLvlLbl val="0"/>
      </c:catAx>
      <c:valAx>
        <c:axId val="1666495408"/>
        <c:scaling>
          <c:orientation val="minMax"/>
          <c:max val="7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649595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474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Stato_patrimoniale!$B$14:$I$14</c:f>
              <c:numCache>
                <c:formatCode>#,##0</c:formatCode>
                <c:ptCount val="8"/>
                <c:pt idx="0">
                  <c:v>282361068.47000003</c:v>
                </c:pt>
                <c:pt idx="1">
                  <c:v>282361068.47000003</c:v>
                </c:pt>
                <c:pt idx="2">
                  <c:v>282361068.47000003</c:v>
                </c:pt>
                <c:pt idx="3">
                  <c:v>282361068.47000003</c:v>
                </c:pt>
                <c:pt idx="4">
                  <c:v>282361068.47000003</c:v>
                </c:pt>
                <c:pt idx="5">
                  <c:v>282361068.47000003</c:v>
                </c:pt>
                <c:pt idx="6">
                  <c:v>282361068.39999998</c:v>
                </c:pt>
                <c:pt idx="7">
                  <c:v>282361068.47000003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Stato_patrimoniale!$B$15:$I$15</c:f>
              <c:numCache>
                <c:formatCode>#,##0</c:formatCode>
                <c:ptCount val="8"/>
                <c:pt idx="0">
                  <c:v>20994574.629999999</c:v>
                </c:pt>
                <c:pt idx="1">
                  <c:v>324388419.81</c:v>
                </c:pt>
                <c:pt idx="2">
                  <c:v>313520281.77999997</c:v>
                </c:pt>
                <c:pt idx="3">
                  <c:v>306324030.13</c:v>
                </c:pt>
                <c:pt idx="4">
                  <c:v>193779193.22</c:v>
                </c:pt>
                <c:pt idx="5">
                  <c:v>306289772.60000002</c:v>
                </c:pt>
                <c:pt idx="6">
                  <c:v>307318822.44</c:v>
                </c:pt>
                <c:pt idx="7">
                  <c:v>307318822.47000003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Stato_patrimoniale!$B$17:$I$17</c:f>
              <c:numCache>
                <c:formatCode>#,##0</c:formatCode>
                <c:ptCount val="8"/>
                <c:pt idx="0">
                  <c:v>-2188539.87</c:v>
                </c:pt>
                <c:pt idx="1">
                  <c:v>-10868138.029999999</c:v>
                </c:pt>
                <c:pt idx="2">
                  <c:v>-30006597.48</c:v>
                </c:pt>
                <c:pt idx="3">
                  <c:v>-115941690.18000001</c:v>
                </c:pt>
                <c:pt idx="4">
                  <c:v>-70972851.969999999</c:v>
                </c:pt>
                <c:pt idx="5">
                  <c:v>84356488.260000005</c:v>
                </c:pt>
                <c:pt idx="6">
                  <c:v>1239166.92</c:v>
                </c:pt>
                <c:pt idx="7">
                  <c:v>-12066161.18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0512"/>
        <c:axId val="1666497040"/>
      </c:barChart>
      <c:catAx>
        <c:axId val="166649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6497040"/>
        <c:crosses val="autoZero"/>
        <c:auto val="1"/>
        <c:lblAlgn val="ctr"/>
        <c:lblOffset val="100"/>
        <c:noMultiLvlLbl val="0"/>
      </c:catAx>
      <c:valAx>
        <c:axId val="1666497040"/>
        <c:scaling>
          <c:orientation val="minMax"/>
          <c:max val="700000000"/>
          <c:min val="-2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666490512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1E-2"/>
          <c:w val="0.912266379073745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41.377357229464394</c:v>
                </c:pt>
                <c:pt idx="1">
                  <c:v>38.064</c:v>
                </c:pt>
                <c:pt idx="2">
                  <c:v>45.130892140817522</c:v>
                </c:pt>
                <c:pt idx="3">
                  <c:v>41.904000000000003</c:v>
                </c:pt>
                <c:pt idx="4">
                  <c:v>38.676628340672316</c:v>
                </c:pt>
                <c:pt idx="5">
                  <c:v>41.103208883149655</c:v>
                </c:pt>
                <c:pt idx="6">
                  <c:v>45.040148516570717</c:v>
                </c:pt>
                <c:pt idx="7">
                  <c:v>41.358340064003869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52.151196160982039</c:v>
                </c:pt>
                <c:pt idx="1">
                  <c:v>46.008796666601029</c:v>
                </c:pt>
                <c:pt idx="2">
                  <c:v>49.790746626094673</c:v>
                </c:pt>
                <c:pt idx="3">
                  <c:v>49.419766410761014</c:v>
                </c:pt>
                <c:pt idx="4">
                  <c:v>53.596208202816442</c:v>
                </c:pt>
                <c:pt idx="5">
                  <c:v>53.22162189817675</c:v>
                </c:pt>
                <c:pt idx="6">
                  <c:v>51.465596116052851</c:v>
                </c:pt>
                <c:pt idx="7">
                  <c:v>50.134506989734426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33.429105022524809</c:v>
                </c:pt>
                <c:pt idx="1">
                  <c:v>39.619721108727006</c:v>
                </c:pt>
                <c:pt idx="2">
                  <c:v>44.527342037012652</c:v>
                </c:pt>
                <c:pt idx="3">
                  <c:v>44.157744501497199</c:v>
                </c:pt>
                <c:pt idx="4">
                  <c:v>46.610142052661558</c:v>
                </c:pt>
                <c:pt idx="5">
                  <c:v>46.609241024500612</c:v>
                </c:pt>
                <c:pt idx="6">
                  <c:v>47.616495112731734</c:v>
                </c:pt>
                <c:pt idx="7">
                  <c:v>43.029046767489284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1056"/>
        <c:axId val="1666492688"/>
      </c:lineChart>
      <c:catAx>
        <c:axId val="16664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2688"/>
        <c:crosses val="autoZero"/>
        <c:auto val="1"/>
        <c:lblAlgn val="ctr"/>
        <c:lblOffset val="100"/>
        <c:noMultiLvlLbl val="0"/>
      </c:catAx>
      <c:valAx>
        <c:axId val="1666492688"/>
        <c:scaling>
          <c:orientation val="minMax"/>
          <c:max val="55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64910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1"/>
          <c:w val="0.96177967444791479"/>
          <c:h val="0.1795680460155257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59E-2"/>
          <c:w val="0.9029842635309353"/>
          <c:h val="0.7008192490686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3.1166886660493707</c:v>
                </c:pt>
                <c:pt idx="1">
                  <c:v>2.2672461284201506</c:v>
                </c:pt>
                <c:pt idx="2">
                  <c:v>2.1047111683173041</c:v>
                </c:pt>
                <c:pt idx="3">
                  <c:v>2.0150628010199263</c:v>
                </c:pt>
                <c:pt idx="4">
                  <c:v>2.3107222129559535</c:v>
                </c:pt>
                <c:pt idx="5">
                  <c:v>1.9072467549409691</c:v>
                </c:pt>
                <c:pt idx="6">
                  <c:v>3.9712863262706963</c:v>
                </c:pt>
                <c:pt idx="7">
                  <c:v>3.1504065040650406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19.330562067810632</c:v>
                </c:pt>
                <c:pt idx="1">
                  <c:v>21.773887494644061</c:v>
                </c:pt>
                <c:pt idx="2">
                  <c:v>21.925465098263551</c:v>
                </c:pt>
                <c:pt idx="3">
                  <c:v>19.310133157049769</c:v>
                </c:pt>
                <c:pt idx="4">
                  <c:v>14.557165035090645</c:v>
                </c:pt>
                <c:pt idx="5">
                  <c:v>13.065031635248841</c:v>
                </c:pt>
                <c:pt idx="6">
                  <c:v>14.032650225772835</c:v>
                </c:pt>
                <c:pt idx="7">
                  <c:v>22.243394308943092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9.8603203372800881</c:v>
                </c:pt>
                <c:pt idx="1">
                  <c:v>9.8708453204382689</c:v>
                </c:pt>
                <c:pt idx="2">
                  <c:v>10.976438199435091</c:v>
                </c:pt>
                <c:pt idx="3">
                  <c:v>13.42903012560204</c:v>
                </c:pt>
                <c:pt idx="4">
                  <c:v>12.293914627731233</c:v>
                </c:pt>
                <c:pt idx="5">
                  <c:v>9.9041158437153474</c:v>
                </c:pt>
                <c:pt idx="6">
                  <c:v>9.1003820771101065</c:v>
                </c:pt>
                <c:pt idx="7">
                  <c:v>13.490853658536583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11.688567544671882</c:v>
                </c:pt>
                <c:pt idx="1">
                  <c:v>9.4766480994062547</c:v>
                </c:pt>
                <c:pt idx="2">
                  <c:v>8.6500530349076961</c:v>
                </c:pt>
                <c:pt idx="3">
                  <c:v>7.0072716970441027</c:v>
                </c:pt>
                <c:pt idx="4">
                  <c:v>8.642434662116214</c:v>
                </c:pt>
                <c:pt idx="5">
                  <c:v>9.4775291892244464</c:v>
                </c:pt>
                <c:pt idx="6">
                  <c:v>8.7646173439851793</c:v>
                </c:pt>
                <c:pt idx="7">
                  <c:v>8.9430894308943092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93232"/>
        <c:axId val="1661927776"/>
      </c:barChart>
      <c:catAx>
        <c:axId val="166649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61927776"/>
        <c:crosses val="autoZero"/>
        <c:auto val="1"/>
        <c:lblAlgn val="ctr"/>
        <c:lblOffset val="100"/>
        <c:noMultiLvlLbl val="0"/>
      </c:catAx>
      <c:valAx>
        <c:axId val="1661927776"/>
        <c:scaling>
          <c:orientation val="minMax"/>
          <c:max val="5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649323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1607295351958"/>
          <c:w val="0.95561111111111163"/>
          <c:h val="0.1206151875451619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5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59.720582091370545</c:v>
                </c:pt>
                <c:pt idx="1">
                  <c:v>57.814070606384838</c:v>
                </c:pt>
                <c:pt idx="2">
                  <c:v>62.641957544456147</c:v>
                </c:pt>
                <c:pt idx="3">
                  <c:v>56.660633378180336</c:v>
                </c:pt>
                <c:pt idx="4">
                  <c:v>54.85735489455579</c:v>
                </c:pt>
                <c:pt idx="5">
                  <c:v>60.985260814370911</c:v>
                </c:pt>
                <c:pt idx="6">
                  <c:v>68.144858479080611</c:v>
                </c:pt>
                <c:pt idx="7">
                  <c:v>76.804724764505934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38.828887265514901</c:v>
                </c:pt>
                <c:pt idx="1">
                  <c:v>38.03477402360555</c:v>
                </c:pt>
                <c:pt idx="2">
                  <c:v>47.855509022918064</c:v>
                </c:pt>
                <c:pt idx="3">
                  <c:v>46.805125769840288</c:v>
                </c:pt>
                <c:pt idx="4">
                  <c:v>62.684766549330796</c:v>
                </c:pt>
                <c:pt idx="5">
                  <c:v>73.846927808630141</c:v>
                </c:pt>
                <c:pt idx="6">
                  <c:v>70.164821310711957</c:v>
                </c:pt>
                <c:pt idx="7">
                  <c:v>78.373295956628851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66.94980032659582</c:v>
                </c:pt>
                <c:pt idx="1">
                  <c:v>52.352151815405712</c:v>
                </c:pt>
                <c:pt idx="2">
                  <c:v>65.916509166924314</c:v>
                </c:pt>
                <c:pt idx="3">
                  <c:v>55.792837715862511</c:v>
                </c:pt>
                <c:pt idx="4">
                  <c:v>56.414179120571518</c:v>
                </c:pt>
                <c:pt idx="5">
                  <c:v>72.795122502595504</c:v>
                </c:pt>
                <c:pt idx="6">
                  <c:v>78.771991831184778</c:v>
                </c:pt>
                <c:pt idx="7">
                  <c:v>77.980478001053228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51.543628328597414</c:v>
                </c:pt>
                <c:pt idx="1">
                  <c:v>45.793128027197568</c:v>
                </c:pt>
                <c:pt idx="2">
                  <c:v>51.437558818184137</c:v>
                </c:pt>
                <c:pt idx="3">
                  <c:v>54.74377172281384</c:v>
                </c:pt>
                <c:pt idx="4">
                  <c:v>54.620458909126356</c:v>
                </c:pt>
                <c:pt idx="5">
                  <c:v>49.400338344400332</c:v>
                </c:pt>
                <c:pt idx="6">
                  <c:v>56.810111870597609</c:v>
                </c:pt>
                <c:pt idx="7">
                  <c:v>61.814111311261314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927232"/>
        <c:axId val="1661924512"/>
      </c:lineChart>
      <c:catAx>
        <c:axId val="1661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924512"/>
        <c:crosses val="autoZero"/>
        <c:auto val="1"/>
        <c:lblAlgn val="ctr"/>
        <c:lblOffset val="100"/>
        <c:noMultiLvlLbl val="0"/>
      </c:catAx>
      <c:valAx>
        <c:axId val="1661924512"/>
        <c:scaling>
          <c:orientation val="minMax"/>
          <c:max val="80"/>
          <c:min val="3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192723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47E-2"/>
          <c:y val="0"/>
          <c:w val="0.956799214531184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411.82512756818301</c:v>
                </c:pt>
                <c:pt idx="1">
                  <c:v>384.1511102706711</c:v>
                </c:pt>
                <c:pt idx="2">
                  <c:v>387.41</c:v>
                </c:pt>
                <c:pt idx="3">
                  <c:v>378.79</c:v>
                </c:pt>
                <c:pt idx="4">
                  <c:v>334.774</c:v>
                </c:pt>
                <c:pt idx="5">
                  <c:v>324.06700000000001</c:v>
                </c:pt>
                <c:pt idx="6">
                  <c:v>350.76</c:v>
                </c:pt>
                <c:pt idx="7">
                  <c:v>338.86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925056"/>
        <c:axId val="1661926144"/>
      </c:barChart>
      <c:catAx>
        <c:axId val="16619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926144"/>
        <c:crosses val="autoZero"/>
        <c:auto val="1"/>
        <c:lblAlgn val="ctr"/>
        <c:lblOffset val="100"/>
        <c:noMultiLvlLbl val="0"/>
      </c:catAx>
      <c:valAx>
        <c:axId val="1661926144"/>
        <c:scaling>
          <c:orientation val="minMax"/>
          <c:max val="5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619250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1196339</xdr:colOff>
      <xdr:row>24</xdr:row>
      <xdr:rowOff>64769</xdr:rowOff>
    </xdr:from>
    <xdr:to>
      <xdr:col>8</xdr:col>
      <xdr:colOff>182880</xdr:colOff>
      <xdr:row>48</xdr:row>
      <xdr:rowOff>55245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49</xdr:row>
      <xdr:rowOff>0</xdr:rowOff>
    </xdr:from>
    <xdr:to>
      <xdr:col>8</xdr:col>
      <xdr:colOff>281940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495301</xdr:colOff>
      <xdr:row>32</xdr:row>
      <xdr:rowOff>95249</xdr:rowOff>
    </xdr:from>
    <xdr:to>
      <xdr:col>9</xdr:col>
      <xdr:colOff>571501</xdr:colOff>
      <xdr:row>49</xdr:row>
      <xdr:rowOff>142874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114301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7</xdr:col>
      <xdr:colOff>182880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27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14">
        <v>2016</v>
      </c>
      <c r="C1" s="114"/>
      <c r="D1" s="115"/>
      <c r="E1" s="116">
        <v>2017</v>
      </c>
      <c r="F1" s="114"/>
      <c r="G1" s="115"/>
      <c r="H1" s="116">
        <v>2018</v>
      </c>
      <c r="I1" s="114"/>
      <c r="J1" s="115"/>
      <c r="K1" s="116">
        <v>2019</v>
      </c>
      <c r="L1" s="114"/>
      <c r="M1" s="115"/>
      <c r="N1" s="116">
        <v>2020</v>
      </c>
      <c r="O1" s="114"/>
      <c r="P1" s="115"/>
      <c r="Q1" s="116">
        <v>2021</v>
      </c>
      <c r="R1" s="114"/>
      <c r="S1" s="115"/>
      <c r="T1" s="116">
        <v>2022</v>
      </c>
      <c r="U1" s="114"/>
      <c r="V1" s="115"/>
      <c r="W1" s="116">
        <v>2023</v>
      </c>
      <c r="X1" s="114"/>
      <c r="Y1" s="115"/>
      <c r="Z1" s="113" t="s">
        <v>233</v>
      </c>
      <c r="AA1" s="113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96" t="s">
        <v>74</v>
      </c>
      <c r="J2" s="18" t="s">
        <v>234</v>
      </c>
      <c r="K2" s="23" t="s">
        <v>73</v>
      </c>
      <c r="L2" s="96" t="s">
        <v>74</v>
      </c>
      <c r="M2" s="18" t="s">
        <v>234</v>
      </c>
      <c r="N2" s="23" t="s">
        <v>73</v>
      </c>
      <c r="O2" s="96" t="s">
        <v>74</v>
      </c>
      <c r="P2" s="18" t="s">
        <v>234</v>
      </c>
      <c r="Q2" s="23" t="s">
        <v>73</v>
      </c>
      <c r="R2" s="96" t="s">
        <v>74</v>
      </c>
      <c r="S2" s="18" t="s">
        <v>234</v>
      </c>
      <c r="T2" s="23" t="s">
        <v>73</v>
      </c>
      <c r="U2" s="96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147759668.11000001</v>
      </c>
      <c r="C3" s="28">
        <v>102767162.7</v>
      </c>
      <c r="D3" s="20">
        <f>IF(B3&gt;0,C3/B3*100,"-")</f>
        <v>69.550212188819188</v>
      </c>
      <c r="E3" s="28">
        <v>138377348.47999999</v>
      </c>
      <c r="F3" s="28">
        <v>97357184.299999997</v>
      </c>
      <c r="G3" s="20">
        <f>IF(E3&gt;0,F3/E3*100,"-")</f>
        <v>70.356301352364227</v>
      </c>
      <c r="H3" s="19">
        <v>136829248.88999999</v>
      </c>
      <c r="I3" s="19">
        <v>101129512.51000001</v>
      </c>
      <c r="J3" s="20">
        <f>IF(H3&gt;0,I3/H3*100,"-")</f>
        <v>73.909279872829103</v>
      </c>
      <c r="K3" s="19">
        <v>138858378.77000001</v>
      </c>
      <c r="L3" s="19">
        <v>100056333.45</v>
      </c>
      <c r="M3" s="20">
        <f>IF(K3&gt;0,L3/K3*100,"-")</f>
        <v>72.056388916746386</v>
      </c>
      <c r="N3" s="19">
        <v>127188430.18000001</v>
      </c>
      <c r="O3" s="19">
        <v>89762864.989999995</v>
      </c>
      <c r="P3" s="20">
        <f>IF(N3&gt;0,O3/N3*100,"-")</f>
        <v>70.574709400033882</v>
      </c>
      <c r="Q3" s="19">
        <v>124572955.77</v>
      </c>
      <c r="R3" s="19">
        <v>89147149.620000005</v>
      </c>
      <c r="S3" s="20">
        <f>IF(Q3&gt;0,R3/Q3*100,"-")</f>
        <v>71.562201497886164</v>
      </c>
      <c r="T3" s="1">
        <v>133493595.95999999</v>
      </c>
      <c r="U3" s="1">
        <v>100656602.77</v>
      </c>
      <c r="V3" s="20">
        <f>IF(T3&gt;0,U3/T3*100,"-")</f>
        <v>75.401821372884982</v>
      </c>
      <c r="W3" s="1">
        <v>138984012.09999999</v>
      </c>
      <c r="X3" s="1">
        <v>101080412.78</v>
      </c>
      <c r="Y3" s="20">
        <f>IF(W3&gt;0,X3/W3*100,"-")</f>
        <v>72.728086671776254</v>
      </c>
      <c r="Z3" s="13">
        <f>IF(T3&gt;0,W3/T3*100-100,"-")</f>
        <v>4.1128685616088632</v>
      </c>
      <c r="AA3" s="13">
        <f>IF(U3&gt;0,X3/U3*100-100,"-")</f>
        <v>0.42104541414775554</v>
      </c>
    </row>
    <row r="4" spans="1:27" x14ac:dyDescent="0.3">
      <c r="A4" t="s">
        <v>21</v>
      </c>
      <c r="B4" s="28">
        <v>26941229.609999999</v>
      </c>
      <c r="C4" s="28">
        <v>7876851.2800000003</v>
      </c>
      <c r="D4" s="20">
        <f t="shared" ref="D4:D21" si="0">IF(B4&gt;0,C4/B4*100,"-")</f>
        <v>29.237163240226732</v>
      </c>
      <c r="E4" s="28">
        <v>31064700.280000001</v>
      </c>
      <c r="F4" s="28">
        <v>9445978.4600000009</v>
      </c>
      <c r="G4" s="20">
        <f t="shared" ref="G4:G21" si="1">IF(E4&gt;0,F4/E4*100,"-")</f>
        <v>30.407434724491733</v>
      </c>
      <c r="H4" s="19">
        <v>34121582.520000003</v>
      </c>
      <c r="I4" s="19">
        <v>9474850.7300000004</v>
      </c>
      <c r="J4" s="20">
        <f t="shared" ref="J4:J13" si="2">IF(H4&gt;0,I4/H4*100,"-")</f>
        <v>27.767911187725296</v>
      </c>
      <c r="K4" s="19">
        <v>24884277.809999999</v>
      </c>
      <c r="L4" s="19">
        <v>5219343.18</v>
      </c>
      <c r="M4" s="20">
        <f t="shared" ref="M4:M13" si="3">IF(K4&gt;0,L4/K4*100,"-")</f>
        <v>20.974461143101987</v>
      </c>
      <c r="N4" s="19">
        <v>36904968.670000002</v>
      </c>
      <c r="O4" s="19">
        <v>21534236.629999999</v>
      </c>
      <c r="P4" s="20">
        <f t="shared" ref="P4:P13" si="4">IF(N4&gt;0,O4/N4*100,"-")</f>
        <v>58.350507820658713</v>
      </c>
      <c r="Q4" s="19">
        <v>64196800.93</v>
      </c>
      <c r="R4" s="19">
        <v>44841142.719999999</v>
      </c>
      <c r="S4" s="20">
        <f t="shared" ref="S4:S13" si="5">IF(Q4&gt;0,R4/Q4*100,"-")</f>
        <v>69.849497280860845</v>
      </c>
      <c r="T4" s="1">
        <v>32733286.449999999</v>
      </c>
      <c r="U4" s="1">
        <v>11032360.75</v>
      </c>
      <c r="V4" s="20">
        <f t="shared" ref="V4:V13" si="6">IF(T4&gt;0,U4/T4*100,"-")</f>
        <v>33.703798018729039</v>
      </c>
      <c r="W4" s="1">
        <v>29687868.850000001</v>
      </c>
      <c r="X4" s="1">
        <v>13391483.74</v>
      </c>
      <c r="Y4" s="20">
        <f t="shared" ref="Y4:Y21" si="7">IF(W4&gt;0,X4/W4*100,"-")</f>
        <v>45.107595320032544</v>
      </c>
      <c r="Z4" s="13">
        <f t="shared" ref="Z4:AA55" si="8">IF(T4&gt;0,W4/T4*100-100,"-")</f>
        <v>-9.3037330811614822</v>
      </c>
      <c r="AA4" s="13">
        <f t="shared" si="8"/>
        <v>21.383664325878755</v>
      </c>
    </row>
    <row r="5" spans="1:27" x14ac:dyDescent="0.3">
      <c r="A5" t="s">
        <v>22</v>
      </c>
      <c r="B5" s="28">
        <v>33462086.98</v>
      </c>
      <c r="C5" s="28">
        <v>10521294.24</v>
      </c>
      <c r="D5" s="20">
        <f t="shared" si="0"/>
        <v>31.442432883186534</v>
      </c>
      <c r="E5" s="28">
        <v>35679231.390000001</v>
      </c>
      <c r="F5" s="28">
        <v>11515202.84</v>
      </c>
      <c r="G5" s="20">
        <f t="shared" si="1"/>
        <v>32.274245804598308</v>
      </c>
      <c r="H5" s="19">
        <v>36348903.780000001</v>
      </c>
      <c r="I5" s="19">
        <v>11897656.310000001</v>
      </c>
      <c r="J5" s="20">
        <f t="shared" si="2"/>
        <v>32.73181601846921</v>
      </c>
      <c r="K5" s="19">
        <v>34834841.130000003</v>
      </c>
      <c r="L5" s="19">
        <v>12243342.75</v>
      </c>
      <c r="M5" s="20">
        <f t="shared" si="3"/>
        <v>35.146831025607725</v>
      </c>
      <c r="N5" s="19">
        <v>29229786.48</v>
      </c>
      <c r="O5" s="19">
        <v>9322862.2200000007</v>
      </c>
      <c r="P5" s="20">
        <f t="shared" si="4"/>
        <v>31.895074657418437</v>
      </c>
      <c r="Q5" s="19">
        <v>32861955.850000001</v>
      </c>
      <c r="R5" s="19">
        <v>11907542.699999999</v>
      </c>
      <c r="S5" s="20">
        <f t="shared" si="5"/>
        <v>36.235039552583416</v>
      </c>
      <c r="T5" s="1">
        <v>54907116.009999998</v>
      </c>
      <c r="U5" s="1">
        <v>19585201.510000002</v>
      </c>
      <c r="V5" s="20">
        <f t="shared" si="6"/>
        <v>35.669696267480219</v>
      </c>
      <c r="W5" s="1">
        <v>44665849.770000003</v>
      </c>
      <c r="X5" s="1">
        <v>22346438.859999999</v>
      </c>
      <c r="Y5" s="20">
        <f t="shared" si="7"/>
        <v>50.030255721249198</v>
      </c>
      <c r="Z5" s="13">
        <f t="shared" si="8"/>
        <v>-18.651983539136879</v>
      </c>
      <c r="AA5" s="13">
        <f t="shared" si="8"/>
        <v>14.098590451520948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19">
        <v>0</v>
      </c>
      <c r="I6" s="19">
        <v>0</v>
      </c>
      <c r="J6" s="20" t="str">
        <f t="shared" si="2"/>
        <v>-</v>
      </c>
      <c r="K6" s="19">
        <v>0</v>
      </c>
      <c r="L6" s="19">
        <v>0</v>
      </c>
      <c r="M6" s="20" t="str">
        <f t="shared" si="3"/>
        <v>-</v>
      </c>
      <c r="N6" s="19">
        <v>0</v>
      </c>
      <c r="O6" s="19">
        <v>0</v>
      </c>
      <c r="P6" s="20" t="str">
        <f t="shared" si="4"/>
        <v>-</v>
      </c>
      <c r="Q6" s="19">
        <v>0</v>
      </c>
      <c r="R6" s="19">
        <v>0</v>
      </c>
      <c r="S6" s="20" t="str">
        <f t="shared" si="5"/>
        <v>-</v>
      </c>
      <c r="T6" s="19">
        <v>0</v>
      </c>
      <c r="U6" s="19">
        <v>0</v>
      </c>
      <c r="V6" s="20" t="str">
        <f t="shared" si="6"/>
        <v>-</v>
      </c>
      <c r="W6" s="19">
        <v>0</v>
      </c>
      <c r="X6" s="19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28">
        <v>8477357.8100000005</v>
      </c>
      <c r="C7" s="28">
        <v>43583.05</v>
      </c>
      <c r="D7" s="20">
        <f t="shared" si="0"/>
        <v>0.51411124759401894</v>
      </c>
      <c r="E7" s="28">
        <v>1031636.65</v>
      </c>
      <c r="F7" s="28">
        <v>931636.65</v>
      </c>
      <c r="G7" s="20">
        <f t="shared" si="1"/>
        <v>90.30666465756137</v>
      </c>
      <c r="H7" s="19">
        <v>27115390.699999999</v>
      </c>
      <c r="I7" s="19">
        <v>12157774.630000001</v>
      </c>
      <c r="J7" s="20">
        <f t="shared" si="2"/>
        <v>44.837172971289704</v>
      </c>
      <c r="K7" s="19">
        <v>27439276.219999999</v>
      </c>
      <c r="L7" s="19">
        <v>4784505.63</v>
      </c>
      <c r="M7" s="20">
        <f t="shared" si="3"/>
        <v>17.436704932153638</v>
      </c>
      <c r="N7" s="19">
        <v>16779409.079999998</v>
      </c>
      <c r="O7" s="19">
        <v>2413880.2599999998</v>
      </c>
      <c r="P7" s="20">
        <f t="shared" si="4"/>
        <v>14.385967041456743</v>
      </c>
      <c r="Q7" s="19">
        <v>8708700</v>
      </c>
      <c r="R7" s="19">
        <v>1556620.96</v>
      </c>
      <c r="S7" s="20">
        <f t="shared" si="5"/>
        <v>17.874320621906829</v>
      </c>
      <c r="T7" s="1">
        <v>24548812.920000002</v>
      </c>
      <c r="U7" s="1">
        <v>5195182.4000000004</v>
      </c>
      <c r="V7" s="20">
        <f t="shared" si="6"/>
        <v>21.16266239402341</v>
      </c>
      <c r="W7" s="1">
        <v>87217602.209999993</v>
      </c>
      <c r="X7" s="1">
        <v>22508557</v>
      </c>
      <c r="Y7" s="20">
        <f t="shared" si="7"/>
        <v>25.807355888785562</v>
      </c>
      <c r="Z7" s="13">
        <f t="shared" si="8"/>
        <v>255.28236128657579</v>
      </c>
      <c r="AA7" s="13">
        <f t="shared" si="8"/>
        <v>333.25826250104325</v>
      </c>
    </row>
    <row r="8" spans="1:27" x14ac:dyDescent="0.3">
      <c r="A8" t="s">
        <v>25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19">
        <v>0</v>
      </c>
      <c r="I8" s="19">
        <v>0</v>
      </c>
      <c r="J8" s="20" t="str">
        <f t="shared" si="2"/>
        <v>-</v>
      </c>
      <c r="K8" s="19">
        <v>0</v>
      </c>
      <c r="L8" s="19">
        <v>0</v>
      </c>
      <c r="M8" s="20" t="str">
        <f t="shared" si="3"/>
        <v>-</v>
      </c>
      <c r="N8" s="19">
        <v>0</v>
      </c>
      <c r="O8" s="19">
        <v>0</v>
      </c>
      <c r="P8" s="20" t="str">
        <f t="shared" si="4"/>
        <v>-</v>
      </c>
      <c r="Q8" s="19">
        <v>0</v>
      </c>
      <c r="R8" s="19">
        <v>0</v>
      </c>
      <c r="S8" s="20" t="str">
        <f t="shared" si="5"/>
        <v>-</v>
      </c>
      <c r="T8" s="19">
        <v>0</v>
      </c>
      <c r="U8" s="19">
        <v>0</v>
      </c>
      <c r="V8" s="20" t="str">
        <f t="shared" si="6"/>
        <v>-</v>
      </c>
      <c r="W8" s="19">
        <v>0</v>
      </c>
      <c r="X8" s="19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2278747.48</v>
      </c>
      <c r="C9" s="28">
        <v>2278747.48</v>
      </c>
      <c r="D9" s="20">
        <f t="shared" si="0"/>
        <v>100</v>
      </c>
      <c r="E9" s="28">
        <v>1253093.1499999999</v>
      </c>
      <c r="F9" s="28">
        <v>1253093.1499999999</v>
      </c>
      <c r="G9" s="20">
        <f t="shared" si="1"/>
        <v>100</v>
      </c>
      <c r="H9" s="19">
        <v>744707.31</v>
      </c>
      <c r="I9" s="19">
        <v>740586.4</v>
      </c>
      <c r="J9" s="20">
        <f t="shared" si="2"/>
        <v>99.446640318328548</v>
      </c>
      <c r="K9" s="19">
        <v>1062924.29</v>
      </c>
      <c r="L9" s="19">
        <v>1052924.29</v>
      </c>
      <c r="M9" s="20">
        <f t="shared" si="3"/>
        <v>99.059199221047052</v>
      </c>
      <c r="N9" s="19">
        <v>7764917.1500000004</v>
      </c>
      <c r="O9" s="19">
        <v>779792.15</v>
      </c>
      <c r="P9" s="20">
        <f t="shared" si="4"/>
        <v>10.042504445781498</v>
      </c>
      <c r="Q9" s="19">
        <v>11051535.560000001</v>
      </c>
      <c r="R9" s="19">
        <v>756133.68</v>
      </c>
      <c r="S9" s="20">
        <f t="shared" si="5"/>
        <v>6.8418879520847327</v>
      </c>
      <c r="T9" s="1">
        <v>712380.71</v>
      </c>
      <c r="U9" s="1">
        <v>709380.71</v>
      </c>
      <c r="V9" s="20">
        <f t="shared" si="6"/>
        <v>99.578876862064391</v>
      </c>
      <c r="W9" s="1">
        <v>6855829.3799999999</v>
      </c>
      <c r="X9" s="1">
        <v>6853179.04</v>
      </c>
      <c r="Y9" s="20">
        <f t="shared" si="7"/>
        <v>99.961341803404096</v>
      </c>
      <c r="Z9" s="13">
        <f t="shared" si="8"/>
        <v>862.38279388558965</v>
      </c>
      <c r="AA9" s="13">
        <f t="shared" si="8"/>
        <v>866.0791368290802</v>
      </c>
    </row>
    <row r="10" spans="1:27" x14ac:dyDescent="0.3">
      <c r="A10" t="s">
        <v>27</v>
      </c>
      <c r="B10" s="28">
        <v>5600663.9900000002</v>
      </c>
      <c r="C10" s="28">
        <v>4974998</v>
      </c>
      <c r="D10" s="20">
        <f t="shared" si="0"/>
        <v>88.828717610677444</v>
      </c>
      <c r="E10" s="28">
        <v>3755549.17</v>
      </c>
      <c r="F10" s="28">
        <v>3755549.17</v>
      </c>
      <c r="G10" s="20">
        <f t="shared" si="1"/>
        <v>100</v>
      </c>
      <c r="H10" s="19">
        <v>4694162.3499999996</v>
      </c>
      <c r="I10" s="19">
        <v>4437458.51</v>
      </c>
      <c r="J10" s="20">
        <f t="shared" si="2"/>
        <v>94.531423907824575</v>
      </c>
      <c r="K10" s="19">
        <v>5145002.1100000003</v>
      </c>
      <c r="L10" s="19">
        <v>3773259.69</v>
      </c>
      <c r="M10" s="20">
        <f t="shared" si="3"/>
        <v>73.338350681453846</v>
      </c>
      <c r="N10" s="19">
        <v>4565376.3</v>
      </c>
      <c r="O10" s="19">
        <v>4565376.3</v>
      </c>
      <c r="P10" s="20">
        <f t="shared" si="4"/>
        <v>100</v>
      </c>
      <c r="Q10" s="19">
        <v>5644816.9100000001</v>
      </c>
      <c r="R10" s="19">
        <v>5644806.9100000001</v>
      </c>
      <c r="S10" s="20">
        <f t="shared" si="5"/>
        <v>99.99982284633569</v>
      </c>
      <c r="T10" s="1">
        <v>4028196.87</v>
      </c>
      <c r="U10" s="1">
        <v>4023027.12</v>
      </c>
      <c r="V10" s="20">
        <f t="shared" si="6"/>
        <v>99.871660939948043</v>
      </c>
      <c r="W10" s="1">
        <v>5040041.1399999997</v>
      </c>
      <c r="X10" s="1">
        <v>5002018.0599999996</v>
      </c>
      <c r="Y10" s="20">
        <f t="shared" si="7"/>
        <v>99.245579967627009</v>
      </c>
      <c r="Z10" s="13">
        <f t="shared" si="8"/>
        <v>25.119037193432888</v>
      </c>
      <c r="AA10" s="13">
        <f t="shared" si="8"/>
        <v>24.334684077396915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19">
        <v>0</v>
      </c>
      <c r="I11" s="19">
        <v>0</v>
      </c>
      <c r="J11" s="20" t="str">
        <f t="shared" si="2"/>
        <v>-</v>
      </c>
      <c r="K11" s="19">
        <v>0</v>
      </c>
      <c r="L11" s="19">
        <v>0</v>
      </c>
      <c r="M11" s="20" t="str">
        <f t="shared" si="3"/>
        <v>-</v>
      </c>
      <c r="N11" s="19">
        <v>0</v>
      </c>
      <c r="O11" s="19">
        <v>0</v>
      </c>
      <c r="P11" s="20" t="str">
        <f t="shared" si="4"/>
        <v>-</v>
      </c>
      <c r="Q11" s="19">
        <v>0</v>
      </c>
      <c r="R11" s="19">
        <v>0</v>
      </c>
      <c r="S11" s="20" t="str">
        <f t="shared" si="5"/>
        <v>-</v>
      </c>
      <c r="T11" s="19">
        <v>0</v>
      </c>
      <c r="U11" s="19">
        <v>0</v>
      </c>
      <c r="V11" s="20" t="str">
        <f t="shared" si="6"/>
        <v>-</v>
      </c>
      <c r="W11" s="19">
        <v>32620</v>
      </c>
      <c r="X11" s="19">
        <v>32620</v>
      </c>
      <c r="Y11" s="20">
        <f t="shared" si="7"/>
        <v>100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19">
        <v>0</v>
      </c>
      <c r="I12" s="19">
        <v>0</v>
      </c>
      <c r="J12" s="20" t="str">
        <f t="shared" si="2"/>
        <v>-</v>
      </c>
      <c r="K12" s="19">
        <v>0</v>
      </c>
      <c r="L12" s="19">
        <v>0</v>
      </c>
      <c r="M12" s="20" t="str">
        <f t="shared" si="3"/>
        <v>-</v>
      </c>
      <c r="N12" s="19">
        <v>0</v>
      </c>
      <c r="O12" s="19">
        <v>0</v>
      </c>
      <c r="P12" s="20" t="str">
        <f t="shared" si="4"/>
        <v>-</v>
      </c>
      <c r="Q12" s="19">
        <v>0</v>
      </c>
      <c r="R12" s="19">
        <v>0</v>
      </c>
      <c r="S12" s="20" t="str">
        <f t="shared" si="5"/>
        <v>-</v>
      </c>
      <c r="T12" s="19">
        <v>0</v>
      </c>
      <c r="U12" s="19">
        <v>0</v>
      </c>
      <c r="V12" s="20" t="str">
        <f t="shared" si="6"/>
        <v>-</v>
      </c>
      <c r="W12" s="19">
        <v>0</v>
      </c>
      <c r="X12" s="19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19">
        <v>0</v>
      </c>
      <c r="I13" s="19">
        <v>0</v>
      </c>
      <c r="J13" s="20" t="str">
        <f t="shared" si="2"/>
        <v>-</v>
      </c>
      <c r="K13" s="19">
        <v>0</v>
      </c>
      <c r="L13" s="19">
        <v>0</v>
      </c>
      <c r="M13" s="20" t="str">
        <f t="shared" si="3"/>
        <v>-</v>
      </c>
      <c r="N13" s="19">
        <v>0</v>
      </c>
      <c r="O13" s="19">
        <v>0</v>
      </c>
      <c r="P13" s="20" t="str">
        <f t="shared" si="4"/>
        <v>-</v>
      </c>
      <c r="Q13" s="19">
        <v>0</v>
      </c>
      <c r="R13" s="19">
        <v>0</v>
      </c>
      <c r="S13" s="20" t="str">
        <f t="shared" si="5"/>
        <v>-</v>
      </c>
      <c r="T13" s="19">
        <v>0</v>
      </c>
      <c r="U13" s="19">
        <v>0</v>
      </c>
      <c r="V13" s="20" t="str">
        <f t="shared" si="6"/>
        <v>-</v>
      </c>
      <c r="W13" s="19">
        <v>0</v>
      </c>
      <c r="X13" s="19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208162984.70000002</v>
      </c>
      <c r="C14" s="28">
        <f t="shared" si="9"/>
        <v>121165308.22</v>
      </c>
      <c r="D14" s="20">
        <f>IF(B14&gt;0,C14/B14*100,"-")</f>
        <v>58.206942216273859</v>
      </c>
      <c r="E14" s="28">
        <f t="shared" ref="E14:F14" si="10">SUM(E3:E5)</f>
        <v>205121280.14999998</v>
      </c>
      <c r="F14" s="28">
        <f t="shared" si="10"/>
        <v>118318365.59999999</v>
      </c>
      <c r="G14" s="20">
        <f>IF(E14&gt;0,F14/E14*100,"-")</f>
        <v>57.682150537222064</v>
      </c>
      <c r="H14" s="19">
        <f t="shared" ref="H14:I14" si="11">SUM(H3:H5)</f>
        <v>207299735.19</v>
      </c>
      <c r="I14" s="19">
        <f t="shared" si="11"/>
        <v>122502019.55000001</v>
      </c>
      <c r="J14" s="20">
        <f>IF(H14&gt;0,I14/H14*100,"-")</f>
        <v>59.094151489253534</v>
      </c>
      <c r="K14" s="19">
        <f t="shared" ref="K14:L14" si="12">SUM(K3:K5)</f>
        <v>198577497.71000001</v>
      </c>
      <c r="L14" s="19">
        <f t="shared" si="12"/>
        <v>117519019.38</v>
      </c>
      <c r="M14" s="20">
        <f>IF(K14&gt;0,L14/K14*100,"-")</f>
        <v>59.180431184415085</v>
      </c>
      <c r="N14" s="19">
        <f t="shared" ref="N14:O14" si="13">SUM(N3:N5)</f>
        <v>193323185.33000001</v>
      </c>
      <c r="O14" s="19">
        <f t="shared" si="13"/>
        <v>120619963.83999999</v>
      </c>
      <c r="P14" s="20">
        <f>IF(N14&gt;0,O14/N14*100,"-")</f>
        <v>62.392911452448587</v>
      </c>
      <c r="Q14" s="19">
        <f t="shared" ref="Q14:R14" si="14">SUM(Q3:Q5)</f>
        <v>221631712.54999998</v>
      </c>
      <c r="R14" s="19">
        <f t="shared" si="14"/>
        <v>145895835.03999999</v>
      </c>
      <c r="S14" s="20">
        <f>IF(Q14&gt;0,R14/Q14*100,"-")</f>
        <v>65.828050219611953</v>
      </c>
      <c r="T14" s="19">
        <f t="shared" ref="T14:U14" si="15">SUM(T3:T5)</f>
        <v>221133998.41999999</v>
      </c>
      <c r="U14" s="19">
        <f t="shared" si="15"/>
        <v>131274165.03</v>
      </c>
      <c r="V14" s="20">
        <f>IF(T14&gt;0,U14/T14*100,"-")</f>
        <v>59.364080588219124</v>
      </c>
      <c r="W14" s="19">
        <v>213337730.72</v>
      </c>
      <c r="X14" s="19">
        <v>136818335.38</v>
      </c>
      <c r="Y14" s="20">
        <f>IF(W14&gt;0,X14/W14*100,"-")</f>
        <v>64.132272766869519</v>
      </c>
      <c r="Z14" s="13">
        <f t="shared" si="8"/>
        <v>-3.5255852811888957</v>
      </c>
      <c r="AA14" s="13">
        <f t="shared" si="8"/>
        <v>4.2233522100353866</v>
      </c>
    </row>
    <row r="15" spans="1:27" x14ac:dyDescent="0.3">
      <c r="A15" t="s">
        <v>32</v>
      </c>
      <c r="B15" s="27">
        <f t="shared" ref="B15:C15" si="16">SUM(B6:B10)</f>
        <v>16356769.280000001</v>
      </c>
      <c r="C15" s="27">
        <f t="shared" si="16"/>
        <v>7297328.5299999993</v>
      </c>
      <c r="D15" s="20">
        <f>IF(B15&gt;0,C15/B15*100,"-")</f>
        <v>44.613507747662005</v>
      </c>
      <c r="E15" s="27">
        <f t="shared" ref="E15:F15" si="17">SUM(E6:E10)</f>
        <v>6040278.9699999997</v>
      </c>
      <c r="F15" s="27">
        <f t="shared" si="17"/>
        <v>5940278.9699999997</v>
      </c>
      <c r="G15" s="20">
        <f>IF(E15&gt;0,F15/E15*100,"-")</f>
        <v>98.344447326081024</v>
      </c>
      <c r="H15" s="98">
        <f t="shared" ref="H15:I15" si="18">SUM(H6:H10)</f>
        <v>32554260.359999999</v>
      </c>
      <c r="I15" s="98">
        <f t="shared" si="18"/>
        <v>17335819.539999999</v>
      </c>
      <c r="J15" s="20">
        <f>IF(H15&gt;0,I15/H15*100,"-")</f>
        <v>53.252076220723566</v>
      </c>
      <c r="K15" s="98">
        <f t="shared" ref="K15:L15" si="19">SUM(K6:K10)</f>
        <v>33647202.619999997</v>
      </c>
      <c r="L15" s="98">
        <f t="shared" si="19"/>
        <v>9610689.6099999994</v>
      </c>
      <c r="M15" s="20">
        <f>IF(K15&gt;0,L15/K15*100,"-")</f>
        <v>28.56311628202749</v>
      </c>
      <c r="N15" s="98">
        <f t="shared" ref="N15:O15" si="20">SUM(N6:N10)</f>
        <v>29109702.529999997</v>
      </c>
      <c r="O15" s="98">
        <f t="shared" si="20"/>
        <v>7759048.709999999</v>
      </c>
      <c r="P15" s="20">
        <f>IF(N15&gt;0,O15/N15*100,"-")</f>
        <v>26.654510474655819</v>
      </c>
      <c r="Q15" s="98">
        <f t="shared" ref="Q15:R15" si="21">SUM(Q6:Q10)</f>
        <v>25405052.470000003</v>
      </c>
      <c r="R15" s="98">
        <f t="shared" si="21"/>
        <v>7957561.5500000007</v>
      </c>
      <c r="S15" s="20">
        <f>IF(Q15&gt;0,R15/Q15*100,"-")</f>
        <v>31.322751879362681</v>
      </c>
      <c r="T15" s="98">
        <f t="shared" ref="T15:U15" si="22">SUM(T6:T10)</f>
        <v>29289390.500000004</v>
      </c>
      <c r="U15" s="98">
        <f t="shared" si="22"/>
        <v>9927590.2300000004</v>
      </c>
      <c r="V15" s="20">
        <f>IF(T15&gt;0,U15/T15*100,"-")</f>
        <v>33.894833796558515</v>
      </c>
      <c r="W15" s="98">
        <v>99113472.729999989</v>
      </c>
      <c r="X15" s="98">
        <v>34363754.100000001</v>
      </c>
      <c r="Y15" s="20">
        <f>IF(W15&gt;0,X15/W15*100,"-")</f>
        <v>34.671123060748805</v>
      </c>
      <c r="Z15" s="13">
        <f t="shared" si="8"/>
        <v>238.3937700239955</v>
      </c>
      <c r="AA15" s="13">
        <f t="shared" si="8"/>
        <v>246.14396146364714</v>
      </c>
    </row>
    <row r="16" spans="1:27" x14ac:dyDescent="0.3">
      <c r="A16" t="s">
        <v>33</v>
      </c>
      <c r="B16" s="28">
        <f t="shared" ref="B16:C16" si="23">SUM(B11:B13)</f>
        <v>0</v>
      </c>
      <c r="C16" s="28">
        <f t="shared" si="23"/>
        <v>0</v>
      </c>
      <c r="D16" s="20" t="str">
        <f t="shared" si="0"/>
        <v>-</v>
      </c>
      <c r="E16" s="28">
        <f t="shared" ref="E16:F16" si="24">SUM(E11:E13)</f>
        <v>0</v>
      </c>
      <c r="F16" s="28">
        <f t="shared" si="24"/>
        <v>0</v>
      </c>
      <c r="G16" s="20" t="str">
        <f t="shared" si="1"/>
        <v>-</v>
      </c>
      <c r="H16" s="19">
        <f t="shared" ref="H16:I16" si="25">SUM(H11:H13)</f>
        <v>0</v>
      </c>
      <c r="I16" s="19">
        <f t="shared" si="25"/>
        <v>0</v>
      </c>
      <c r="J16" s="20" t="str">
        <f t="shared" ref="J16:J21" si="26">IF(H16&gt;0,I16/H16*100,"-")</f>
        <v>-</v>
      </c>
      <c r="K16" s="19">
        <f t="shared" ref="K16:L16" si="27">SUM(K11:K13)</f>
        <v>0</v>
      </c>
      <c r="L16" s="19">
        <f t="shared" si="27"/>
        <v>0</v>
      </c>
      <c r="M16" s="20" t="str">
        <f t="shared" ref="M16:M21" si="28">IF(K16&gt;0,L16/K16*100,"-")</f>
        <v>-</v>
      </c>
      <c r="N16" s="19">
        <f t="shared" ref="N16:O16" si="29">SUM(N11:N13)</f>
        <v>0</v>
      </c>
      <c r="O16" s="19">
        <f t="shared" si="29"/>
        <v>0</v>
      </c>
      <c r="P16" s="20" t="str">
        <f t="shared" ref="P16:P21" si="30">IF(N16&gt;0,O16/N16*100,"-")</f>
        <v>-</v>
      </c>
      <c r="Q16" s="19">
        <f t="shared" ref="Q16:R16" si="31">SUM(Q11:Q13)</f>
        <v>0</v>
      </c>
      <c r="R16" s="19">
        <f t="shared" si="31"/>
        <v>0</v>
      </c>
      <c r="S16" s="20" t="str">
        <f t="shared" ref="S16:S21" si="32">IF(Q16&gt;0,R16/Q16*100,"-")</f>
        <v>-</v>
      </c>
      <c r="T16" s="19">
        <f t="shared" ref="T16:U16" si="33">SUM(T11:T13)</f>
        <v>0</v>
      </c>
      <c r="U16" s="19">
        <f t="shared" si="33"/>
        <v>0</v>
      </c>
      <c r="V16" s="20" t="str">
        <f t="shared" ref="V16:V21" si="34">IF(T16&gt;0,U16/T16*100,"-")</f>
        <v>-</v>
      </c>
      <c r="W16" s="19">
        <v>32620</v>
      </c>
      <c r="X16" s="19">
        <v>32620</v>
      </c>
      <c r="Y16" s="20">
        <f t="shared" si="7"/>
        <v>100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28">
        <v>3844889.53</v>
      </c>
      <c r="C17" s="28">
        <v>688858.67</v>
      </c>
      <c r="D17" s="20">
        <f t="shared" si="0"/>
        <v>17.91621487757023</v>
      </c>
      <c r="E17" s="28">
        <v>1984105.6</v>
      </c>
      <c r="F17" s="28">
        <v>0</v>
      </c>
      <c r="G17" s="20">
        <f t="shared" si="1"/>
        <v>0</v>
      </c>
      <c r="H17" s="19">
        <v>3411102.01</v>
      </c>
      <c r="I17" s="19">
        <v>0</v>
      </c>
      <c r="J17" s="20">
        <f t="shared" si="26"/>
        <v>0</v>
      </c>
      <c r="K17" s="19">
        <v>23486313.600000001</v>
      </c>
      <c r="L17" s="19">
        <v>18377480.190000001</v>
      </c>
      <c r="M17" s="20">
        <f t="shared" si="28"/>
        <v>78.24761477254566</v>
      </c>
      <c r="N17" s="19">
        <v>48585351.560000002</v>
      </c>
      <c r="O17" s="19">
        <v>43690794.960000001</v>
      </c>
      <c r="P17" s="20">
        <f t="shared" si="30"/>
        <v>89.92585945589893</v>
      </c>
      <c r="Q17" s="19">
        <v>25811242.899999999</v>
      </c>
      <c r="R17" s="19">
        <v>21104994.899999999</v>
      </c>
      <c r="S17" s="20">
        <f t="shared" si="32"/>
        <v>81.766674242564278</v>
      </c>
      <c r="T17" s="1">
        <v>5195477.75</v>
      </c>
      <c r="U17" s="19">
        <v>0</v>
      </c>
      <c r="V17" s="20">
        <f t="shared" si="34"/>
        <v>0</v>
      </c>
      <c r="W17" s="1">
        <v>2405780.23</v>
      </c>
      <c r="X17" s="19">
        <v>0</v>
      </c>
      <c r="Y17" s="20">
        <f t="shared" si="7"/>
        <v>0</v>
      </c>
      <c r="Z17" s="13">
        <f t="shared" si="8"/>
        <v>-53.694725571676258</v>
      </c>
      <c r="AA17" s="13" t="str">
        <f t="shared" si="8"/>
        <v>-</v>
      </c>
    </row>
    <row r="18" spans="1:27" x14ac:dyDescent="0.3">
      <c r="A18" t="s">
        <v>35</v>
      </c>
      <c r="B18" s="28">
        <v>22806389.920000002</v>
      </c>
      <c r="C18" s="28">
        <v>22806389.920000002</v>
      </c>
      <c r="D18" s="20">
        <f t="shared" si="0"/>
        <v>100</v>
      </c>
      <c r="E18" s="28">
        <v>121368188.48</v>
      </c>
      <c r="F18" s="28">
        <v>121368188.48</v>
      </c>
      <c r="G18" s="20">
        <f t="shared" si="1"/>
        <v>100</v>
      </c>
      <c r="H18" s="19">
        <v>130704163.68000001</v>
      </c>
      <c r="I18" s="19">
        <v>130704163.68000001</v>
      </c>
      <c r="J18" s="20">
        <f t="shared" si="26"/>
        <v>100</v>
      </c>
      <c r="K18" s="19">
        <v>159726658.97999999</v>
      </c>
      <c r="L18" s="19">
        <v>159726658.97999999</v>
      </c>
      <c r="M18" s="20">
        <f t="shared" si="28"/>
        <v>100</v>
      </c>
      <c r="N18" s="19">
        <v>193390646.19999999</v>
      </c>
      <c r="O18" s="19">
        <v>193390646.19999999</v>
      </c>
      <c r="P18" s="20">
        <f t="shared" si="30"/>
        <v>100</v>
      </c>
      <c r="Q18" s="19">
        <v>155609201.94999999</v>
      </c>
      <c r="R18" s="19">
        <v>155609201.94999999</v>
      </c>
      <c r="S18" s="20">
        <f t="shared" si="32"/>
        <v>100</v>
      </c>
      <c r="T18" s="1">
        <v>152263391.69</v>
      </c>
      <c r="U18" s="1">
        <v>152263391.69</v>
      </c>
      <c r="V18" s="20">
        <f t="shared" si="34"/>
        <v>100</v>
      </c>
      <c r="W18" s="1">
        <v>109234589.95999999</v>
      </c>
      <c r="X18" s="1">
        <v>109234589.95999999</v>
      </c>
      <c r="Y18" s="20">
        <f t="shared" si="7"/>
        <v>100</v>
      </c>
      <c r="Z18" s="13">
        <f t="shared" si="8"/>
        <v>-28.259453078258176</v>
      </c>
      <c r="AA18" s="13">
        <f t="shared" si="8"/>
        <v>-28.259453078258176</v>
      </c>
    </row>
    <row r="19" spans="1:27" x14ac:dyDescent="0.3">
      <c r="A19" t="s">
        <v>36</v>
      </c>
      <c r="B19" s="28">
        <v>268240684.84</v>
      </c>
      <c r="C19" s="28">
        <v>267911191.21000001</v>
      </c>
      <c r="D19" s="20">
        <f t="shared" si="0"/>
        <v>99.877164931115303</v>
      </c>
      <c r="E19" s="28">
        <v>91167651.719999999</v>
      </c>
      <c r="F19" s="28">
        <v>90956442.519999996</v>
      </c>
      <c r="G19" s="20">
        <f t="shared" si="1"/>
        <v>99.768328792049317</v>
      </c>
      <c r="H19" s="19">
        <v>83782392.239999995</v>
      </c>
      <c r="I19" s="19">
        <v>83353956.329999998</v>
      </c>
      <c r="J19" s="20">
        <f t="shared" si="26"/>
        <v>99.488632517471302</v>
      </c>
      <c r="K19" s="19">
        <v>89448597.719999999</v>
      </c>
      <c r="L19" s="19">
        <v>88925015.879999995</v>
      </c>
      <c r="M19" s="20">
        <f t="shared" si="28"/>
        <v>99.414656178692738</v>
      </c>
      <c r="N19" s="19">
        <v>132645582.64</v>
      </c>
      <c r="O19" s="19">
        <v>131934428.13</v>
      </c>
      <c r="P19" s="20">
        <f t="shared" si="30"/>
        <v>99.463868682359319</v>
      </c>
      <c r="Q19" s="19">
        <v>121233038.8</v>
      </c>
      <c r="R19" s="19">
        <v>121137181.42</v>
      </c>
      <c r="S19" s="20">
        <f t="shared" si="32"/>
        <v>99.920931306392362</v>
      </c>
      <c r="T19" s="1">
        <v>67148377.709999993</v>
      </c>
      <c r="U19" s="1">
        <v>66602165.299999997</v>
      </c>
      <c r="V19" s="20">
        <f t="shared" si="34"/>
        <v>99.186559037421603</v>
      </c>
      <c r="W19" s="1">
        <v>117855275.43000001</v>
      </c>
      <c r="X19" s="1">
        <v>117598890.41</v>
      </c>
      <c r="Y19" s="20">
        <f t="shared" si="7"/>
        <v>99.782457748230129</v>
      </c>
      <c r="Z19" s="13">
        <f t="shared" si="8"/>
        <v>75.514702587443963</v>
      </c>
      <c r="AA19" s="13">
        <f t="shared" si="8"/>
        <v>76.569169906552588</v>
      </c>
    </row>
    <row r="20" spans="1:27" x14ac:dyDescent="0.3">
      <c r="A20" t="s">
        <v>37</v>
      </c>
      <c r="B20" s="28">
        <f t="shared" ref="B20:C20" si="35">B14+B15+B16+B17+B18+B19</f>
        <v>519411718.26999998</v>
      </c>
      <c r="C20" s="28">
        <f t="shared" si="35"/>
        <v>419869076.55000001</v>
      </c>
      <c r="D20" s="20">
        <f t="shared" si="0"/>
        <v>80.835503278296116</v>
      </c>
      <c r="E20" s="28">
        <f t="shared" ref="E20:F20" si="36">E14+E15+E16+E17+E18+E19</f>
        <v>425681504.91999996</v>
      </c>
      <c r="F20" s="28">
        <f t="shared" si="36"/>
        <v>336583275.56999999</v>
      </c>
      <c r="G20" s="20">
        <f t="shared" si="1"/>
        <v>79.06927401820181</v>
      </c>
      <c r="H20" s="19">
        <f t="shared" ref="H20:I20" si="37">H14+H15+H16+H17+H18+H19</f>
        <v>457751653.48000002</v>
      </c>
      <c r="I20" s="19">
        <f t="shared" si="37"/>
        <v>353895959.09999996</v>
      </c>
      <c r="J20" s="20">
        <f t="shared" si="26"/>
        <v>77.311781707296944</v>
      </c>
      <c r="K20" s="19">
        <f t="shared" ref="K20:L20" si="38">K14+K15+K16+K17+K18+K19</f>
        <v>504886270.63</v>
      </c>
      <c r="L20" s="19">
        <f t="shared" si="38"/>
        <v>394158864.03999996</v>
      </c>
      <c r="M20" s="20">
        <f t="shared" si="28"/>
        <v>78.068841830094982</v>
      </c>
      <c r="N20" s="19">
        <f t="shared" ref="N20:O20" si="39">N14+N15+N16+N17+N18+N19</f>
        <v>597054468.25999999</v>
      </c>
      <c r="O20" s="19">
        <f t="shared" si="39"/>
        <v>497394881.83999997</v>
      </c>
      <c r="P20" s="20">
        <f t="shared" si="30"/>
        <v>83.308124849908822</v>
      </c>
      <c r="Q20" s="19">
        <f t="shared" ref="Q20:R20" si="40">Q14+Q15+Q16+Q17+Q18+Q19</f>
        <v>549690248.66999996</v>
      </c>
      <c r="R20" s="19">
        <f t="shared" si="40"/>
        <v>451704774.86000001</v>
      </c>
      <c r="S20" s="20">
        <f t="shared" si="32"/>
        <v>82.174420221737577</v>
      </c>
      <c r="T20" s="19">
        <f t="shared" ref="T20:U20" si="41">T14+T15+T16+T17+T18+T19</f>
        <v>475030636.06999999</v>
      </c>
      <c r="U20" s="19">
        <f t="shared" si="41"/>
        <v>360067312.25</v>
      </c>
      <c r="V20" s="20">
        <f t="shared" si="34"/>
        <v>75.798755892649609</v>
      </c>
      <c r="W20" s="19">
        <v>541979469.06999993</v>
      </c>
      <c r="X20" s="19">
        <v>398048189.85000002</v>
      </c>
      <c r="Y20" s="20">
        <f t="shared" si="7"/>
        <v>73.443407465789022</v>
      </c>
      <c r="Z20" s="13">
        <f t="shared" si="8"/>
        <v>14.093582164274238</v>
      </c>
      <c r="AA20" s="13">
        <f t="shared" si="8"/>
        <v>10.548271478092232</v>
      </c>
    </row>
    <row r="21" spans="1:27" x14ac:dyDescent="0.3">
      <c r="A21" t="s">
        <v>38</v>
      </c>
      <c r="B21" s="28">
        <f t="shared" ref="B21:C21" si="42">B20-B19</f>
        <v>251171033.42999998</v>
      </c>
      <c r="C21" s="28">
        <f t="shared" si="42"/>
        <v>151957885.34</v>
      </c>
      <c r="D21" s="20">
        <f t="shared" si="0"/>
        <v>60.499765146027414</v>
      </c>
      <c r="E21" s="28">
        <f t="shared" ref="E21:F21" si="43">E20-E19</f>
        <v>334513853.19999993</v>
      </c>
      <c r="F21" s="28">
        <f t="shared" si="43"/>
        <v>245626833.05000001</v>
      </c>
      <c r="G21" s="20">
        <f t="shared" si="1"/>
        <v>73.428000275714751</v>
      </c>
      <c r="H21" s="19">
        <f t="shared" ref="H21:I21" si="44">H20-H19</f>
        <v>373969261.24000001</v>
      </c>
      <c r="I21" s="19">
        <f t="shared" si="44"/>
        <v>270542002.76999998</v>
      </c>
      <c r="J21" s="20">
        <f t="shared" si="26"/>
        <v>72.343379740073317</v>
      </c>
      <c r="K21" s="19">
        <f t="shared" ref="K21:L21" si="45">K20-K19</f>
        <v>415437672.90999997</v>
      </c>
      <c r="L21" s="19">
        <f t="shared" si="45"/>
        <v>305233848.15999997</v>
      </c>
      <c r="M21" s="20">
        <f t="shared" si="28"/>
        <v>73.472837940271617</v>
      </c>
      <c r="N21" s="19">
        <f t="shared" ref="N21:O21" si="46">N20-N19</f>
        <v>464408885.62</v>
      </c>
      <c r="O21" s="19">
        <f t="shared" si="46"/>
        <v>365460453.70999998</v>
      </c>
      <c r="P21" s="20">
        <f t="shared" si="30"/>
        <v>78.693682447978816</v>
      </c>
      <c r="Q21" s="19">
        <f t="shared" ref="Q21:R21" si="47">Q20-Q19</f>
        <v>428457209.86999995</v>
      </c>
      <c r="R21" s="19">
        <f t="shared" si="47"/>
        <v>330567593.44</v>
      </c>
      <c r="S21" s="20">
        <f t="shared" si="32"/>
        <v>77.153000538910049</v>
      </c>
      <c r="T21" s="19">
        <f t="shared" ref="T21:U21" si="48">T20-T19</f>
        <v>407882258.36000001</v>
      </c>
      <c r="U21" s="19">
        <f t="shared" si="48"/>
        <v>293465146.94999999</v>
      </c>
      <c r="V21" s="20">
        <f t="shared" si="34"/>
        <v>71.948495168668359</v>
      </c>
      <c r="W21" s="19">
        <v>424124193.63999993</v>
      </c>
      <c r="X21" s="19">
        <v>280449299.44000006</v>
      </c>
      <c r="Y21" s="20">
        <f t="shared" si="7"/>
        <v>66.124334250558618</v>
      </c>
      <c r="Z21" s="13">
        <f t="shared" si="8"/>
        <v>3.9820156300264102</v>
      </c>
      <c r="AA21" s="13">
        <f t="shared" si="8"/>
        <v>-4.4352277077105668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96" t="s">
        <v>75</v>
      </c>
      <c r="I22" s="96" t="s">
        <v>76</v>
      </c>
      <c r="J22" s="18"/>
      <c r="K22" s="96" t="s">
        <v>75</v>
      </c>
      <c r="L22" s="96" t="s">
        <v>76</v>
      </c>
      <c r="M22" s="18"/>
      <c r="N22" s="96" t="s">
        <v>75</v>
      </c>
      <c r="O22" s="96" t="s">
        <v>76</v>
      </c>
      <c r="P22" s="18"/>
      <c r="Q22" s="96" t="s">
        <v>75</v>
      </c>
      <c r="R22" s="96" t="s">
        <v>76</v>
      </c>
      <c r="S22" s="18"/>
      <c r="T22" s="96" t="s">
        <v>75</v>
      </c>
      <c r="U22" s="96" t="s">
        <v>76</v>
      </c>
      <c r="V22" s="18"/>
      <c r="W22" s="96" t="s">
        <v>75</v>
      </c>
      <c r="X22" s="96" t="s">
        <v>76</v>
      </c>
      <c r="Y22" s="18"/>
    </row>
    <row r="23" spans="1:27" x14ac:dyDescent="0.3">
      <c r="A23" s="5" t="s">
        <v>39</v>
      </c>
      <c r="B23" s="27">
        <v>52921131.799999997</v>
      </c>
      <c r="C23" s="27">
        <v>49064925.310000002</v>
      </c>
      <c r="D23" s="20">
        <f>IF(B23&gt;0,C23/B23*100,"-")</f>
        <v>92.713295504386778</v>
      </c>
      <c r="E23" s="27">
        <v>48933253.719999999</v>
      </c>
      <c r="F23" s="27">
        <v>45715738.520000003</v>
      </c>
      <c r="G23" s="20">
        <f>IF(E23&gt;0,F23/E23*100,"-")</f>
        <v>93.424685759890664</v>
      </c>
      <c r="H23" s="98">
        <v>49745130.740000002</v>
      </c>
      <c r="I23" s="98">
        <v>47181304.920000002</v>
      </c>
      <c r="J23" s="20">
        <f>IF(H23&gt;0,I23/H23*100,"-")</f>
        <v>94.846076828302657</v>
      </c>
      <c r="K23" s="98">
        <v>47864590.609999999</v>
      </c>
      <c r="L23" s="98">
        <v>44451792.049999997</v>
      </c>
      <c r="M23" s="20">
        <f>IF(K23&gt;0,L23/K23*100,"-")</f>
        <v>92.869888749686723</v>
      </c>
      <c r="N23" s="98">
        <v>41614974.93</v>
      </c>
      <c r="O23" s="98">
        <v>37726731.25</v>
      </c>
      <c r="P23" s="20">
        <f>IF(N23&gt;0,O23/N23*100,"-")</f>
        <v>90.65662375973946</v>
      </c>
      <c r="Q23" s="98">
        <v>39206138.590000004</v>
      </c>
      <c r="R23" s="98">
        <v>35534846.5</v>
      </c>
      <c r="S23" s="20">
        <f>IF(Q23&gt;0,R23/Q23*100,"-")</f>
        <v>90.635925337119502</v>
      </c>
      <c r="T23" s="1">
        <v>43780284.32</v>
      </c>
      <c r="U23" s="1">
        <v>39436227.090000004</v>
      </c>
      <c r="V23" s="20">
        <f>IF(T23&gt;0,U23/T23*100,"-")</f>
        <v>90.07759474961766</v>
      </c>
      <c r="W23" s="1">
        <v>41017180.310000002</v>
      </c>
      <c r="X23" s="1">
        <v>37765677.189999998</v>
      </c>
      <c r="Y23" s="20">
        <f>IF(W23&gt;0,X23/W23*100,"-")</f>
        <v>92.07282632441877</v>
      </c>
      <c r="Z23" s="13">
        <f t="shared" si="8"/>
        <v>-6.3112975461827716</v>
      </c>
      <c r="AA23" s="13">
        <f t="shared" si="8"/>
        <v>-4.2360794205478385</v>
      </c>
    </row>
    <row r="24" spans="1:27" x14ac:dyDescent="0.3">
      <c r="A24" s="5" t="s">
        <v>40</v>
      </c>
      <c r="B24" s="27">
        <v>3555088.5</v>
      </c>
      <c r="C24" s="27">
        <v>2690892.76</v>
      </c>
      <c r="D24" s="20">
        <f t="shared" ref="D24:D55" si="49">IF(B24&gt;0,C24/B24*100,"-")</f>
        <v>75.691301637075981</v>
      </c>
      <c r="E24" s="27">
        <v>3286670.94</v>
      </c>
      <c r="F24" s="27">
        <v>2486602.1800000002</v>
      </c>
      <c r="G24" s="20">
        <f t="shared" ref="G24:G55" si="50">IF(E24&gt;0,F24/E24*100,"-")</f>
        <v>75.657168770293765</v>
      </c>
      <c r="H24" s="98">
        <v>3269844.28</v>
      </c>
      <c r="I24" s="98">
        <v>2593537.25</v>
      </c>
      <c r="J24" s="20">
        <f t="shared" ref="J24:J55" si="51">IF(H24&gt;0,I24/H24*100,"-")</f>
        <v>79.31684288035882</v>
      </c>
      <c r="K24" s="98">
        <v>3304511.1</v>
      </c>
      <c r="L24" s="98">
        <v>2941824.65</v>
      </c>
      <c r="M24" s="20">
        <f t="shared" ref="M24:M55" si="52">IF(K24&gt;0,L24/K24*100,"-")</f>
        <v>89.024505016793555</v>
      </c>
      <c r="N24" s="98">
        <v>2790713.38</v>
      </c>
      <c r="O24" s="98">
        <v>2123930.17</v>
      </c>
      <c r="P24" s="20">
        <f t="shared" ref="P24:P55" si="53">IF(N24&gt;0,O24/N24*100,"-")</f>
        <v>76.107069440431033</v>
      </c>
      <c r="Q24" s="98">
        <v>2680330.66</v>
      </c>
      <c r="R24" s="98">
        <v>2018029.79</v>
      </c>
      <c r="S24" s="20">
        <f t="shared" ref="S24:S55" si="54">IF(Q24&gt;0,R24/Q24*100,"-")</f>
        <v>75.29032966402734</v>
      </c>
      <c r="T24" s="1">
        <v>3201573.45</v>
      </c>
      <c r="U24" s="1">
        <v>2760000.12</v>
      </c>
      <c r="V24" s="20">
        <f t="shared" ref="V24:V55" si="55">IF(T24&gt;0,U24/T24*100,"-")</f>
        <v>86.207615196209218</v>
      </c>
      <c r="W24" s="1">
        <v>2992337.54</v>
      </c>
      <c r="X24" s="1">
        <v>2323737.63</v>
      </c>
      <c r="Y24" s="20">
        <f t="shared" ref="Y24:Y55" si="56">IF(W24&gt;0,X24/W24*100,"-")</f>
        <v>77.656267013246108</v>
      </c>
      <c r="Z24" s="13">
        <f t="shared" si="8"/>
        <v>-6.5354087066158115</v>
      </c>
      <c r="AA24" s="13">
        <f t="shared" si="8"/>
        <v>-15.806611269277781</v>
      </c>
    </row>
    <row r="25" spans="1:27" x14ac:dyDescent="0.3">
      <c r="A25" s="5" t="s">
        <v>41</v>
      </c>
      <c r="B25" s="27">
        <v>96398186.170000002</v>
      </c>
      <c r="C25" s="27">
        <v>32970781.329999998</v>
      </c>
      <c r="D25" s="20">
        <f t="shared" si="49"/>
        <v>34.202698868063145</v>
      </c>
      <c r="E25" s="27">
        <v>95898683.090000004</v>
      </c>
      <c r="F25" s="27">
        <v>26166457.18</v>
      </c>
      <c r="G25" s="20">
        <f t="shared" si="50"/>
        <v>27.28552294659044</v>
      </c>
      <c r="H25" s="98">
        <v>98667693.140000001</v>
      </c>
      <c r="I25" s="98">
        <v>33915949.5</v>
      </c>
      <c r="J25" s="20">
        <f t="shared" si="51"/>
        <v>34.373915534719671</v>
      </c>
      <c r="K25" s="98">
        <v>94952550.340000004</v>
      </c>
      <c r="L25" s="98">
        <v>26827137.27</v>
      </c>
      <c r="M25" s="20">
        <f t="shared" si="52"/>
        <v>28.2532034936809</v>
      </c>
      <c r="N25" s="98">
        <v>96421991.560000002</v>
      </c>
      <c r="O25" s="98">
        <v>43725031.460000001</v>
      </c>
      <c r="P25" s="20">
        <f t="shared" si="53"/>
        <v>45.347571391731165</v>
      </c>
      <c r="Q25" s="98">
        <v>94852591.920000002</v>
      </c>
      <c r="R25" s="98">
        <v>45197006.130000003</v>
      </c>
      <c r="S25" s="20">
        <f t="shared" si="54"/>
        <v>47.649732300536165</v>
      </c>
      <c r="T25" s="1">
        <v>108793055.34</v>
      </c>
      <c r="U25" s="1">
        <v>58874434.390000001</v>
      </c>
      <c r="V25" s="20">
        <f t="shared" si="55"/>
        <v>54.115985809944988</v>
      </c>
      <c r="W25" s="1">
        <v>102282386.98999999</v>
      </c>
      <c r="X25" s="1">
        <v>61493519.850000001</v>
      </c>
      <c r="Y25" s="20">
        <f t="shared" si="56"/>
        <v>60.121318693913686</v>
      </c>
      <c r="Z25" s="13">
        <f t="shared" si="8"/>
        <v>-5.9844521597935341</v>
      </c>
      <c r="AA25" s="13">
        <f t="shared" si="8"/>
        <v>4.4485955357982334</v>
      </c>
    </row>
    <row r="26" spans="1:27" x14ac:dyDescent="0.3">
      <c r="A26" s="5" t="s">
        <v>42</v>
      </c>
      <c r="B26" s="27">
        <v>10634281.460000001</v>
      </c>
      <c r="C26" s="27">
        <v>5467062.9699999997</v>
      </c>
      <c r="D26" s="20">
        <f t="shared" si="49"/>
        <v>51.409801316279989</v>
      </c>
      <c r="E26" s="27">
        <v>11810401.630000001</v>
      </c>
      <c r="F26" s="27">
        <v>4299402.28</v>
      </c>
      <c r="G26" s="20">
        <f t="shared" si="50"/>
        <v>36.403523052754984</v>
      </c>
      <c r="H26" s="98">
        <v>8534166.1400000006</v>
      </c>
      <c r="I26" s="98">
        <v>3793821.69</v>
      </c>
      <c r="J26" s="20">
        <f t="shared" si="51"/>
        <v>44.454509412679414</v>
      </c>
      <c r="K26" s="98">
        <v>6112663.3300000001</v>
      </c>
      <c r="L26" s="98">
        <v>899245.57</v>
      </c>
      <c r="M26" s="20">
        <f t="shared" si="52"/>
        <v>14.711190874633036</v>
      </c>
      <c r="N26" s="98">
        <v>8616041.9600000009</v>
      </c>
      <c r="O26" s="98">
        <v>1321464.95</v>
      </c>
      <c r="P26" s="20">
        <f t="shared" si="53"/>
        <v>15.337262238681109</v>
      </c>
      <c r="Q26" s="98">
        <v>6930919.0599999996</v>
      </c>
      <c r="R26" s="98">
        <v>494022.25</v>
      </c>
      <c r="S26" s="20">
        <f t="shared" si="54"/>
        <v>7.1278029035300836</v>
      </c>
      <c r="T26" s="1">
        <v>5043393.4800000004</v>
      </c>
      <c r="U26" s="1">
        <v>1463595.24</v>
      </c>
      <c r="V26" s="20">
        <f t="shared" si="55"/>
        <v>29.020048620120747</v>
      </c>
      <c r="W26" s="1">
        <v>5182705.05</v>
      </c>
      <c r="X26" s="1">
        <v>2756959.89</v>
      </c>
      <c r="Y26" s="20">
        <f t="shared" si="56"/>
        <v>53.195384715169155</v>
      </c>
      <c r="Z26" s="13">
        <f t="shared" si="8"/>
        <v>2.7622585973601304</v>
      </c>
      <c r="AA26" s="13">
        <f t="shared" si="8"/>
        <v>88.369011776780582</v>
      </c>
    </row>
    <row r="27" spans="1:27" x14ac:dyDescent="0.3">
      <c r="A27" s="5" t="s">
        <v>43</v>
      </c>
      <c r="B27" s="27">
        <v>11450892.470000001</v>
      </c>
      <c r="C27" s="27">
        <v>11448772.26</v>
      </c>
      <c r="D27" s="20">
        <f t="shared" si="49"/>
        <v>99.981484325299917</v>
      </c>
      <c r="E27" s="27">
        <v>11461042.98</v>
      </c>
      <c r="F27" s="27">
        <v>7803872.96</v>
      </c>
      <c r="G27" s="20">
        <f t="shared" si="50"/>
        <v>68.090425745877454</v>
      </c>
      <c r="H27" s="98">
        <v>11494625.300000001</v>
      </c>
      <c r="I27" s="98">
        <v>11183723.560000001</v>
      </c>
      <c r="J27" s="20">
        <f t="shared" si="51"/>
        <v>97.29524249911826</v>
      </c>
      <c r="K27" s="98">
        <v>11447930.43</v>
      </c>
      <c r="L27" s="98">
        <v>11047819.289999999</v>
      </c>
      <c r="M27" s="20">
        <f t="shared" si="52"/>
        <v>96.504947837982272</v>
      </c>
      <c r="N27" s="98">
        <v>11695720.310000001</v>
      </c>
      <c r="O27" s="98">
        <v>10792784.1</v>
      </c>
      <c r="P27" s="20">
        <f t="shared" si="53"/>
        <v>92.279772548699043</v>
      </c>
      <c r="Q27" s="98">
        <v>12363359.779999999</v>
      </c>
      <c r="R27" s="98">
        <v>11244490.67</v>
      </c>
      <c r="S27" s="20">
        <f t="shared" si="54"/>
        <v>90.95012092255071</v>
      </c>
      <c r="T27" s="1">
        <v>11048910.15</v>
      </c>
      <c r="U27" s="1">
        <v>10749182.34</v>
      </c>
      <c r="V27" s="20">
        <f t="shared" si="55"/>
        <v>97.287263576851515</v>
      </c>
      <c r="W27" s="1">
        <v>11321643</v>
      </c>
      <c r="X27" s="1">
        <v>10497957.710000001</v>
      </c>
      <c r="Y27" s="20">
        <f t="shared" si="56"/>
        <v>92.724684129326462</v>
      </c>
      <c r="Z27" s="13">
        <f t="shared" si="8"/>
        <v>2.4684140453436356</v>
      </c>
      <c r="AA27" s="13">
        <f t="shared" si="8"/>
        <v>-2.3371510692970361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49"/>
        <v>-</v>
      </c>
      <c r="E28" s="27">
        <v>0</v>
      </c>
      <c r="F28" s="27">
        <v>0</v>
      </c>
      <c r="G28" s="20" t="str">
        <f t="shared" si="50"/>
        <v>-</v>
      </c>
      <c r="H28" s="98">
        <v>0</v>
      </c>
      <c r="I28" s="98">
        <v>0</v>
      </c>
      <c r="J28" s="20" t="str">
        <f t="shared" si="51"/>
        <v>-</v>
      </c>
      <c r="K28" s="98">
        <v>0</v>
      </c>
      <c r="L28" s="98">
        <v>0</v>
      </c>
      <c r="M28" s="20" t="str">
        <f t="shared" si="52"/>
        <v>-</v>
      </c>
      <c r="N28" s="98">
        <v>0</v>
      </c>
      <c r="O28" s="98">
        <v>0</v>
      </c>
      <c r="P28" s="20" t="str">
        <f t="shared" si="53"/>
        <v>-</v>
      </c>
      <c r="Q28" s="98">
        <v>0</v>
      </c>
      <c r="R28" s="98">
        <v>0</v>
      </c>
      <c r="S28" s="20" t="str">
        <f t="shared" si="54"/>
        <v>-</v>
      </c>
      <c r="T28" s="98">
        <v>0</v>
      </c>
      <c r="U28" s="98">
        <v>0</v>
      </c>
      <c r="V28" s="20" t="str">
        <f t="shared" si="55"/>
        <v>-</v>
      </c>
      <c r="W28" s="98">
        <v>0</v>
      </c>
      <c r="X28" s="98">
        <v>0</v>
      </c>
      <c r="Y28" s="20" t="str">
        <f t="shared" si="56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604532.17000000004</v>
      </c>
      <c r="C29" s="27">
        <v>459014.78</v>
      </c>
      <c r="D29" s="20">
        <f t="shared" si="49"/>
        <v>75.928925337422498</v>
      </c>
      <c r="E29" s="27">
        <v>141318.66</v>
      </c>
      <c r="F29" s="27">
        <v>49360.19</v>
      </c>
      <c r="G29" s="20">
        <f t="shared" si="50"/>
        <v>34.928289017175793</v>
      </c>
      <c r="H29" s="98">
        <v>126579.56</v>
      </c>
      <c r="I29" s="98">
        <v>77895.69</v>
      </c>
      <c r="J29" s="20">
        <f t="shared" si="51"/>
        <v>61.538916709775258</v>
      </c>
      <c r="K29" s="98">
        <v>437395.39</v>
      </c>
      <c r="L29" s="98">
        <v>315271.74</v>
      </c>
      <c r="M29" s="20">
        <f t="shared" si="52"/>
        <v>72.079346789640368</v>
      </c>
      <c r="N29" s="98">
        <v>133517.57999999999</v>
      </c>
      <c r="O29" s="98">
        <v>26343.67</v>
      </c>
      <c r="P29" s="20">
        <f t="shared" si="53"/>
        <v>19.73048792526048</v>
      </c>
      <c r="Q29" s="98">
        <v>112769.94</v>
      </c>
      <c r="R29" s="98">
        <v>20351.98</v>
      </c>
      <c r="S29" s="20">
        <f t="shared" si="54"/>
        <v>18.047344886412105</v>
      </c>
      <c r="T29" s="1">
        <v>95583.44</v>
      </c>
      <c r="U29" s="1">
        <v>47371.02</v>
      </c>
      <c r="V29" s="20">
        <f t="shared" si="55"/>
        <v>49.559860996842126</v>
      </c>
      <c r="W29" s="1">
        <v>708809.16</v>
      </c>
      <c r="X29" s="1">
        <v>127488.53</v>
      </c>
      <c r="Y29" s="20">
        <f t="shared" si="56"/>
        <v>17.986298314767826</v>
      </c>
      <c r="Z29" s="13">
        <f t="shared" si="8"/>
        <v>641.56063016773612</v>
      </c>
      <c r="AA29" s="13">
        <f t="shared" si="8"/>
        <v>169.12768608317913</v>
      </c>
    </row>
    <row r="30" spans="1:27" x14ac:dyDescent="0.3">
      <c r="A30" s="5" t="s">
        <v>46</v>
      </c>
      <c r="B30" s="27">
        <v>6582399.2000000002</v>
      </c>
      <c r="C30" s="27">
        <v>4342985.8099999996</v>
      </c>
      <c r="D30" s="20">
        <f t="shared" si="49"/>
        <v>65.978766678265259</v>
      </c>
      <c r="E30" s="27">
        <v>5722729.9500000002</v>
      </c>
      <c r="F30" s="27">
        <v>4036861.77</v>
      </c>
      <c r="G30" s="20">
        <f t="shared" si="50"/>
        <v>70.54083986612018</v>
      </c>
      <c r="H30" s="98">
        <v>5697077.96</v>
      </c>
      <c r="I30" s="98">
        <v>4669044.6100000003</v>
      </c>
      <c r="J30" s="20">
        <f t="shared" si="51"/>
        <v>81.955076668812168</v>
      </c>
      <c r="K30" s="98">
        <v>5321090.91</v>
      </c>
      <c r="L30" s="98">
        <v>3583115.31</v>
      </c>
      <c r="M30" s="20">
        <f t="shared" si="52"/>
        <v>67.337983330940688</v>
      </c>
      <c r="N30" s="98">
        <v>5765639.5099999998</v>
      </c>
      <c r="O30" s="98">
        <v>2954578.63</v>
      </c>
      <c r="P30" s="20">
        <f t="shared" si="53"/>
        <v>51.244595241786108</v>
      </c>
      <c r="Q30" s="98">
        <v>8560217.9800000004</v>
      </c>
      <c r="R30" s="98">
        <v>3858024.36</v>
      </c>
      <c r="S30" s="20">
        <f t="shared" si="54"/>
        <v>45.069230351538309</v>
      </c>
      <c r="T30" s="1">
        <v>5827001.0700000003</v>
      </c>
      <c r="U30" s="1">
        <v>4519837.55</v>
      </c>
      <c r="V30" s="20">
        <f t="shared" si="55"/>
        <v>77.567130942709767</v>
      </c>
      <c r="W30" s="1">
        <v>5272911.5</v>
      </c>
      <c r="X30" s="1">
        <v>3623005.82</v>
      </c>
      <c r="Y30" s="20">
        <f t="shared" si="56"/>
        <v>68.709778648854609</v>
      </c>
      <c r="Z30" s="13">
        <f t="shared" si="8"/>
        <v>-9.5090006564903575</v>
      </c>
      <c r="AA30" s="13">
        <f t="shared" si="8"/>
        <v>-19.842123086923777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49"/>
        <v>-</v>
      </c>
      <c r="E31" s="28">
        <v>0</v>
      </c>
      <c r="F31" s="28">
        <v>0</v>
      </c>
      <c r="G31" s="20" t="str">
        <f t="shared" si="50"/>
        <v>-</v>
      </c>
      <c r="H31" s="19">
        <v>0</v>
      </c>
      <c r="I31" s="19">
        <v>0</v>
      </c>
      <c r="J31" s="20" t="str">
        <f t="shared" si="51"/>
        <v>-</v>
      </c>
      <c r="K31" s="19">
        <v>0</v>
      </c>
      <c r="L31" s="19">
        <v>0</v>
      </c>
      <c r="M31" s="20" t="str">
        <f t="shared" si="52"/>
        <v>-</v>
      </c>
      <c r="N31" s="19">
        <v>0</v>
      </c>
      <c r="O31" s="19">
        <v>0</v>
      </c>
      <c r="P31" s="20" t="str">
        <f t="shared" si="53"/>
        <v>-</v>
      </c>
      <c r="Q31" s="19">
        <v>0</v>
      </c>
      <c r="R31" s="19">
        <v>0</v>
      </c>
      <c r="S31" s="20" t="str">
        <f t="shared" si="54"/>
        <v>-</v>
      </c>
      <c r="T31" s="19">
        <v>0</v>
      </c>
      <c r="U31" s="19">
        <v>0</v>
      </c>
      <c r="V31" s="20" t="str">
        <f t="shared" si="55"/>
        <v>-</v>
      </c>
      <c r="W31" s="19">
        <v>0</v>
      </c>
      <c r="X31" s="19">
        <v>0</v>
      </c>
      <c r="Y31" s="20" t="str">
        <f t="shared" si="56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60334843.289999999</v>
      </c>
      <c r="C32" s="27">
        <v>11424761.5</v>
      </c>
      <c r="D32" s="20">
        <f t="shared" si="49"/>
        <v>18.935594885175679</v>
      </c>
      <c r="E32" s="27">
        <v>23826598.989999998</v>
      </c>
      <c r="F32" s="27">
        <v>6655173.21</v>
      </c>
      <c r="G32" s="20">
        <f t="shared" si="50"/>
        <v>27.931696054452292</v>
      </c>
      <c r="H32" s="98">
        <v>28455371.440000001</v>
      </c>
      <c r="I32" s="98">
        <v>14928471.050000001</v>
      </c>
      <c r="J32" s="20">
        <f t="shared" si="51"/>
        <v>52.462752354077161</v>
      </c>
      <c r="K32" s="98">
        <v>32953203.690000001</v>
      </c>
      <c r="L32" s="98">
        <v>14004416.33</v>
      </c>
      <c r="M32" s="20">
        <f t="shared" si="52"/>
        <v>42.49789022561648</v>
      </c>
      <c r="N32" s="98">
        <v>60449399.439999998</v>
      </c>
      <c r="O32" s="98">
        <v>12971985.390000001</v>
      </c>
      <c r="P32" s="20">
        <f t="shared" si="53"/>
        <v>21.459246097019623</v>
      </c>
      <c r="Q32" s="98">
        <v>27748372.07</v>
      </c>
      <c r="R32" s="98">
        <v>6811254.4500000002</v>
      </c>
      <c r="S32" s="20">
        <f t="shared" si="54"/>
        <v>24.546501080558706</v>
      </c>
      <c r="T32" s="1">
        <v>30724526.170000002</v>
      </c>
      <c r="U32" s="1">
        <v>8237518.2599999998</v>
      </c>
      <c r="V32" s="20">
        <f t="shared" si="55"/>
        <v>26.810887869910477</v>
      </c>
      <c r="W32" s="1">
        <v>44261399.5</v>
      </c>
      <c r="X32" s="1">
        <v>25471574.170000002</v>
      </c>
      <c r="Y32" s="20">
        <f t="shared" si="56"/>
        <v>57.548054191101663</v>
      </c>
      <c r="Z32" s="13">
        <f t="shared" si="8"/>
        <v>44.058851404574796</v>
      </c>
      <c r="AA32" s="13">
        <f t="shared" si="8"/>
        <v>209.21417550824344</v>
      </c>
    </row>
    <row r="33" spans="1:27" x14ac:dyDescent="0.3">
      <c r="A33" s="5" t="s">
        <v>49</v>
      </c>
      <c r="B33" s="27">
        <v>0</v>
      </c>
      <c r="C33" s="27">
        <v>0</v>
      </c>
      <c r="D33" s="20" t="str">
        <f t="shared" si="49"/>
        <v>-</v>
      </c>
      <c r="E33" s="27">
        <v>0</v>
      </c>
      <c r="F33" s="27">
        <v>0</v>
      </c>
      <c r="G33" s="20" t="str">
        <f t="shared" si="50"/>
        <v>-</v>
      </c>
      <c r="H33" s="98">
        <v>0</v>
      </c>
      <c r="I33" s="98">
        <v>0</v>
      </c>
      <c r="J33" s="20" t="str">
        <f t="shared" si="51"/>
        <v>-</v>
      </c>
      <c r="K33" s="98">
        <v>0</v>
      </c>
      <c r="L33" s="98">
        <v>0</v>
      </c>
      <c r="M33" s="20" t="str">
        <f t="shared" si="52"/>
        <v>-</v>
      </c>
      <c r="N33" s="98">
        <v>0</v>
      </c>
      <c r="O33" s="98">
        <v>0</v>
      </c>
      <c r="P33" s="20" t="str">
        <f t="shared" si="53"/>
        <v>-</v>
      </c>
      <c r="Q33" s="98">
        <v>0</v>
      </c>
      <c r="R33" s="98">
        <v>0</v>
      </c>
      <c r="S33" s="20" t="str">
        <f t="shared" si="54"/>
        <v>-</v>
      </c>
      <c r="T33" s="98">
        <v>0</v>
      </c>
      <c r="U33" s="98">
        <v>0</v>
      </c>
      <c r="V33" s="20" t="str">
        <f t="shared" si="55"/>
        <v>-</v>
      </c>
      <c r="W33" s="98">
        <v>0</v>
      </c>
      <c r="X33" s="98">
        <v>0</v>
      </c>
      <c r="Y33" s="20" t="str">
        <f t="shared" si="56"/>
        <v>-</v>
      </c>
      <c r="Z33" s="13" t="str">
        <f t="shared" si="8"/>
        <v>-</v>
      </c>
      <c r="AA33" s="13" t="str">
        <f t="shared" si="8"/>
        <v>-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49"/>
        <v>-</v>
      </c>
      <c r="E34" s="27">
        <v>0</v>
      </c>
      <c r="F34" s="27">
        <v>0</v>
      </c>
      <c r="G34" s="20" t="str">
        <f t="shared" si="50"/>
        <v>-</v>
      </c>
      <c r="H34" s="98">
        <v>0</v>
      </c>
      <c r="I34" s="98">
        <v>0</v>
      </c>
      <c r="J34" s="20" t="str">
        <f t="shared" si="51"/>
        <v>-</v>
      </c>
      <c r="K34" s="98">
        <v>0</v>
      </c>
      <c r="L34" s="98">
        <v>0</v>
      </c>
      <c r="M34" s="20" t="str">
        <f t="shared" si="52"/>
        <v>-</v>
      </c>
      <c r="N34" s="98">
        <v>0</v>
      </c>
      <c r="O34" s="98">
        <v>0</v>
      </c>
      <c r="P34" s="20" t="str">
        <f t="shared" si="53"/>
        <v>-</v>
      </c>
      <c r="Q34" s="98">
        <v>0</v>
      </c>
      <c r="R34" s="98">
        <v>0</v>
      </c>
      <c r="S34" s="20" t="str">
        <f t="shared" si="54"/>
        <v>-</v>
      </c>
      <c r="T34" s="98">
        <v>0</v>
      </c>
      <c r="U34" s="98">
        <v>0</v>
      </c>
      <c r="V34" s="20" t="str">
        <f t="shared" si="55"/>
        <v>-</v>
      </c>
      <c r="W34" s="98">
        <v>0</v>
      </c>
      <c r="X34" s="98">
        <v>0</v>
      </c>
      <c r="Y34" s="20" t="str">
        <f t="shared" si="56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0</v>
      </c>
      <c r="C35" s="27">
        <v>0</v>
      </c>
      <c r="D35" s="20" t="str">
        <f t="shared" si="49"/>
        <v>-</v>
      </c>
      <c r="E35" s="27">
        <v>0</v>
      </c>
      <c r="F35" s="27">
        <v>0</v>
      </c>
      <c r="G35" s="20" t="str">
        <f t="shared" si="50"/>
        <v>-</v>
      </c>
      <c r="H35" s="98">
        <v>0</v>
      </c>
      <c r="I35" s="98">
        <v>0</v>
      </c>
      <c r="J35" s="20" t="str">
        <f t="shared" si="51"/>
        <v>-</v>
      </c>
      <c r="K35" s="98">
        <v>0</v>
      </c>
      <c r="L35" s="98">
        <v>0</v>
      </c>
      <c r="M35" s="20" t="str">
        <f t="shared" si="52"/>
        <v>-</v>
      </c>
      <c r="N35" s="98">
        <v>0</v>
      </c>
      <c r="O35" s="98">
        <v>0</v>
      </c>
      <c r="P35" s="20" t="str">
        <f t="shared" si="53"/>
        <v>-</v>
      </c>
      <c r="Q35" s="98">
        <v>0</v>
      </c>
      <c r="R35" s="98">
        <v>0</v>
      </c>
      <c r="S35" s="20" t="str">
        <f t="shared" si="54"/>
        <v>-</v>
      </c>
      <c r="T35" s="98">
        <v>0</v>
      </c>
      <c r="U35" s="98">
        <v>0</v>
      </c>
      <c r="V35" s="20" t="str">
        <f t="shared" si="55"/>
        <v>-</v>
      </c>
      <c r="W35" s="98">
        <v>0</v>
      </c>
      <c r="X35" s="98">
        <v>0</v>
      </c>
      <c r="Y35" s="20" t="str">
        <f t="shared" si="56"/>
        <v>-</v>
      </c>
      <c r="Z35" s="13" t="str">
        <f t="shared" si="8"/>
        <v>-</v>
      </c>
      <c r="AA35" s="13" t="str">
        <f t="shared" si="8"/>
        <v>-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49"/>
        <v>-</v>
      </c>
      <c r="E36" s="27">
        <v>0</v>
      </c>
      <c r="F36" s="27">
        <v>0</v>
      </c>
      <c r="G36" s="20" t="str">
        <f t="shared" si="50"/>
        <v>-</v>
      </c>
      <c r="H36" s="98">
        <v>0</v>
      </c>
      <c r="I36" s="98">
        <v>0</v>
      </c>
      <c r="J36" s="20" t="str">
        <f t="shared" si="51"/>
        <v>-</v>
      </c>
      <c r="K36" s="98">
        <v>0</v>
      </c>
      <c r="L36" s="98">
        <v>0</v>
      </c>
      <c r="M36" s="20" t="str">
        <f t="shared" si="52"/>
        <v>-</v>
      </c>
      <c r="N36" s="98">
        <v>0</v>
      </c>
      <c r="O36" s="98">
        <v>0</v>
      </c>
      <c r="P36" s="20" t="str">
        <f t="shared" si="53"/>
        <v>-</v>
      </c>
      <c r="Q36" s="98">
        <v>0</v>
      </c>
      <c r="R36" s="98">
        <v>0</v>
      </c>
      <c r="S36" s="20" t="str">
        <f t="shared" si="54"/>
        <v>-</v>
      </c>
      <c r="T36" s="98">
        <v>0</v>
      </c>
      <c r="U36" s="98">
        <v>0</v>
      </c>
      <c r="V36" s="20" t="str">
        <f t="shared" si="55"/>
        <v>-</v>
      </c>
      <c r="W36" s="98">
        <v>0</v>
      </c>
      <c r="X36" s="98">
        <v>0</v>
      </c>
      <c r="Y36" s="20" t="str">
        <f t="shared" si="56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49"/>
        <v>-</v>
      </c>
      <c r="E37" s="27">
        <v>0</v>
      </c>
      <c r="F37" s="27">
        <v>0</v>
      </c>
      <c r="G37" s="20" t="str">
        <f t="shared" si="50"/>
        <v>-</v>
      </c>
      <c r="H37" s="98">
        <v>0</v>
      </c>
      <c r="I37" s="98">
        <v>0</v>
      </c>
      <c r="J37" s="20" t="str">
        <f t="shared" si="51"/>
        <v>-</v>
      </c>
      <c r="K37" s="98">
        <v>0</v>
      </c>
      <c r="L37" s="98">
        <v>0</v>
      </c>
      <c r="M37" s="20" t="str">
        <f t="shared" si="52"/>
        <v>-</v>
      </c>
      <c r="N37" s="98">
        <v>0</v>
      </c>
      <c r="O37" s="98">
        <v>0</v>
      </c>
      <c r="P37" s="20" t="str">
        <f t="shared" si="53"/>
        <v>-</v>
      </c>
      <c r="Q37" s="98">
        <v>0</v>
      </c>
      <c r="R37" s="98">
        <v>0</v>
      </c>
      <c r="S37" s="20" t="str">
        <f t="shared" si="54"/>
        <v>-</v>
      </c>
      <c r="T37" s="98">
        <v>0</v>
      </c>
      <c r="U37" s="98">
        <v>0</v>
      </c>
      <c r="V37" s="20" t="str">
        <f t="shared" si="55"/>
        <v>-</v>
      </c>
      <c r="W37" s="98">
        <v>0</v>
      </c>
      <c r="X37" s="98">
        <v>0</v>
      </c>
      <c r="Y37" s="20" t="str">
        <f t="shared" si="56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49"/>
        <v>-</v>
      </c>
      <c r="E38" s="27">
        <v>0</v>
      </c>
      <c r="F38" s="27">
        <v>0</v>
      </c>
      <c r="G38" s="20" t="str">
        <f t="shared" si="50"/>
        <v>-</v>
      </c>
      <c r="H38" s="98">
        <v>0</v>
      </c>
      <c r="I38" s="98">
        <v>0</v>
      </c>
      <c r="J38" s="20" t="str">
        <f t="shared" si="51"/>
        <v>-</v>
      </c>
      <c r="K38" s="98">
        <v>0</v>
      </c>
      <c r="L38" s="98">
        <v>0</v>
      </c>
      <c r="M38" s="20" t="str">
        <f t="shared" si="52"/>
        <v>-</v>
      </c>
      <c r="N38" s="98">
        <v>0</v>
      </c>
      <c r="O38" s="98">
        <v>0</v>
      </c>
      <c r="P38" s="20" t="str">
        <f t="shared" si="53"/>
        <v>-</v>
      </c>
      <c r="Q38" s="98">
        <v>0</v>
      </c>
      <c r="R38" s="98">
        <v>0</v>
      </c>
      <c r="S38" s="20" t="str">
        <f t="shared" si="54"/>
        <v>-</v>
      </c>
      <c r="T38" s="98">
        <v>0</v>
      </c>
      <c r="U38" s="98">
        <v>0</v>
      </c>
      <c r="V38" s="20" t="str">
        <f t="shared" si="55"/>
        <v>-</v>
      </c>
      <c r="W38" s="98">
        <v>0</v>
      </c>
      <c r="X38" s="98">
        <v>0</v>
      </c>
      <c r="Y38" s="20" t="str">
        <f t="shared" si="56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49"/>
        <v>-</v>
      </c>
      <c r="E39" s="27">
        <v>0</v>
      </c>
      <c r="F39" s="27">
        <v>0</v>
      </c>
      <c r="G39" s="20" t="str">
        <f t="shared" si="50"/>
        <v>-</v>
      </c>
      <c r="H39" s="98">
        <v>0</v>
      </c>
      <c r="I39" s="98">
        <v>0</v>
      </c>
      <c r="J39" s="20" t="str">
        <f t="shared" si="51"/>
        <v>-</v>
      </c>
      <c r="K39" s="98">
        <v>0</v>
      </c>
      <c r="L39" s="98">
        <v>0</v>
      </c>
      <c r="M39" s="20" t="str">
        <f t="shared" si="52"/>
        <v>-</v>
      </c>
      <c r="N39" s="98">
        <v>0</v>
      </c>
      <c r="O39" s="98">
        <v>0</v>
      </c>
      <c r="P39" s="20" t="str">
        <f t="shared" si="53"/>
        <v>-</v>
      </c>
      <c r="Q39" s="98">
        <v>0</v>
      </c>
      <c r="R39" s="98">
        <v>0</v>
      </c>
      <c r="S39" s="20" t="str">
        <f t="shared" si="54"/>
        <v>-</v>
      </c>
      <c r="T39" s="98">
        <v>0</v>
      </c>
      <c r="U39" s="98">
        <v>0</v>
      </c>
      <c r="V39" s="20" t="str">
        <f t="shared" si="55"/>
        <v>-</v>
      </c>
      <c r="W39" s="98">
        <v>0</v>
      </c>
      <c r="X39" s="98">
        <v>0</v>
      </c>
      <c r="Y39" s="20" t="str">
        <f t="shared" si="56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1802950</v>
      </c>
      <c r="C40" s="27">
        <v>1802950</v>
      </c>
      <c r="D40" s="20">
        <f t="shared" si="49"/>
        <v>100</v>
      </c>
      <c r="E40" s="27">
        <v>1802950</v>
      </c>
      <c r="F40" s="27">
        <v>1802950</v>
      </c>
      <c r="G40" s="20">
        <f t="shared" si="50"/>
        <v>100</v>
      </c>
      <c r="H40" s="98">
        <v>1802950</v>
      </c>
      <c r="I40" s="98">
        <v>1802950</v>
      </c>
      <c r="J40" s="20">
        <f t="shared" si="51"/>
        <v>100</v>
      </c>
      <c r="K40" s="98">
        <v>1802950</v>
      </c>
      <c r="L40" s="98">
        <v>1802950</v>
      </c>
      <c r="M40" s="20">
        <f t="shared" si="52"/>
        <v>100</v>
      </c>
      <c r="N40" s="98">
        <v>1802950</v>
      </c>
      <c r="O40" s="98">
        <v>1802950</v>
      </c>
      <c r="P40" s="20">
        <f t="shared" si="53"/>
        <v>100</v>
      </c>
      <c r="Q40" s="98">
        <v>1802950</v>
      </c>
      <c r="R40" s="98">
        <v>1802950</v>
      </c>
      <c r="S40" s="20">
        <f t="shared" si="54"/>
        <v>100</v>
      </c>
      <c r="T40" s="1">
        <v>1802950</v>
      </c>
      <c r="U40" s="1">
        <v>1802950</v>
      </c>
      <c r="V40" s="20">
        <f t="shared" si="55"/>
        <v>100</v>
      </c>
      <c r="W40" s="1">
        <v>1802950</v>
      </c>
      <c r="X40" s="1">
        <v>1802950</v>
      </c>
      <c r="Y40" s="20">
        <f t="shared" si="56"/>
        <v>100</v>
      </c>
      <c r="Z40" s="13">
        <f t="shared" si="8"/>
        <v>0</v>
      </c>
      <c r="AA40" s="13">
        <f t="shared" si="8"/>
        <v>0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49"/>
        <v>-</v>
      </c>
      <c r="E41" s="27">
        <v>0</v>
      </c>
      <c r="F41" s="27">
        <v>0</v>
      </c>
      <c r="G41" s="20" t="str">
        <f t="shared" si="50"/>
        <v>-</v>
      </c>
      <c r="H41" s="98">
        <v>0</v>
      </c>
      <c r="I41" s="98">
        <v>0</v>
      </c>
      <c r="J41" s="20" t="str">
        <f t="shared" si="51"/>
        <v>-</v>
      </c>
      <c r="K41" s="98">
        <v>18377480.190000001</v>
      </c>
      <c r="L41" s="98">
        <v>18377480.190000001</v>
      </c>
      <c r="M41" s="20">
        <f t="shared" si="52"/>
        <v>100</v>
      </c>
      <c r="N41" s="98">
        <v>0</v>
      </c>
      <c r="O41" s="98">
        <v>0</v>
      </c>
      <c r="P41" s="20" t="str">
        <f t="shared" si="53"/>
        <v>-</v>
      </c>
      <c r="Q41" s="98">
        <v>0</v>
      </c>
      <c r="R41" s="98">
        <v>0</v>
      </c>
      <c r="S41" s="20" t="str">
        <f t="shared" si="54"/>
        <v>-</v>
      </c>
      <c r="T41" s="98">
        <v>0</v>
      </c>
      <c r="U41" s="98">
        <v>0</v>
      </c>
      <c r="V41" s="20" t="str">
        <f t="shared" si="55"/>
        <v>-</v>
      </c>
      <c r="W41" s="98">
        <v>0</v>
      </c>
      <c r="X41" s="98">
        <v>0</v>
      </c>
      <c r="Y41" s="20" t="str">
        <f t="shared" si="56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9421906.8000000007</v>
      </c>
      <c r="C42" s="27">
        <v>9421906.8000000007</v>
      </c>
      <c r="D42" s="20">
        <f t="shared" si="49"/>
        <v>100</v>
      </c>
      <c r="E42" s="27">
        <v>7283890.4400000004</v>
      </c>
      <c r="F42" s="27">
        <v>7283890.4400000004</v>
      </c>
      <c r="G42" s="20">
        <f t="shared" si="50"/>
        <v>100</v>
      </c>
      <c r="H42" s="98">
        <v>8924391.1500000004</v>
      </c>
      <c r="I42" s="98">
        <v>8924391.1500000004</v>
      </c>
      <c r="J42" s="20">
        <f t="shared" si="51"/>
        <v>100</v>
      </c>
      <c r="K42" s="98">
        <v>9244870.7599999998</v>
      </c>
      <c r="L42" s="98">
        <v>9244870.7599999998</v>
      </c>
      <c r="M42" s="20">
        <f t="shared" si="52"/>
        <v>100</v>
      </c>
      <c r="N42" s="98">
        <v>6292121.1699999999</v>
      </c>
      <c r="O42" s="98">
        <v>6292121.1699999999</v>
      </c>
      <c r="P42" s="20">
        <f t="shared" si="53"/>
        <v>100</v>
      </c>
      <c r="Q42" s="98">
        <v>9626697.7599999998</v>
      </c>
      <c r="R42" s="98">
        <v>9626317.7599999998</v>
      </c>
      <c r="S42" s="20">
        <f t="shared" si="54"/>
        <v>99.996052644328586</v>
      </c>
      <c r="T42" s="1">
        <v>10873385.84</v>
      </c>
      <c r="U42" s="1">
        <v>10873385.84</v>
      </c>
      <c r="V42" s="20">
        <f t="shared" si="55"/>
        <v>100</v>
      </c>
      <c r="W42" s="1">
        <v>8729366.9000000004</v>
      </c>
      <c r="X42" s="1">
        <v>8729366.9000000004</v>
      </c>
      <c r="Y42" s="20">
        <f t="shared" si="56"/>
        <v>100</v>
      </c>
      <c r="Z42" s="13">
        <f t="shared" si="8"/>
        <v>-19.718043409374673</v>
      </c>
      <c r="AA42" s="13">
        <f t="shared" si="8"/>
        <v>-19.718043409374673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49"/>
        <v>-</v>
      </c>
      <c r="E43" s="27">
        <v>0</v>
      </c>
      <c r="F43" s="27">
        <v>0</v>
      </c>
      <c r="G43" s="20" t="str">
        <f t="shared" si="50"/>
        <v>-</v>
      </c>
      <c r="H43" s="98">
        <v>0</v>
      </c>
      <c r="I43" s="98">
        <v>0</v>
      </c>
      <c r="J43" s="20" t="str">
        <f t="shared" si="51"/>
        <v>-</v>
      </c>
      <c r="K43" s="98">
        <v>0</v>
      </c>
      <c r="L43" s="98">
        <v>0</v>
      </c>
      <c r="M43" s="20" t="str">
        <f t="shared" si="52"/>
        <v>-</v>
      </c>
      <c r="N43" s="98">
        <v>0</v>
      </c>
      <c r="O43" s="98">
        <v>0</v>
      </c>
      <c r="P43" s="20" t="str">
        <f t="shared" si="53"/>
        <v>-</v>
      </c>
      <c r="Q43" s="98">
        <v>0</v>
      </c>
      <c r="R43" s="98">
        <v>0</v>
      </c>
      <c r="S43" s="20" t="str">
        <f t="shared" si="54"/>
        <v>-</v>
      </c>
      <c r="T43" s="98">
        <v>0</v>
      </c>
      <c r="U43" s="98">
        <v>0</v>
      </c>
      <c r="V43" s="20" t="str">
        <f t="shared" si="55"/>
        <v>-</v>
      </c>
      <c r="W43" s="98">
        <v>0</v>
      </c>
      <c r="X43" s="98">
        <v>0</v>
      </c>
      <c r="Y43" s="20" t="str">
        <f t="shared" si="56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49"/>
        <v>-</v>
      </c>
      <c r="E44" s="27">
        <v>0</v>
      </c>
      <c r="F44" s="27">
        <v>0</v>
      </c>
      <c r="G44" s="20" t="str">
        <f t="shared" si="50"/>
        <v>-</v>
      </c>
      <c r="H44" s="98">
        <v>0</v>
      </c>
      <c r="I44" s="98">
        <v>0</v>
      </c>
      <c r="J44" s="20" t="str">
        <f t="shared" si="51"/>
        <v>-</v>
      </c>
      <c r="K44" s="98">
        <v>0</v>
      </c>
      <c r="L44" s="98">
        <v>0</v>
      </c>
      <c r="M44" s="20" t="str">
        <f t="shared" si="52"/>
        <v>-</v>
      </c>
      <c r="N44" s="98">
        <v>0</v>
      </c>
      <c r="O44" s="98">
        <v>0</v>
      </c>
      <c r="P44" s="20" t="str">
        <f t="shared" si="53"/>
        <v>-</v>
      </c>
      <c r="Q44" s="98">
        <v>0</v>
      </c>
      <c r="R44" s="98">
        <v>0</v>
      </c>
      <c r="S44" s="20" t="str">
        <f t="shared" si="54"/>
        <v>-</v>
      </c>
      <c r="T44" s="98">
        <v>0</v>
      </c>
      <c r="U44" s="98">
        <v>0</v>
      </c>
      <c r="V44" s="20" t="str">
        <f t="shared" si="55"/>
        <v>-</v>
      </c>
      <c r="W44" s="98">
        <v>0</v>
      </c>
      <c r="X44" s="98">
        <v>0</v>
      </c>
      <c r="Y44" s="20" t="str">
        <f t="shared" si="56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22806389.920000002</v>
      </c>
      <c r="C45" s="27">
        <v>22806389.920000002</v>
      </c>
      <c r="D45" s="20">
        <f t="shared" si="49"/>
        <v>100</v>
      </c>
      <c r="E45" s="27">
        <v>121368188.48</v>
      </c>
      <c r="F45" s="27">
        <v>118326260.84999999</v>
      </c>
      <c r="G45" s="20">
        <f t="shared" si="50"/>
        <v>97.493636785638202</v>
      </c>
      <c r="H45" s="98">
        <v>130704163.68000001</v>
      </c>
      <c r="I45" s="98">
        <v>114719042.54000001</v>
      </c>
      <c r="J45" s="20">
        <f t="shared" si="51"/>
        <v>87.769998529552581</v>
      </c>
      <c r="K45" s="98">
        <v>159726658.97999999</v>
      </c>
      <c r="L45" s="98">
        <v>136439731.61000001</v>
      </c>
      <c r="M45" s="20">
        <f t="shared" si="52"/>
        <v>85.420763497647684</v>
      </c>
      <c r="N45" s="98">
        <v>193390646.19999999</v>
      </c>
      <c r="O45" s="98">
        <v>167294494.09999999</v>
      </c>
      <c r="P45" s="20">
        <f t="shared" si="53"/>
        <v>86.505990536371655</v>
      </c>
      <c r="Q45" s="98">
        <v>155609201.94999999</v>
      </c>
      <c r="R45" s="98">
        <v>152417311.27000001</v>
      </c>
      <c r="S45" s="20">
        <f t="shared" si="54"/>
        <v>97.948777681524518</v>
      </c>
      <c r="T45" s="98">
        <v>152263391.69</v>
      </c>
      <c r="U45" s="98">
        <v>151462720.86000001</v>
      </c>
      <c r="V45" s="20">
        <f t="shared" si="55"/>
        <v>99.474154081875369</v>
      </c>
      <c r="W45" s="98">
        <v>117855275.43000001</v>
      </c>
      <c r="X45" s="98">
        <v>117855275.43000001</v>
      </c>
      <c r="Y45" s="20">
        <f t="shared" si="56"/>
        <v>100</v>
      </c>
      <c r="Z45" s="13">
        <f t="shared" si="8"/>
        <v>-22.597760287681652</v>
      </c>
      <c r="AA45" s="13">
        <f t="shared" si="8"/>
        <v>-22.188592175802796</v>
      </c>
    </row>
    <row r="46" spans="1:27" x14ac:dyDescent="0.3">
      <c r="A46" s="5" t="s">
        <v>61</v>
      </c>
      <c r="B46" s="27">
        <v>253532864.77000001</v>
      </c>
      <c r="C46" s="27">
        <v>0</v>
      </c>
      <c r="D46" s="20">
        <f t="shared" si="49"/>
        <v>0</v>
      </c>
      <c r="E46" s="27">
        <v>76072691.540000007</v>
      </c>
      <c r="F46" s="27">
        <v>0</v>
      </c>
      <c r="G46" s="20">
        <f t="shared" si="50"/>
        <v>0</v>
      </c>
      <c r="H46" s="98">
        <v>66074234.600000001</v>
      </c>
      <c r="I46" s="98">
        <v>0</v>
      </c>
      <c r="J46" s="20">
        <f t="shared" si="51"/>
        <v>0</v>
      </c>
      <c r="K46" s="98">
        <v>73656780.840000004</v>
      </c>
      <c r="L46" s="98">
        <v>0</v>
      </c>
      <c r="M46" s="20">
        <f t="shared" si="52"/>
        <v>0</v>
      </c>
      <c r="N46" s="98">
        <v>113603697.42</v>
      </c>
      <c r="O46" s="98">
        <v>0</v>
      </c>
      <c r="P46" s="20">
        <f t="shared" si="53"/>
        <v>0</v>
      </c>
      <c r="Q46" s="98">
        <v>105189323.56999999</v>
      </c>
      <c r="R46" s="98">
        <v>0</v>
      </c>
      <c r="S46" s="20">
        <f t="shared" si="54"/>
        <v>0</v>
      </c>
      <c r="T46" s="1">
        <v>45874981.390000001</v>
      </c>
      <c r="U46" s="98">
        <v>0</v>
      </c>
      <c r="V46" s="20">
        <f t="shared" si="55"/>
        <v>0</v>
      </c>
      <c r="W46" s="1">
        <v>99802087.430000007</v>
      </c>
      <c r="X46" s="98">
        <v>0</v>
      </c>
      <c r="Y46" s="20">
        <f t="shared" si="56"/>
        <v>0</v>
      </c>
      <c r="Z46" s="13">
        <f t="shared" si="8"/>
        <v>117.55232243375957</v>
      </c>
      <c r="AA46" s="13" t="str">
        <f t="shared" si="8"/>
        <v>-</v>
      </c>
    </row>
    <row r="47" spans="1:27" x14ac:dyDescent="0.3">
      <c r="A47" s="5" t="s">
        <v>62</v>
      </c>
      <c r="B47" s="27">
        <v>14707820.07</v>
      </c>
      <c r="C47" s="27">
        <v>0</v>
      </c>
      <c r="D47" s="20">
        <f t="shared" si="49"/>
        <v>0</v>
      </c>
      <c r="E47" s="27">
        <v>15094960.18</v>
      </c>
      <c r="F47" s="27">
        <v>0</v>
      </c>
      <c r="G47" s="20">
        <f t="shared" si="50"/>
        <v>0</v>
      </c>
      <c r="H47" s="98">
        <v>17708157.640000001</v>
      </c>
      <c r="I47" s="98">
        <v>0</v>
      </c>
      <c r="J47" s="20">
        <f t="shared" si="51"/>
        <v>0</v>
      </c>
      <c r="K47" s="98">
        <v>15791816.880000001</v>
      </c>
      <c r="L47" s="98">
        <v>0</v>
      </c>
      <c r="M47" s="20">
        <f t="shared" si="52"/>
        <v>0</v>
      </c>
      <c r="N47" s="98">
        <v>19041885.219999999</v>
      </c>
      <c r="O47" s="98">
        <v>0</v>
      </c>
      <c r="P47" s="20">
        <f t="shared" si="53"/>
        <v>0</v>
      </c>
      <c r="Q47" s="98">
        <v>16043715.23</v>
      </c>
      <c r="R47" s="98">
        <v>0</v>
      </c>
      <c r="S47" s="20">
        <f t="shared" si="54"/>
        <v>0</v>
      </c>
      <c r="T47" s="1">
        <v>21273396.32</v>
      </c>
      <c r="U47" s="98">
        <v>0</v>
      </c>
      <c r="V47" s="20">
        <f t="shared" si="55"/>
        <v>0</v>
      </c>
      <c r="W47" s="1">
        <v>18053188</v>
      </c>
      <c r="X47" s="98">
        <v>0</v>
      </c>
      <c r="Y47" s="20">
        <f t="shared" si="56"/>
        <v>0</v>
      </c>
      <c r="Z47" s="13">
        <f t="shared" si="8"/>
        <v>-15.137255337891432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57">SUM(B23:B30)</f>
        <v>182146511.76999998</v>
      </c>
      <c r="C48" s="27">
        <f t="shared" si="57"/>
        <v>106444435.22000001</v>
      </c>
      <c r="D48" s="20">
        <f t="shared" si="49"/>
        <v>58.438909527078685</v>
      </c>
      <c r="E48" s="27">
        <f t="shared" ref="E48:F48" si="58">SUM(E23:E30)</f>
        <v>177254100.96999997</v>
      </c>
      <c r="F48" s="27">
        <f t="shared" si="58"/>
        <v>90558295.079999983</v>
      </c>
      <c r="G48" s="20">
        <f t="shared" si="50"/>
        <v>51.089534506920586</v>
      </c>
      <c r="H48" s="98">
        <f t="shared" ref="H48:I48" si="59">SUM(H23:H30)</f>
        <v>177535117.12000003</v>
      </c>
      <c r="I48" s="98">
        <f t="shared" si="59"/>
        <v>103415277.22</v>
      </c>
      <c r="J48" s="20">
        <f t="shared" si="51"/>
        <v>58.250603541213344</v>
      </c>
      <c r="K48" s="98">
        <f t="shared" ref="K48:L48" si="60">SUM(K23:K30)</f>
        <v>169440732.11000001</v>
      </c>
      <c r="L48" s="98">
        <f t="shared" si="60"/>
        <v>90066205.87999998</v>
      </c>
      <c r="M48" s="20">
        <f t="shared" si="52"/>
        <v>53.154990986187123</v>
      </c>
      <c r="N48" s="98">
        <f t="shared" ref="N48:O48" si="61">SUM(N23:N30)</f>
        <v>167038599.23000002</v>
      </c>
      <c r="O48" s="98">
        <f t="shared" si="61"/>
        <v>98670864.229999989</v>
      </c>
      <c r="P48" s="20">
        <f t="shared" si="53"/>
        <v>59.070696644275245</v>
      </c>
      <c r="Q48" s="98">
        <f t="shared" ref="Q48:R48" si="62">SUM(Q23:Q30)</f>
        <v>164706327.93000001</v>
      </c>
      <c r="R48" s="98">
        <f t="shared" si="62"/>
        <v>98366771.680000007</v>
      </c>
      <c r="S48" s="20">
        <f t="shared" si="54"/>
        <v>59.722521239017468</v>
      </c>
      <c r="T48" s="98">
        <f t="shared" ref="T48:U48" si="63">SUM(T23:T30)</f>
        <v>177789801.25</v>
      </c>
      <c r="U48" s="98">
        <f t="shared" si="63"/>
        <v>117850647.74999999</v>
      </c>
      <c r="V48" s="20">
        <f t="shared" si="55"/>
        <v>66.286506268311598</v>
      </c>
      <c r="W48" s="98">
        <v>168777973.55000001</v>
      </c>
      <c r="X48" s="98">
        <v>118588346.62</v>
      </c>
      <c r="Y48" s="20">
        <f t="shared" si="56"/>
        <v>70.262928346434094</v>
      </c>
      <c r="Z48" s="13">
        <f t="shared" si="8"/>
        <v>-5.0688102673155981</v>
      </c>
      <c r="AA48" s="13">
        <f t="shared" si="8"/>
        <v>0.62596081063968256</v>
      </c>
    </row>
    <row r="49" spans="1:27" x14ac:dyDescent="0.3">
      <c r="A49" s="5" t="s">
        <v>64</v>
      </c>
      <c r="B49" s="27">
        <f t="shared" ref="B49:C49" si="64">SUM(B31:B35)</f>
        <v>60334843.289999999</v>
      </c>
      <c r="C49" s="27">
        <f t="shared" si="64"/>
        <v>11424761.5</v>
      </c>
      <c r="D49" s="20">
        <f t="shared" si="49"/>
        <v>18.935594885175679</v>
      </c>
      <c r="E49" s="27">
        <f t="shared" ref="E49:F49" si="65">SUM(E31:E35)</f>
        <v>23826598.989999998</v>
      </c>
      <c r="F49" s="27">
        <f t="shared" si="65"/>
        <v>6655173.21</v>
      </c>
      <c r="G49" s="20">
        <f t="shared" si="50"/>
        <v>27.931696054452292</v>
      </c>
      <c r="H49" s="98">
        <f t="shared" ref="H49:I49" si="66">SUM(H31:H35)</f>
        <v>28455371.440000001</v>
      </c>
      <c r="I49" s="98">
        <f t="shared" si="66"/>
        <v>14928471.050000001</v>
      </c>
      <c r="J49" s="20">
        <f t="shared" si="51"/>
        <v>52.462752354077161</v>
      </c>
      <c r="K49" s="98">
        <f t="shared" ref="K49:L49" si="67">SUM(K31:K35)</f>
        <v>32953203.690000001</v>
      </c>
      <c r="L49" s="98">
        <f t="shared" si="67"/>
        <v>14004416.33</v>
      </c>
      <c r="M49" s="20">
        <f t="shared" si="52"/>
        <v>42.49789022561648</v>
      </c>
      <c r="N49" s="98">
        <f t="shared" ref="N49:O49" si="68">SUM(N31:N35)</f>
        <v>60449399.439999998</v>
      </c>
      <c r="O49" s="98">
        <f t="shared" si="68"/>
        <v>12971985.390000001</v>
      </c>
      <c r="P49" s="20">
        <f t="shared" si="53"/>
        <v>21.459246097019623</v>
      </c>
      <c r="Q49" s="98">
        <f t="shared" ref="Q49:R49" si="69">SUM(Q31:Q35)</f>
        <v>27748372.07</v>
      </c>
      <c r="R49" s="98">
        <f t="shared" si="69"/>
        <v>6811254.4500000002</v>
      </c>
      <c r="S49" s="20">
        <f t="shared" si="54"/>
        <v>24.546501080558706</v>
      </c>
      <c r="T49" s="98">
        <f t="shared" ref="T49:U49" si="70">SUM(T31:T35)</f>
        <v>30724526.170000002</v>
      </c>
      <c r="U49" s="98">
        <f t="shared" si="70"/>
        <v>8237518.2599999998</v>
      </c>
      <c r="V49" s="20">
        <f t="shared" si="55"/>
        <v>26.810887869910477</v>
      </c>
      <c r="W49" s="98">
        <v>44261399.5</v>
      </c>
      <c r="X49" s="98">
        <v>25471574.170000002</v>
      </c>
      <c r="Y49" s="20">
        <f t="shared" si="56"/>
        <v>57.548054191101663</v>
      </c>
      <c r="Z49" s="13">
        <f t="shared" si="8"/>
        <v>44.058851404574796</v>
      </c>
      <c r="AA49" s="13">
        <f t="shared" si="8"/>
        <v>209.21417550824344</v>
      </c>
    </row>
    <row r="50" spans="1:27" x14ac:dyDescent="0.3">
      <c r="A50" s="5" t="s">
        <v>65</v>
      </c>
      <c r="B50" s="27">
        <f t="shared" ref="B50:C50" si="71">SUM(B36:B39)</f>
        <v>0</v>
      </c>
      <c r="C50" s="27">
        <f t="shared" si="71"/>
        <v>0</v>
      </c>
      <c r="D50" s="20" t="str">
        <f t="shared" si="49"/>
        <v>-</v>
      </c>
      <c r="E50" s="27">
        <f t="shared" ref="E50:F50" si="72">SUM(E36:E39)</f>
        <v>0</v>
      </c>
      <c r="F50" s="27">
        <f t="shared" si="72"/>
        <v>0</v>
      </c>
      <c r="G50" s="20" t="str">
        <f t="shared" si="50"/>
        <v>-</v>
      </c>
      <c r="H50" s="98">
        <f t="shared" ref="H50:I50" si="73">SUM(H36:H39)</f>
        <v>0</v>
      </c>
      <c r="I50" s="98">
        <f t="shared" si="73"/>
        <v>0</v>
      </c>
      <c r="J50" s="20" t="str">
        <f t="shared" si="51"/>
        <v>-</v>
      </c>
      <c r="K50" s="98">
        <f t="shared" ref="K50:L50" si="74">SUM(K36:K39)</f>
        <v>0</v>
      </c>
      <c r="L50" s="98">
        <f t="shared" si="74"/>
        <v>0</v>
      </c>
      <c r="M50" s="20" t="str">
        <f t="shared" si="52"/>
        <v>-</v>
      </c>
      <c r="N50" s="98">
        <f t="shared" ref="N50:O50" si="75">SUM(N36:N39)</f>
        <v>0</v>
      </c>
      <c r="O50" s="98">
        <f t="shared" si="75"/>
        <v>0</v>
      </c>
      <c r="P50" s="20" t="str">
        <f t="shared" si="53"/>
        <v>-</v>
      </c>
      <c r="Q50" s="98">
        <f t="shared" ref="Q50:R50" si="76">SUM(Q36:Q39)</f>
        <v>0</v>
      </c>
      <c r="R50" s="98">
        <f t="shared" si="76"/>
        <v>0</v>
      </c>
      <c r="S50" s="20" t="str">
        <f t="shared" si="54"/>
        <v>-</v>
      </c>
      <c r="T50" s="98">
        <f t="shared" ref="T50:U50" si="77">SUM(T36:T39)</f>
        <v>0</v>
      </c>
      <c r="U50" s="98">
        <f t="shared" si="77"/>
        <v>0</v>
      </c>
      <c r="V50" s="20" t="str">
        <f t="shared" si="55"/>
        <v>-</v>
      </c>
      <c r="W50" s="98">
        <v>0</v>
      </c>
      <c r="X50" s="98">
        <v>0</v>
      </c>
      <c r="Y50" s="20" t="str">
        <f t="shared" si="56"/>
        <v>-</v>
      </c>
      <c r="Z50" s="13" t="str">
        <f t="shared" si="8"/>
        <v>-</v>
      </c>
      <c r="AA50" s="13" t="str">
        <f t="shared" si="8"/>
        <v>-</v>
      </c>
    </row>
    <row r="51" spans="1:27" x14ac:dyDescent="0.3">
      <c r="A51" s="5" t="s">
        <v>66</v>
      </c>
      <c r="B51" s="27">
        <f t="shared" ref="B51:C51" si="78">SUM(B40:B44)</f>
        <v>11224856.800000001</v>
      </c>
      <c r="C51" s="27">
        <f t="shared" si="78"/>
        <v>11224856.800000001</v>
      </c>
      <c r="D51" s="20">
        <f t="shared" si="49"/>
        <v>100</v>
      </c>
      <c r="E51" s="27">
        <f t="shared" ref="E51:F51" si="79">SUM(E40:E44)</f>
        <v>9086840.4400000013</v>
      </c>
      <c r="F51" s="27">
        <f t="shared" si="79"/>
        <v>9086840.4400000013</v>
      </c>
      <c r="G51" s="20">
        <f t="shared" si="50"/>
        <v>100</v>
      </c>
      <c r="H51" s="98">
        <f t="shared" ref="H51:I51" si="80">SUM(H40:H44)</f>
        <v>10727341.15</v>
      </c>
      <c r="I51" s="98">
        <f t="shared" si="80"/>
        <v>10727341.15</v>
      </c>
      <c r="J51" s="20">
        <f t="shared" si="51"/>
        <v>100</v>
      </c>
      <c r="K51" s="98">
        <f t="shared" ref="K51:L51" si="81">SUM(K40:K44)</f>
        <v>29425300.950000003</v>
      </c>
      <c r="L51" s="98">
        <f t="shared" si="81"/>
        <v>29425300.950000003</v>
      </c>
      <c r="M51" s="20">
        <f t="shared" si="52"/>
        <v>100</v>
      </c>
      <c r="N51" s="98">
        <f t="shared" ref="N51:O51" si="82">SUM(N40:N44)</f>
        <v>8095071.1699999999</v>
      </c>
      <c r="O51" s="98">
        <f t="shared" si="82"/>
        <v>8095071.1699999999</v>
      </c>
      <c r="P51" s="20">
        <f t="shared" si="53"/>
        <v>100</v>
      </c>
      <c r="Q51" s="98">
        <f t="shared" ref="Q51:R51" si="83">SUM(Q40:Q44)</f>
        <v>11429647.76</v>
      </c>
      <c r="R51" s="98">
        <f t="shared" si="83"/>
        <v>11429267.76</v>
      </c>
      <c r="S51" s="20">
        <f t="shared" si="54"/>
        <v>99.996675313115688</v>
      </c>
      <c r="T51" s="98">
        <f t="shared" ref="T51:U51" si="84">SUM(T40:T44)</f>
        <v>12676335.84</v>
      </c>
      <c r="U51" s="98">
        <f t="shared" si="84"/>
        <v>12676335.84</v>
      </c>
      <c r="V51" s="20">
        <f t="shared" si="55"/>
        <v>100</v>
      </c>
      <c r="W51" s="98">
        <v>10532316.9</v>
      </c>
      <c r="X51" s="98">
        <v>10532316.9</v>
      </c>
      <c r="Y51" s="20">
        <f t="shared" si="56"/>
        <v>100</v>
      </c>
      <c r="Z51" s="13">
        <f t="shared" si="8"/>
        <v>-16.9135542562274</v>
      </c>
      <c r="AA51" s="13">
        <f t="shared" si="8"/>
        <v>-16.9135542562274</v>
      </c>
    </row>
    <row r="52" spans="1:27" x14ac:dyDescent="0.3">
      <c r="A52" s="5" t="s">
        <v>67</v>
      </c>
      <c r="B52" s="27">
        <f t="shared" ref="B52:C52" si="85">B45</f>
        <v>22806389.920000002</v>
      </c>
      <c r="C52" s="27">
        <f t="shared" si="85"/>
        <v>22806389.920000002</v>
      </c>
      <c r="D52" s="20">
        <f t="shared" si="49"/>
        <v>100</v>
      </c>
      <c r="E52" s="27">
        <f>E45</f>
        <v>121368188.48</v>
      </c>
      <c r="F52" s="27">
        <f>F45</f>
        <v>118326260.84999999</v>
      </c>
      <c r="G52" s="20">
        <f t="shared" si="50"/>
        <v>97.493636785638202</v>
      </c>
      <c r="H52" s="27">
        <f>H45</f>
        <v>130704163.68000001</v>
      </c>
      <c r="I52" s="27">
        <f>I45</f>
        <v>114719042.54000001</v>
      </c>
      <c r="J52" s="20">
        <f t="shared" si="51"/>
        <v>87.769998529552581</v>
      </c>
      <c r="K52" s="27">
        <f>K45</f>
        <v>159726658.97999999</v>
      </c>
      <c r="L52" s="27">
        <f>L45</f>
        <v>136439731.61000001</v>
      </c>
      <c r="M52" s="20">
        <f t="shared" si="52"/>
        <v>85.420763497647684</v>
      </c>
      <c r="N52" s="27">
        <f t="shared" ref="N52:O52" si="86">N45</f>
        <v>193390646.19999999</v>
      </c>
      <c r="O52" s="27">
        <f t="shared" si="86"/>
        <v>167294494.09999999</v>
      </c>
      <c r="P52" s="20">
        <f t="shared" si="53"/>
        <v>86.505990536371655</v>
      </c>
      <c r="Q52" s="27">
        <f t="shared" ref="Q52:R52" si="87">Q45</f>
        <v>155609201.94999999</v>
      </c>
      <c r="R52" s="27">
        <f t="shared" si="87"/>
        <v>152417311.27000001</v>
      </c>
      <c r="S52" s="20">
        <f t="shared" si="54"/>
        <v>97.948777681524518</v>
      </c>
      <c r="T52" s="27">
        <f t="shared" ref="T52:U52" si="88">T45</f>
        <v>152263391.69</v>
      </c>
      <c r="U52" s="27">
        <f t="shared" si="88"/>
        <v>151462720.86000001</v>
      </c>
      <c r="V52" s="20">
        <f t="shared" si="55"/>
        <v>99.474154081875369</v>
      </c>
      <c r="W52" s="27">
        <v>109234589.95999999</v>
      </c>
      <c r="X52" s="27">
        <v>109234589.95999999</v>
      </c>
      <c r="Y52" s="20">
        <f t="shared" si="56"/>
        <v>100</v>
      </c>
      <c r="Z52" s="13">
        <f t="shared" si="8"/>
        <v>-28.259453078258176</v>
      </c>
      <c r="AA52" s="13">
        <f t="shared" si="8"/>
        <v>-27.880214128090515</v>
      </c>
    </row>
    <row r="53" spans="1:27" x14ac:dyDescent="0.3">
      <c r="A53" s="5" t="s">
        <v>68</v>
      </c>
      <c r="B53" s="27">
        <f>SUM(B46:B47)</f>
        <v>268240684.84</v>
      </c>
      <c r="C53" s="29">
        <v>261315864.28999999</v>
      </c>
      <c r="D53" s="20">
        <f t="shared" si="49"/>
        <v>97.418430185513984</v>
      </c>
      <c r="E53" s="27">
        <f>SUM(E46:E47)</f>
        <v>91167651.719999999</v>
      </c>
      <c r="F53" s="29">
        <v>83710203.180000007</v>
      </c>
      <c r="G53" s="20">
        <f t="shared" si="50"/>
        <v>91.820071703827807</v>
      </c>
      <c r="H53" s="98">
        <f>SUM(H46:H47)</f>
        <v>83782392.24000001</v>
      </c>
      <c r="I53" s="99">
        <v>77054433.329999998</v>
      </c>
      <c r="J53" s="20">
        <f t="shared" si="51"/>
        <v>91.969722121651358</v>
      </c>
      <c r="K53" s="98">
        <f>SUM(K46:K47)</f>
        <v>89448597.719999999</v>
      </c>
      <c r="L53" s="99">
        <v>82386927.25</v>
      </c>
      <c r="M53" s="20">
        <f t="shared" si="52"/>
        <v>92.105331274051863</v>
      </c>
      <c r="N53" s="98">
        <f>SUM(N46:N47)</f>
        <v>132645582.64</v>
      </c>
      <c r="O53" s="99">
        <v>127628197.27</v>
      </c>
      <c r="P53" s="20">
        <f t="shared" si="53"/>
        <v>96.217450087563648</v>
      </c>
      <c r="Q53" s="98">
        <f>SUM(Q46:Q47)</f>
        <v>121233038.8</v>
      </c>
      <c r="R53" s="99">
        <v>116236282.69</v>
      </c>
      <c r="S53" s="20">
        <f t="shared" si="54"/>
        <v>95.878387476335377</v>
      </c>
      <c r="T53" s="98">
        <f>SUM(T46:T47)</f>
        <v>67148377.710000008</v>
      </c>
      <c r="U53" s="99">
        <v>60142855.439999998</v>
      </c>
      <c r="V53" s="20">
        <f t="shared" si="55"/>
        <v>89.56710123324882</v>
      </c>
      <c r="W53" s="98">
        <v>117855275.43000001</v>
      </c>
      <c r="X53" s="99">
        <v>113114081.31999999</v>
      </c>
      <c r="Y53" s="20">
        <f t="shared" si="56"/>
        <v>95.977104891824681</v>
      </c>
      <c r="Z53" s="13">
        <f t="shared" si="8"/>
        <v>75.514702587443935</v>
      </c>
      <c r="AA53" s="13">
        <f t="shared" si="8"/>
        <v>88.075674978294643</v>
      </c>
    </row>
    <row r="54" spans="1:27" x14ac:dyDescent="0.3">
      <c r="A54" s="5" t="s">
        <v>69</v>
      </c>
      <c r="B54" s="19">
        <f t="shared" ref="B54:C54" si="89">SUM(B48:B53)</f>
        <v>544753286.62</v>
      </c>
      <c r="C54" s="19">
        <f t="shared" si="89"/>
        <v>413216307.73000002</v>
      </c>
      <c r="D54" s="20">
        <f t="shared" si="49"/>
        <v>75.853843910490184</v>
      </c>
      <c r="E54" s="24">
        <f t="shared" ref="E54:F54" si="90">SUM(E48:E53)</f>
        <v>422703380.60000002</v>
      </c>
      <c r="F54" s="19">
        <f t="shared" si="90"/>
        <v>308336772.75999999</v>
      </c>
      <c r="G54" s="20">
        <f t="shared" si="50"/>
        <v>72.944004451143954</v>
      </c>
      <c r="H54" s="24">
        <f t="shared" ref="H54:I54" si="91">SUM(H48:H53)</f>
        <v>431204385.63000005</v>
      </c>
      <c r="I54" s="19">
        <f t="shared" si="91"/>
        <v>320844565.29000002</v>
      </c>
      <c r="J54" s="20">
        <f t="shared" si="51"/>
        <v>74.406609946983338</v>
      </c>
      <c r="K54" s="24">
        <f t="shared" ref="K54:L54" si="92">SUM(K48:K53)</f>
        <v>480994493.45000005</v>
      </c>
      <c r="L54" s="19">
        <f t="shared" si="92"/>
        <v>352322582.01999998</v>
      </c>
      <c r="M54" s="20">
        <f t="shared" si="52"/>
        <v>73.248776611332318</v>
      </c>
      <c r="N54" s="24">
        <f t="shared" ref="N54:O54" si="93">SUM(N48:N53)</f>
        <v>561619298.67999995</v>
      </c>
      <c r="O54" s="19">
        <f t="shared" si="93"/>
        <v>414660612.15999997</v>
      </c>
      <c r="P54" s="20">
        <f t="shared" si="53"/>
        <v>73.833041908388154</v>
      </c>
      <c r="Q54" s="24">
        <f t="shared" ref="Q54:R54" si="94">SUM(Q48:Q53)</f>
        <v>480726588.50999999</v>
      </c>
      <c r="R54" s="19">
        <f t="shared" si="94"/>
        <v>385260887.85000002</v>
      </c>
      <c r="S54" s="20">
        <f t="shared" si="54"/>
        <v>80.141372883931069</v>
      </c>
      <c r="T54" s="24">
        <f t="shared" ref="T54:U54" si="95">SUM(T48:T53)</f>
        <v>440602432.66000009</v>
      </c>
      <c r="U54" s="19">
        <f t="shared" si="95"/>
        <v>350370078.15000004</v>
      </c>
      <c r="V54" s="20">
        <f t="shared" si="55"/>
        <v>79.520686264655808</v>
      </c>
      <c r="W54" s="24">
        <v>450661555.34000003</v>
      </c>
      <c r="X54" s="19">
        <v>376940908.97000003</v>
      </c>
      <c r="Y54" s="20">
        <f t="shared" si="56"/>
        <v>83.641682877879006</v>
      </c>
      <c r="Z54" s="13">
        <f t="shared" si="8"/>
        <v>2.2830383888874763</v>
      </c>
      <c r="AA54" s="13">
        <f t="shared" si="8"/>
        <v>7.5836472567227986</v>
      </c>
    </row>
    <row r="55" spans="1:27" x14ac:dyDescent="0.3">
      <c r="A55" s="14" t="s">
        <v>70</v>
      </c>
      <c r="B55" s="15">
        <f t="shared" ref="B55:F55" si="96">B54-B53</f>
        <v>276512601.77999997</v>
      </c>
      <c r="C55" s="15">
        <f t="shared" si="96"/>
        <v>151900443.44000003</v>
      </c>
      <c r="D55" s="21">
        <f t="shared" si="49"/>
        <v>54.93436554506679</v>
      </c>
      <c r="E55" s="25">
        <f t="shared" si="96"/>
        <v>331535728.88</v>
      </c>
      <c r="F55" s="15">
        <f t="shared" si="96"/>
        <v>224626569.57999998</v>
      </c>
      <c r="G55" s="21">
        <f t="shared" si="50"/>
        <v>67.753352056153204</v>
      </c>
      <c r="H55" s="25">
        <f t="shared" ref="H55:I55" si="97">H54-H53</f>
        <v>347421993.39000005</v>
      </c>
      <c r="I55" s="15">
        <f t="shared" si="97"/>
        <v>243790131.96000004</v>
      </c>
      <c r="J55" s="21">
        <f t="shared" si="51"/>
        <v>70.171185646940998</v>
      </c>
      <c r="K55" s="25">
        <f t="shared" ref="K55:L55" si="98">K54-K53</f>
        <v>391545895.73000002</v>
      </c>
      <c r="L55" s="15">
        <f t="shared" si="98"/>
        <v>269935654.76999998</v>
      </c>
      <c r="M55" s="21">
        <f t="shared" si="52"/>
        <v>68.940999692189507</v>
      </c>
      <c r="N55" s="25">
        <f t="shared" ref="N55:O55" si="99">N54-N53</f>
        <v>428973716.03999996</v>
      </c>
      <c r="O55" s="15">
        <f t="shared" si="99"/>
        <v>287032414.88999999</v>
      </c>
      <c r="P55" s="21">
        <f t="shared" si="53"/>
        <v>66.911422345334429</v>
      </c>
      <c r="Q55" s="25">
        <f t="shared" ref="Q55:R55" si="100">Q54-Q53</f>
        <v>359493549.70999998</v>
      </c>
      <c r="R55" s="15">
        <f t="shared" si="100"/>
        <v>269024605.16000003</v>
      </c>
      <c r="S55" s="21">
        <f t="shared" si="54"/>
        <v>74.834334406561567</v>
      </c>
      <c r="T55" s="25">
        <f t="shared" ref="T55:U55" si="101">T54-T53</f>
        <v>373454054.95000005</v>
      </c>
      <c r="U55" s="15">
        <f t="shared" si="101"/>
        <v>290227222.71000004</v>
      </c>
      <c r="V55" s="21">
        <f t="shared" si="55"/>
        <v>77.714304842360633</v>
      </c>
      <c r="W55" s="25">
        <v>332806279.91000003</v>
      </c>
      <c r="X55" s="15">
        <v>263826827.65000004</v>
      </c>
      <c r="Y55" s="21">
        <f t="shared" si="56"/>
        <v>79.273392233267373</v>
      </c>
      <c r="Z55" s="16">
        <f t="shared" si="8"/>
        <v>-10.884277329762057</v>
      </c>
      <c r="AA55" s="16">
        <f t="shared" si="8"/>
        <v>-9.0964571874016542</v>
      </c>
    </row>
    <row r="56" spans="1:27" x14ac:dyDescent="0.3">
      <c r="A56" s="5" t="s">
        <v>71</v>
      </c>
      <c r="B56" s="28">
        <f>B14-B48</f>
        <v>26016472.930000037</v>
      </c>
      <c r="C56" s="28">
        <f>C14-C48</f>
        <v>14720872.999999985</v>
      </c>
      <c r="D56" s="22"/>
      <c r="E56" s="28">
        <f>E14-E48</f>
        <v>27867179.180000007</v>
      </c>
      <c r="F56" s="28">
        <f>F14-F48</f>
        <v>27760070.520000011</v>
      </c>
      <c r="G56" s="22"/>
      <c r="H56" s="28">
        <f>H14-H48</f>
        <v>29764618.069999963</v>
      </c>
      <c r="I56" s="28">
        <f>I14-I48</f>
        <v>19086742.330000013</v>
      </c>
      <c r="J56" s="22"/>
      <c r="K56" s="28">
        <f>K14-K48</f>
        <v>29136765.599999994</v>
      </c>
      <c r="L56" s="28">
        <f>L14-L48</f>
        <v>27452813.500000015</v>
      </c>
      <c r="M56" s="22"/>
      <c r="N56" s="28">
        <f>N14-N48</f>
        <v>26284586.099999994</v>
      </c>
      <c r="O56" s="28">
        <f>O14-O48</f>
        <v>21949099.609999999</v>
      </c>
      <c r="P56" s="22"/>
      <c r="Q56" s="28">
        <f>Q14-Q48</f>
        <v>56925384.619999975</v>
      </c>
      <c r="R56" s="28">
        <f>R14-R48</f>
        <v>47529063.359999985</v>
      </c>
      <c r="S56" s="22"/>
      <c r="T56" s="28">
        <f>T14-T48</f>
        <v>43344197.169999987</v>
      </c>
      <c r="U56" s="28">
        <f>U14-U48</f>
        <v>13423517.280000016</v>
      </c>
      <c r="V56" s="22"/>
      <c r="W56" s="28">
        <f>W14-W48</f>
        <v>44559757.169999987</v>
      </c>
      <c r="X56" s="28">
        <f>X14-X48</f>
        <v>18229988.75999999</v>
      </c>
      <c r="Y56" s="22"/>
      <c r="Z56" s="13">
        <f t="shared" ref="Z56:AA59" si="102">IF(T56&gt;0,W56/T56*100-100,"-")</f>
        <v>2.80443537858703</v>
      </c>
      <c r="AA56" s="13">
        <f t="shared" si="102"/>
        <v>35.806349258113158</v>
      </c>
    </row>
    <row r="57" spans="1:27" x14ac:dyDescent="0.3">
      <c r="A57" s="5" t="s">
        <v>72</v>
      </c>
      <c r="B57" s="28">
        <f>B15-B49</f>
        <v>-43978074.009999998</v>
      </c>
      <c r="C57" s="28">
        <f>C15-C49</f>
        <v>-4127432.9700000007</v>
      </c>
      <c r="D57" s="22"/>
      <c r="E57" s="28">
        <f>E15-E49</f>
        <v>-17786320.02</v>
      </c>
      <c r="F57" s="28">
        <f>F15-F49</f>
        <v>-714894.24000000022</v>
      </c>
      <c r="G57" s="22"/>
      <c r="H57" s="28">
        <f>H15-H49</f>
        <v>4098888.9199999981</v>
      </c>
      <c r="I57" s="28">
        <f>I15-I49</f>
        <v>2407348.4899999984</v>
      </c>
      <c r="J57" s="22"/>
      <c r="K57" s="28">
        <f>K15-K49</f>
        <v>693998.92999999598</v>
      </c>
      <c r="L57" s="28">
        <f>L15-L49</f>
        <v>-4393726.7200000007</v>
      </c>
      <c r="M57" s="22"/>
      <c r="N57" s="28">
        <f>N15-N49</f>
        <v>-31339696.91</v>
      </c>
      <c r="O57" s="28">
        <f>O15-O49</f>
        <v>-5212936.6800000016</v>
      </c>
      <c r="P57" s="22"/>
      <c r="Q57" s="28">
        <f>Q15-Q49</f>
        <v>-2343319.5999999978</v>
      </c>
      <c r="R57" s="28">
        <f>R15-R49</f>
        <v>1146307.1000000006</v>
      </c>
      <c r="S57" s="22"/>
      <c r="T57" s="28">
        <f>T15-T49</f>
        <v>-1435135.6699999981</v>
      </c>
      <c r="U57" s="28">
        <f>U15-U49</f>
        <v>1690071.9700000007</v>
      </c>
      <c r="V57" s="22"/>
      <c r="W57" s="28">
        <f>W15-W49</f>
        <v>54852073.229999989</v>
      </c>
      <c r="X57" s="28">
        <f>X15-X49</f>
        <v>8892179.9299999997</v>
      </c>
      <c r="Y57" s="22"/>
      <c r="Z57" s="13" t="str">
        <f t="shared" si="102"/>
        <v>-</v>
      </c>
      <c r="AA57" s="13">
        <f t="shared" si="102"/>
        <v>426.14208671835411</v>
      </c>
    </row>
    <row r="58" spans="1:27" x14ac:dyDescent="0.3">
      <c r="A58" s="5" t="s">
        <v>357</v>
      </c>
      <c r="B58" s="28">
        <f>SUM(B14:B16)-SUM(B48:B50)</f>
        <v>-17961601.079999954</v>
      </c>
      <c r="C58" s="28">
        <f>SUM(C14:C16)-SUM(C48:C50)</f>
        <v>10593440.029999986</v>
      </c>
      <c r="D58" s="22"/>
      <c r="E58" s="28">
        <f>SUM(E14:E16)-SUM(E48:E50)</f>
        <v>10080859.159999996</v>
      </c>
      <c r="F58" s="28">
        <f>SUM(F14:F16)-SUM(F48:F50)</f>
        <v>27045176.280000016</v>
      </c>
      <c r="G58" s="22"/>
      <c r="H58" s="28">
        <f>SUM(H14:H16)-SUM(H48:H50)</f>
        <v>33863506.98999998</v>
      </c>
      <c r="I58" s="28">
        <f>SUM(I14:I16)-SUM(I48:I50)</f>
        <v>21494090.820000008</v>
      </c>
      <c r="J58" s="22"/>
      <c r="K58" s="28">
        <f>SUM(K14:K16)-SUM(K48:K50)</f>
        <v>29830764.530000001</v>
      </c>
      <c r="L58" s="28">
        <f>SUM(L14:L16)-SUM(L48:L50)</f>
        <v>23059086.780000016</v>
      </c>
      <c r="M58" s="22"/>
      <c r="N58" s="28">
        <f>SUM(N14:N16)-SUM(N48:N50)</f>
        <v>-5055110.8100000024</v>
      </c>
      <c r="O58" s="28">
        <f>SUM(O14:O16)-SUM(O48:O50)</f>
        <v>16736162.929999992</v>
      </c>
      <c r="P58" s="22"/>
      <c r="Q58" s="28">
        <f>SUM(Q14:Q16)-SUM(Q48:Q50)</f>
        <v>54582065.019999981</v>
      </c>
      <c r="R58" s="28">
        <f>SUM(R14:R16)-SUM(R48:R50)</f>
        <v>48675370.459999993</v>
      </c>
      <c r="S58" s="22"/>
      <c r="T58" s="28">
        <f>SUM(T14:T16)-SUM(T48:T50)</f>
        <v>41909061.49999997</v>
      </c>
      <c r="U58" s="28">
        <f>SUM(U14:U16)-SUM(U48:U50)</f>
        <v>15113589.25</v>
      </c>
      <c r="V58" s="22"/>
      <c r="W58" s="28">
        <f>SUM(W14:W16)-SUM(W48:W50)</f>
        <v>99444450.399999976</v>
      </c>
      <c r="X58" s="28">
        <f>SUM(X14:X16)-SUM(X48:X50)</f>
        <v>27154788.689999968</v>
      </c>
      <c r="Y58" s="22"/>
      <c r="Z58" s="13">
        <f t="shared" si="102"/>
        <v>137.28627375728766</v>
      </c>
      <c r="AA58" s="13">
        <f t="shared" si="102"/>
        <v>79.671342398034056</v>
      </c>
    </row>
    <row r="59" spans="1:27" x14ac:dyDescent="0.3">
      <c r="A59" s="5" t="s">
        <v>358</v>
      </c>
      <c r="B59" s="28">
        <f>B21-B55</f>
        <v>-25341568.349999994</v>
      </c>
      <c r="C59" s="28">
        <f>C21-C55</f>
        <v>57441.899999976158</v>
      </c>
      <c r="D59" s="102"/>
      <c r="E59" s="28">
        <f>E21-E55</f>
        <v>2978124.3199999332</v>
      </c>
      <c r="F59" s="28">
        <f>F21-F55</f>
        <v>21000263.470000029</v>
      </c>
      <c r="G59" s="102"/>
      <c r="H59" s="28">
        <f>H21-H55</f>
        <v>26547267.849999964</v>
      </c>
      <c r="I59" s="28">
        <f>I21-I55</f>
        <v>26751870.809999943</v>
      </c>
      <c r="J59" s="102"/>
      <c r="K59" s="28">
        <f>K21-K55</f>
        <v>23891777.179999948</v>
      </c>
      <c r="L59" s="28">
        <f>L21-L55</f>
        <v>35298193.389999986</v>
      </c>
      <c r="M59" s="102"/>
      <c r="N59" s="28">
        <f>N21-N55</f>
        <v>35435169.580000043</v>
      </c>
      <c r="O59" s="28">
        <f>O21-O55</f>
        <v>78428038.819999993</v>
      </c>
      <c r="P59" s="102"/>
      <c r="Q59" s="28">
        <f>Q21-Q55</f>
        <v>68963660.159999967</v>
      </c>
      <c r="R59" s="28">
        <f>R21-R55</f>
        <v>61542988.279999971</v>
      </c>
      <c r="S59" s="102"/>
      <c r="T59" s="28">
        <f>T21-T55</f>
        <v>34428203.409999967</v>
      </c>
      <c r="U59" s="28">
        <f>U21-U55</f>
        <v>3237924.2399999499</v>
      </c>
      <c r="V59" s="102"/>
      <c r="W59" s="28">
        <f>W21-W55</f>
        <v>91317913.7299999</v>
      </c>
      <c r="X59" s="28">
        <f>X21-X55</f>
        <v>16622471.790000021</v>
      </c>
      <c r="Y59" s="102"/>
      <c r="Z59" s="13">
        <f t="shared" si="102"/>
        <v>165.24158882910467</v>
      </c>
      <c r="AA59" s="13">
        <f t="shared" si="102"/>
        <v>413.36815063962945</v>
      </c>
    </row>
    <row r="60" spans="1:27" x14ac:dyDescent="0.3">
      <c r="A60" s="5" t="s">
        <v>359</v>
      </c>
      <c r="C60" s="6">
        <f>SUM(C14:C16)/SUM(B14:B16)*100</f>
        <v>57.216629928003272</v>
      </c>
      <c r="D60" s="102"/>
      <c r="F60" s="6">
        <f>SUM(F14:F16)/SUM(E14:E16)*100</f>
        <v>58.845296032023356</v>
      </c>
      <c r="G60" s="102"/>
      <c r="I60" s="6">
        <f>SUM(I14:I16)/SUM(H14:H16)*100</f>
        <v>58.30123395248981</v>
      </c>
      <c r="J60" s="102"/>
      <c r="L60" s="6">
        <f>SUM(L14:L16)/SUM(K14:K16)*100</f>
        <v>54.74426656998326</v>
      </c>
      <c r="M60" s="102"/>
      <c r="O60" s="6">
        <f>SUM(O14:O16)/SUM(N14:N16)*100</f>
        <v>57.715841297174606</v>
      </c>
      <c r="P60" s="102"/>
      <c r="R60" s="6">
        <f>SUM(R14:R16)/SUM(Q14:Q16)*100</f>
        <v>62.279554453177887</v>
      </c>
      <c r="S60" s="102"/>
      <c r="U60" s="6">
        <f>SUM(U14:U16)/SUM(T14:T16)*100</f>
        <v>56.385210610302927</v>
      </c>
      <c r="V60" s="102"/>
      <c r="X60" s="6">
        <f>SUM(X14:X16)/SUM(W14:W16)*100</f>
        <v>54.79154331564807</v>
      </c>
      <c r="Y60" s="102"/>
    </row>
    <row r="61" spans="1:27" x14ac:dyDescent="0.3">
      <c r="A61" s="5" t="s">
        <v>360</v>
      </c>
      <c r="C61" s="6">
        <f>SUM(C48:C50)/SUM(B48:B50)*100</f>
        <v>48.609591731634076</v>
      </c>
      <c r="D61" s="102"/>
      <c r="F61" s="6">
        <f>SUM(F48:F50)/SUM(E48:E50)*100</f>
        <v>48.345499249474557</v>
      </c>
      <c r="G61" s="102"/>
      <c r="I61" s="6">
        <f>SUM(I48:I50)/SUM(H48:H50)*100</f>
        <v>57.45107412351679</v>
      </c>
      <c r="J61" s="102"/>
      <c r="L61" s="6">
        <f>SUM(L48:L50)/SUM(K48:K50)*100</f>
        <v>51.419832219103455</v>
      </c>
      <c r="M61" s="102"/>
      <c r="O61" s="6">
        <f>SUM(O48:O50)/SUM(N48:N50)*100</f>
        <v>49.076368983293925</v>
      </c>
      <c r="P61" s="102"/>
      <c r="R61" s="6">
        <f>SUM(R48:R50)/SUM(Q48:Q50)*100</f>
        <v>54.650796332851328</v>
      </c>
      <c r="S61" s="102"/>
      <c r="U61" s="6">
        <f>SUM(U48:U50)/SUM(T48:T50)*100</f>
        <v>60.469785251747652</v>
      </c>
      <c r="V61" s="102"/>
      <c r="X61" s="6">
        <f>SUM(X48:X50)/SUM(W48:W50)*100</f>
        <v>67.621265838117822</v>
      </c>
      <c r="Y61" s="102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3" t="s">
        <v>311</v>
      </c>
      <c r="B1" s="73" t="s">
        <v>312</v>
      </c>
      <c r="C1" s="73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4" t="s">
        <v>313</v>
      </c>
      <c r="B2" s="74" t="s">
        <v>78</v>
      </c>
      <c r="C2" s="76" t="s">
        <v>321</v>
      </c>
      <c r="D2" s="87" t="s">
        <v>328</v>
      </c>
      <c r="E2" s="81">
        <f>Piano_indicatori!D3</f>
        <v>37.271000000000001</v>
      </c>
      <c r="F2" s="81">
        <f>Piano_indicatori!E3</f>
        <v>34.79</v>
      </c>
      <c r="G2" s="81">
        <f>Piano_indicatori!F3</f>
        <v>35.86</v>
      </c>
      <c r="H2" s="81">
        <f>Piano_indicatori!G3</f>
        <v>46.19</v>
      </c>
      <c r="I2" s="81">
        <f>Piano_indicatori!H3</f>
        <v>36.22</v>
      </c>
      <c r="J2" s="81">
        <f>Piano_indicatori!I3</f>
        <v>54.603999999999999</v>
      </c>
      <c r="K2" s="81">
        <f>Piano_indicatori!J3</f>
        <v>34.29</v>
      </c>
      <c r="L2" s="81">
        <f>Piano_indicatori!K3</f>
        <v>39.6</v>
      </c>
    </row>
    <row r="3" spans="1:12" ht="29.25" customHeight="1" x14ac:dyDescent="0.3">
      <c r="A3" s="75" t="s">
        <v>314</v>
      </c>
      <c r="B3" s="75" t="s">
        <v>95</v>
      </c>
      <c r="C3" s="77" t="s">
        <v>96</v>
      </c>
      <c r="D3" s="88" t="s">
        <v>329</v>
      </c>
      <c r="E3" s="82">
        <f>Piano_indicatori!D12</f>
        <v>40.814</v>
      </c>
      <c r="F3" s="82">
        <f>Piano_indicatori!E12</f>
        <v>39.549999999999997</v>
      </c>
      <c r="G3" s="82">
        <f>Piano_indicatori!F12</f>
        <v>52.91</v>
      </c>
      <c r="H3" s="82">
        <f>Piano_indicatori!G12</f>
        <v>40.43</v>
      </c>
      <c r="I3" s="82">
        <f>Piano_indicatori!H12</f>
        <v>27.97</v>
      </c>
      <c r="J3" s="82">
        <f>Piano_indicatori!I12</f>
        <v>33.866</v>
      </c>
      <c r="K3" s="82">
        <f>Piano_indicatori!J12</f>
        <v>45.46</v>
      </c>
      <c r="L3" s="82">
        <f>Piano_indicatori!K12</f>
        <v>39.67</v>
      </c>
    </row>
    <row r="4" spans="1:12" ht="29.25" customHeight="1" x14ac:dyDescent="0.3">
      <c r="A4" s="74" t="s">
        <v>315</v>
      </c>
      <c r="B4" s="74" t="s">
        <v>100</v>
      </c>
      <c r="C4" s="78" t="s">
        <v>324</v>
      </c>
      <c r="D4" s="87" t="s">
        <v>330</v>
      </c>
      <c r="E4" s="83">
        <f>Piano_indicatori!D15</f>
        <v>0</v>
      </c>
      <c r="F4" s="83">
        <f>Piano_indicatori!E15</f>
        <v>0</v>
      </c>
      <c r="G4" s="83">
        <f>Piano_indicatori!F15</f>
        <v>30.72</v>
      </c>
      <c r="H4" s="83">
        <f>Piano_indicatori!G15</f>
        <v>26.96</v>
      </c>
      <c r="I4" s="83">
        <f>Piano_indicatori!H15</f>
        <v>30.21</v>
      </c>
      <c r="J4" s="83">
        <f>Piano_indicatori!I15</f>
        <v>3.8580000000000001</v>
      </c>
      <c r="K4" s="83">
        <f>Piano_indicatori!J15</f>
        <v>0.99</v>
      </c>
      <c r="L4" s="83">
        <f>Piano_indicatori!K15</f>
        <v>0</v>
      </c>
    </row>
    <row r="5" spans="1:12" ht="29.25" customHeight="1" x14ac:dyDescent="0.3">
      <c r="A5" s="75" t="s">
        <v>316</v>
      </c>
      <c r="B5" s="75" t="s">
        <v>165</v>
      </c>
      <c r="C5" s="79" t="s">
        <v>325</v>
      </c>
      <c r="D5" s="89" t="s">
        <v>331</v>
      </c>
      <c r="E5" s="84">
        <f>Piano_indicatori!D51</f>
        <v>10.888999999999999</v>
      </c>
      <c r="F5" s="84">
        <f>Piano_indicatori!E51</f>
        <v>9.9499999999999993</v>
      </c>
      <c r="G5" s="84">
        <f>Piano_indicatori!F51</f>
        <v>10.57</v>
      </c>
      <c r="H5" s="84">
        <f>Piano_indicatori!G51</f>
        <v>11.09</v>
      </c>
      <c r="I5" s="84">
        <f>Piano_indicatori!H51</f>
        <v>9.77</v>
      </c>
      <c r="J5" s="84">
        <f>Piano_indicatori!I51</f>
        <v>10.265000000000001</v>
      </c>
      <c r="K5" s="84">
        <f>Piano_indicatori!J51</f>
        <v>10.53</v>
      </c>
      <c r="L5" s="84">
        <f>Piano_indicatori!K51</f>
        <v>9.86</v>
      </c>
    </row>
    <row r="6" spans="1:12" ht="29.25" customHeight="1" x14ac:dyDescent="0.3">
      <c r="A6" s="74" t="s">
        <v>317</v>
      </c>
      <c r="B6" s="74" t="s">
        <v>185</v>
      </c>
      <c r="C6" s="91" t="s">
        <v>186</v>
      </c>
      <c r="D6" s="90" t="s">
        <v>332</v>
      </c>
      <c r="E6" s="105">
        <f>Piano_indicatori!D62</f>
        <v>0</v>
      </c>
      <c r="F6" s="105">
        <f>Piano_indicatori!E62</f>
        <v>0</v>
      </c>
      <c r="G6" s="105">
        <f>Piano_indicatori!F62</f>
        <v>0.16</v>
      </c>
      <c r="H6" s="105">
        <f>Piano_indicatori!G62</f>
        <v>2E-3</v>
      </c>
      <c r="I6" s="105">
        <f>Piano_indicatori!H62</f>
        <v>2.89</v>
      </c>
      <c r="J6" s="105">
        <f>Piano_indicatori!I62</f>
        <v>25.038</v>
      </c>
      <c r="K6" s="105">
        <f>Piano_indicatori!J62</f>
        <v>3.42</v>
      </c>
      <c r="L6" s="105">
        <f>Piano_indicatori!K62</f>
        <v>8.7100000000000009</v>
      </c>
    </row>
    <row r="7" spans="1:12" ht="29.25" customHeight="1" x14ac:dyDescent="0.3">
      <c r="A7" s="75" t="s">
        <v>318</v>
      </c>
      <c r="B7" s="75" t="s">
        <v>188</v>
      </c>
      <c r="C7" s="79" t="s">
        <v>189</v>
      </c>
      <c r="D7" s="88" t="s">
        <v>333</v>
      </c>
      <c r="E7" s="104">
        <f>Piano_indicatori!D64</f>
        <v>0</v>
      </c>
      <c r="F7" s="104">
        <f>Piano_indicatori!E64</f>
        <v>0.01</v>
      </c>
      <c r="G7" s="85">
        <f>Piano_indicatori!F64</f>
        <v>0.50600000000000001</v>
      </c>
      <c r="H7" s="104">
        <f>Piano_indicatori!G64</f>
        <v>0.38</v>
      </c>
      <c r="I7" s="104">
        <f>Piano_indicatori!H64</f>
        <v>0.49</v>
      </c>
      <c r="J7" s="104">
        <f>Piano_indicatori!I64</f>
        <v>0.74299999999999999</v>
      </c>
      <c r="K7" s="104">
        <f>Piano_indicatori!J64</f>
        <v>0.75</v>
      </c>
      <c r="L7" s="104">
        <f>Piano_indicatori!K64</f>
        <v>0.64</v>
      </c>
    </row>
    <row r="8" spans="1:12" ht="29.25" customHeight="1" x14ac:dyDescent="0.3">
      <c r="A8" s="74" t="s">
        <v>319</v>
      </c>
      <c r="B8" s="74" t="s">
        <v>323</v>
      </c>
      <c r="C8" s="78" t="s">
        <v>326</v>
      </c>
      <c r="D8" s="87" t="s">
        <v>334</v>
      </c>
      <c r="E8" s="103">
        <f>Piano_indicatori!D65+Piano_indicatori!D66</f>
        <v>0</v>
      </c>
      <c r="F8" s="103">
        <f>Piano_indicatori!E65+Piano_indicatori!E66</f>
        <v>0</v>
      </c>
      <c r="G8" s="83">
        <f>Piano_indicatori!F65+Piano_indicatori!F66</f>
        <v>1.107</v>
      </c>
      <c r="H8" s="103">
        <f>Piano_indicatori!G65+Piano_indicatori!G66</f>
        <v>0.38</v>
      </c>
      <c r="I8" s="103">
        <f>Piano_indicatori!H65+Piano_indicatori!H66</f>
        <v>0.6</v>
      </c>
      <c r="J8" s="103">
        <f>Piano_indicatori!I65+Piano_indicatori!I66</f>
        <v>1.2999999999999999E-2</v>
      </c>
      <c r="K8" s="103">
        <f>Piano_indicatori!J65+Piano_indicatori!J66</f>
        <v>0.15</v>
      </c>
      <c r="L8" s="103">
        <f>Piano_indicatori!K65+Piano_indicatori!K66</f>
        <v>0.27</v>
      </c>
    </row>
    <row r="9" spans="1:12" ht="29.25" customHeight="1" x14ac:dyDescent="0.3">
      <c r="A9" s="75" t="s">
        <v>320</v>
      </c>
      <c r="B9" s="75"/>
      <c r="C9" s="80" t="s">
        <v>327</v>
      </c>
      <c r="D9" s="89" t="s">
        <v>335</v>
      </c>
      <c r="E9" s="86">
        <f>Piano_indicatori!D76</f>
        <v>52.151196160982039</v>
      </c>
      <c r="F9" s="86">
        <f>Piano_indicatori!E76</f>
        <v>46.008796666601029</v>
      </c>
      <c r="G9" s="86">
        <f>Piano_indicatori!F76</f>
        <v>49.790746626094673</v>
      </c>
      <c r="H9" s="86">
        <f>Piano_indicatori!G76</f>
        <v>49.419766410761014</v>
      </c>
      <c r="I9" s="86">
        <f>Piano_indicatori!H76</f>
        <v>53.596208202816442</v>
      </c>
      <c r="J9" s="86">
        <f>Piano_indicatori!I76</f>
        <v>53.22162189817675</v>
      </c>
      <c r="K9" s="86">
        <f>Piano_indicatori!J76</f>
        <v>51.465596116052851</v>
      </c>
      <c r="L9" s="86">
        <f>Piano_indicatori!K76</f>
        <v>50.134506989734426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5" width="10.33203125" customWidth="1"/>
    <col min="6" max="6" width="10" customWidth="1"/>
  </cols>
  <sheetData>
    <row r="1" spans="1:20" ht="43.2" x14ac:dyDescent="0.3">
      <c r="A1" s="93" t="s">
        <v>336</v>
      </c>
      <c r="B1" s="93" t="s">
        <v>337</v>
      </c>
      <c r="C1" s="93" t="s">
        <v>351</v>
      </c>
      <c r="D1" s="93" t="s">
        <v>352</v>
      </c>
      <c r="E1" s="93" t="s">
        <v>353</v>
      </c>
      <c r="F1" s="93" t="s">
        <v>363</v>
      </c>
      <c r="G1" s="93" t="s">
        <v>354</v>
      </c>
    </row>
    <row r="2" spans="1:20" x14ac:dyDescent="0.3">
      <c r="A2" s="31">
        <v>2024</v>
      </c>
      <c r="B2" s="1">
        <v>126625</v>
      </c>
      <c r="C2" s="1">
        <v>1057819</v>
      </c>
      <c r="D2" s="93"/>
    </row>
    <row r="3" spans="1:20" x14ac:dyDescent="0.3">
      <c r="A3" s="31">
        <v>2023</v>
      </c>
      <c r="B3" s="1">
        <v>127485</v>
      </c>
      <c r="C3" s="1">
        <v>1061067</v>
      </c>
      <c r="D3" s="93">
        <v>-973</v>
      </c>
      <c r="E3">
        <v>113</v>
      </c>
      <c r="G3" s="1">
        <f t="shared" ref="G3:G11" si="0">B2-B3-D3-E3-F3</f>
        <v>0</v>
      </c>
    </row>
    <row r="4" spans="1:20" x14ac:dyDescent="0.3">
      <c r="A4" s="31">
        <v>2022</v>
      </c>
      <c r="B4" s="1">
        <v>128136</v>
      </c>
      <c r="C4" s="1">
        <v>1064493</v>
      </c>
      <c r="D4" s="1">
        <v>-982</v>
      </c>
      <c r="E4" s="1">
        <v>33</v>
      </c>
      <c r="F4" s="1">
        <v>298</v>
      </c>
      <c r="G4" s="1">
        <f t="shared" si="0"/>
        <v>0</v>
      </c>
    </row>
    <row r="5" spans="1:20" x14ac:dyDescent="0.3">
      <c r="A5" s="31">
        <v>2021</v>
      </c>
      <c r="B5" s="1">
        <v>129206</v>
      </c>
      <c r="C5" s="1">
        <v>1065967</v>
      </c>
      <c r="D5" s="1">
        <v>-1008</v>
      </c>
      <c r="E5" s="1">
        <v>-145</v>
      </c>
      <c r="F5" s="1">
        <v>83</v>
      </c>
      <c r="G5" s="1">
        <f t="shared" si="0"/>
        <v>0</v>
      </c>
    </row>
    <row r="6" spans="1:20" x14ac:dyDescent="0.3">
      <c r="A6" s="31">
        <v>2020</v>
      </c>
      <c r="B6" s="1">
        <v>131556</v>
      </c>
      <c r="C6" s="1">
        <v>1081380</v>
      </c>
      <c r="D6" s="1">
        <v>-855</v>
      </c>
      <c r="E6" s="1">
        <v>-237</v>
      </c>
      <c r="F6" s="1">
        <v>-1258</v>
      </c>
      <c r="G6" s="1">
        <f t="shared" si="0"/>
        <v>0</v>
      </c>
    </row>
    <row r="7" spans="1:20" x14ac:dyDescent="0.3">
      <c r="A7" s="31">
        <v>2019</v>
      </c>
      <c r="B7" s="1">
        <v>132364</v>
      </c>
      <c r="C7" s="1">
        <v>1087055</v>
      </c>
      <c r="D7" s="1">
        <v>-800</v>
      </c>
      <c r="E7" s="1">
        <v>-27</v>
      </c>
      <c r="F7" s="1">
        <v>19</v>
      </c>
      <c r="G7" s="1">
        <f t="shared" si="0"/>
        <v>0</v>
      </c>
      <c r="K7" s="106"/>
      <c r="L7" s="107"/>
      <c r="M7" s="106"/>
      <c r="N7" s="107"/>
      <c r="O7" s="107"/>
      <c r="P7" s="107"/>
      <c r="Q7" s="106"/>
      <c r="R7" s="106"/>
      <c r="S7" s="107"/>
      <c r="T7" s="107"/>
    </row>
    <row r="8" spans="1:20" x14ac:dyDescent="0.3">
      <c r="A8" s="31">
        <v>2018</v>
      </c>
      <c r="B8" s="1">
        <v>133019</v>
      </c>
      <c r="C8" s="1">
        <v>1091434</v>
      </c>
      <c r="D8" s="1">
        <v>-717</v>
      </c>
      <c r="E8" s="1">
        <v>62</v>
      </c>
      <c r="F8" s="1"/>
      <c r="G8" s="1">
        <f t="shared" si="0"/>
        <v>0</v>
      </c>
      <c r="K8" s="106"/>
      <c r="L8" s="107"/>
      <c r="M8" s="106"/>
      <c r="N8" s="107"/>
      <c r="O8" s="107"/>
      <c r="P8" s="107"/>
      <c r="Q8" s="106"/>
      <c r="R8" s="106"/>
      <c r="S8" s="107"/>
      <c r="T8" s="107"/>
    </row>
    <row r="9" spans="1:20" x14ac:dyDescent="0.3">
      <c r="A9" s="31">
        <v>2017</v>
      </c>
      <c r="B9" s="1">
        <v>133941</v>
      </c>
      <c r="C9" s="1">
        <v>1095614</v>
      </c>
      <c r="D9" s="1">
        <v>-858</v>
      </c>
      <c r="E9" s="1">
        <v>-64</v>
      </c>
      <c r="F9" s="1"/>
      <c r="G9" s="1">
        <f t="shared" si="0"/>
        <v>0</v>
      </c>
      <c r="K9" s="106"/>
      <c r="L9" s="107"/>
      <c r="M9" s="106"/>
      <c r="N9" s="107"/>
      <c r="O9" s="107"/>
      <c r="P9" s="107"/>
      <c r="Q9" s="106"/>
      <c r="R9" s="106"/>
      <c r="S9" s="107"/>
      <c r="T9" s="107"/>
    </row>
    <row r="10" spans="1:20" x14ac:dyDescent="0.3">
      <c r="A10" s="31">
        <v>2016</v>
      </c>
      <c r="B10" s="1">
        <v>134338</v>
      </c>
      <c r="C10" s="1">
        <v>1098529</v>
      </c>
      <c r="D10" s="1">
        <v>-619</v>
      </c>
      <c r="E10" s="1">
        <v>222</v>
      </c>
      <c r="F10" s="1"/>
      <c r="G10" s="1">
        <f t="shared" si="0"/>
        <v>0</v>
      </c>
      <c r="K10" s="106"/>
      <c r="L10" s="107"/>
      <c r="M10" s="106"/>
      <c r="N10" s="107"/>
      <c r="O10" s="107"/>
      <c r="P10" s="107"/>
      <c r="Q10" s="106"/>
      <c r="R10" s="106"/>
      <c r="S10" s="107"/>
      <c r="T10" s="107"/>
    </row>
    <row r="11" spans="1:20" x14ac:dyDescent="0.3">
      <c r="A11" s="31">
        <v>2015</v>
      </c>
      <c r="B11" s="1">
        <v>134732</v>
      </c>
      <c r="C11" s="1">
        <v>1102188</v>
      </c>
      <c r="D11" s="1">
        <v>-759</v>
      </c>
      <c r="E11" s="1">
        <v>365</v>
      </c>
      <c r="F11" s="1"/>
      <c r="G11" s="1">
        <f t="shared" si="0"/>
        <v>0</v>
      </c>
    </row>
    <row r="32" spans="6:6" x14ac:dyDescent="0.3">
      <c r="F32" s="106"/>
    </row>
    <row r="33" spans="6:6" x14ac:dyDescent="0.3">
      <c r="F33" s="106"/>
    </row>
    <row r="34" spans="6:6" x14ac:dyDescent="0.3">
      <c r="F34" s="106"/>
    </row>
    <row r="35" spans="6:6" x14ac:dyDescent="0.3">
      <c r="F35" s="106"/>
    </row>
    <row r="36" spans="6:6" x14ac:dyDescent="0.3">
      <c r="F36" s="106"/>
    </row>
    <row r="37" spans="6:6" x14ac:dyDescent="0.3">
      <c r="F37" s="106"/>
    </row>
    <row r="38" spans="6:6" x14ac:dyDescent="0.3">
      <c r="F38" s="106"/>
    </row>
    <row r="39" spans="6:6" x14ac:dyDescent="0.3">
      <c r="F39" s="106"/>
    </row>
    <row r="40" spans="6:6" x14ac:dyDescent="0.3">
      <c r="F40" s="106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9" width="12.5546875" bestFit="1" customWidth="1"/>
    <col min="10" max="10" width="8.44140625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365</v>
      </c>
      <c r="M1" s="42" t="s">
        <v>269</v>
      </c>
    </row>
    <row r="2" spans="1:13" x14ac:dyDescent="0.3">
      <c r="A2" s="55" t="s">
        <v>20</v>
      </c>
      <c r="B2" s="56">
        <f>Entrate_Uscite!B3</f>
        <v>147759668.11000001</v>
      </c>
      <c r="C2" s="56">
        <f>Entrate_Uscite!E3</f>
        <v>138377348.47999999</v>
      </c>
      <c r="D2" s="56">
        <f>Entrate_Uscite!H3</f>
        <v>136829248.88999999</v>
      </c>
      <c r="E2" s="56">
        <f>Entrate_Uscite!K3</f>
        <v>138858378.77000001</v>
      </c>
      <c r="F2" s="56">
        <f>Entrate_Uscite!N3</f>
        <v>127188430.18000001</v>
      </c>
      <c r="G2" s="56">
        <f>Entrate_Uscite!Q3</f>
        <v>124572955.77</v>
      </c>
      <c r="H2" s="56">
        <f>Entrate_Uscite!T3</f>
        <v>133493595.95999999</v>
      </c>
      <c r="I2" s="56">
        <f>Entrate_Uscite!W3</f>
        <v>138984012.09999999</v>
      </c>
      <c r="J2" s="56">
        <f>I2/I$21*100</f>
        <v>32.769649594187207</v>
      </c>
      <c r="K2" s="57">
        <f>IF(H2&gt;0,I2/H2*100-100,"-")</f>
        <v>4.1128685616088632</v>
      </c>
      <c r="L2" s="56">
        <f>Entrate_Uscite!X3</f>
        <v>101080412.78</v>
      </c>
      <c r="M2" s="58">
        <f>IF(I2&gt;0,L2/I2*100,"-")</f>
        <v>72.728086671776254</v>
      </c>
    </row>
    <row r="3" spans="1:13" x14ac:dyDescent="0.3">
      <c r="A3" s="55" t="s">
        <v>21</v>
      </c>
      <c r="B3" s="56">
        <f>Entrate_Uscite!B4</f>
        <v>26941229.609999999</v>
      </c>
      <c r="C3" s="56">
        <f>Entrate_Uscite!E4</f>
        <v>31064700.280000001</v>
      </c>
      <c r="D3" s="56">
        <f>Entrate_Uscite!H4</f>
        <v>34121582.520000003</v>
      </c>
      <c r="E3" s="56">
        <f>Entrate_Uscite!K4</f>
        <v>24884277.809999999</v>
      </c>
      <c r="F3" s="56">
        <f>Entrate_Uscite!N4</f>
        <v>36904968.670000002</v>
      </c>
      <c r="G3" s="56">
        <f>Entrate_Uscite!Q4</f>
        <v>64196800.93</v>
      </c>
      <c r="H3" s="56">
        <f>Entrate_Uscite!T4</f>
        <v>32733286.449999999</v>
      </c>
      <c r="I3" s="56">
        <f>Entrate_Uscite!W4</f>
        <v>29687868.850000001</v>
      </c>
      <c r="J3" s="56">
        <f t="shared" ref="J3:J21" si="0">I3/I$21*100</f>
        <v>6.9998055511068786</v>
      </c>
      <c r="K3" s="57">
        <f t="shared" ref="K3:K21" si="1">IF(H3&gt;0,I3/H3*100-100,"-")</f>
        <v>-9.3037330811614822</v>
      </c>
      <c r="L3" s="56">
        <f>Entrate_Uscite!X4</f>
        <v>13391483.74</v>
      </c>
      <c r="M3" s="58">
        <f t="shared" ref="M3:M21" si="2">IF(I3&gt;0,L3/I3*100,"-")</f>
        <v>45.107595320032544</v>
      </c>
    </row>
    <row r="4" spans="1:13" x14ac:dyDescent="0.3">
      <c r="A4" s="55" t="s">
        <v>22</v>
      </c>
      <c r="B4" s="56">
        <f>Entrate_Uscite!B5</f>
        <v>33462086.98</v>
      </c>
      <c r="C4" s="56">
        <f>Entrate_Uscite!E5</f>
        <v>35679231.390000001</v>
      </c>
      <c r="D4" s="56">
        <f>Entrate_Uscite!H5</f>
        <v>36348903.780000001</v>
      </c>
      <c r="E4" s="56">
        <f>Entrate_Uscite!K5</f>
        <v>34834841.130000003</v>
      </c>
      <c r="F4" s="56">
        <f>Entrate_Uscite!N5</f>
        <v>29229786.48</v>
      </c>
      <c r="G4" s="56">
        <f>Entrate_Uscite!Q5</f>
        <v>32861955.850000001</v>
      </c>
      <c r="H4" s="56">
        <f>Entrate_Uscite!T5</f>
        <v>54907116.009999998</v>
      </c>
      <c r="I4" s="56">
        <f>Entrate_Uscite!W5</f>
        <v>44665849.770000003</v>
      </c>
      <c r="J4" s="56">
        <f t="shared" si="0"/>
        <v>10.531313808500332</v>
      </c>
      <c r="K4" s="57">
        <f t="shared" si="1"/>
        <v>-18.651983539136879</v>
      </c>
      <c r="L4" s="56">
        <f>Entrate_Uscite!X5</f>
        <v>22346438.859999999</v>
      </c>
      <c r="M4" s="58">
        <f t="shared" si="2"/>
        <v>50.030255721249198</v>
      </c>
    </row>
    <row r="5" spans="1:13" x14ac:dyDescent="0.3">
      <c r="A5" s="4" t="s">
        <v>31</v>
      </c>
      <c r="B5" s="43">
        <f t="shared" ref="B5:I5" si="3">SUM(B2:B4)</f>
        <v>208162984.70000002</v>
      </c>
      <c r="C5" s="43">
        <f t="shared" si="3"/>
        <v>205121280.14999998</v>
      </c>
      <c r="D5" s="43">
        <f t="shared" si="3"/>
        <v>207299735.19</v>
      </c>
      <c r="E5" s="43">
        <f t="shared" si="3"/>
        <v>198577497.71000001</v>
      </c>
      <c r="F5" s="43">
        <f t="shared" si="3"/>
        <v>193323185.33000001</v>
      </c>
      <c r="G5" s="43">
        <f t="shared" ref="G5:H5" si="4">SUM(G2:G4)</f>
        <v>221631712.54999998</v>
      </c>
      <c r="H5" s="43">
        <f t="shared" si="4"/>
        <v>221133998.41999999</v>
      </c>
      <c r="I5" s="43">
        <f t="shared" si="3"/>
        <v>213337730.72</v>
      </c>
      <c r="J5" s="43">
        <f t="shared" si="0"/>
        <v>50.300768953794417</v>
      </c>
      <c r="K5" s="44">
        <f t="shared" si="1"/>
        <v>-3.5255852811888957</v>
      </c>
      <c r="L5" s="43">
        <f>SUM(L2:L4)</f>
        <v>136818335.38</v>
      </c>
      <c r="M5" s="45">
        <f>IF(I5&gt;0,L5/I5*100,"-")</f>
        <v>64.132272766869519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>Entrate_Uscite!T6</f>
        <v>0</v>
      </c>
      <c r="I6" s="56">
        <f>Entrate_Uscite!W6</f>
        <v>0</v>
      </c>
      <c r="J6" s="56">
        <f t="shared" si="0"/>
        <v>0</v>
      </c>
      <c r="K6" s="57" t="str">
        <f t="shared" si="1"/>
        <v>-</v>
      </c>
      <c r="L6" s="56">
        <f>Entrate_Uscite!X6</f>
        <v>0</v>
      </c>
      <c r="M6" s="58" t="str">
        <f t="shared" si="2"/>
        <v>-</v>
      </c>
    </row>
    <row r="7" spans="1:13" x14ac:dyDescent="0.3">
      <c r="A7" s="55" t="s">
        <v>24</v>
      </c>
      <c r="B7" s="56">
        <f>Entrate_Uscite!B7</f>
        <v>8477357.8100000005</v>
      </c>
      <c r="C7" s="56">
        <f>Entrate_Uscite!E7</f>
        <v>1031636.65</v>
      </c>
      <c r="D7" s="56">
        <f>Entrate_Uscite!H7</f>
        <v>27115390.699999999</v>
      </c>
      <c r="E7" s="56">
        <f>Entrate_Uscite!K7</f>
        <v>27439276.219999999</v>
      </c>
      <c r="F7" s="56">
        <f>Entrate_Uscite!N7</f>
        <v>16779409.079999998</v>
      </c>
      <c r="G7" s="56">
        <f>Entrate_Uscite!Q7</f>
        <v>8708700</v>
      </c>
      <c r="H7" s="56">
        <f>Entrate_Uscite!T7</f>
        <v>24548812.920000002</v>
      </c>
      <c r="I7" s="56">
        <f>Entrate_Uscite!W7</f>
        <v>87217602.209999993</v>
      </c>
      <c r="J7" s="56">
        <f t="shared" si="0"/>
        <v>20.564165760378906</v>
      </c>
      <c r="K7" s="57">
        <f t="shared" si="1"/>
        <v>255.28236128657579</v>
      </c>
      <c r="L7" s="56">
        <f>Entrate_Uscite!X7</f>
        <v>22508557</v>
      </c>
      <c r="M7" s="58">
        <f t="shared" si="2"/>
        <v>25.807355888785562</v>
      </c>
    </row>
    <row r="8" spans="1:13" x14ac:dyDescent="0.3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0"/>
        <v>0</v>
      </c>
      <c r="K8" s="57" t="str">
        <f t="shared" si="1"/>
        <v>-</v>
      </c>
      <c r="L8" s="56">
        <f>Entrate_Uscite!X8</f>
        <v>0</v>
      </c>
      <c r="M8" s="58" t="str">
        <f t="shared" si="2"/>
        <v>-</v>
      </c>
    </row>
    <row r="9" spans="1:13" x14ac:dyDescent="0.3">
      <c r="A9" s="55" t="s">
        <v>26</v>
      </c>
      <c r="B9" s="56">
        <f>Entrate_Uscite!B9</f>
        <v>2278747.48</v>
      </c>
      <c r="C9" s="56">
        <f>Entrate_Uscite!E9</f>
        <v>1253093.1499999999</v>
      </c>
      <c r="D9" s="56">
        <f>Entrate_Uscite!H9</f>
        <v>744707.31</v>
      </c>
      <c r="E9" s="56">
        <f>Entrate_Uscite!K9</f>
        <v>1062924.29</v>
      </c>
      <c r="F9" s="56">
        <f>Entrate_Uscite!N9</f>
        <v>7764917.1500000004</v>
      </c>
      <c r="G9" s="56">
        <f>Entrate_Uscite!Q9</f>
        <v>11051535.560000001</v>
      </c>
      <c r="H9" s="56">
        <f>Entrate_Uscite!T9</f>
        <v>712380.71</v>
      </c>
      <c r="I9" s="56">
        <f>Entrate_Uscite!W9</f>
        <v>6855829.3799999999</v>
      </c>
      <c r="J9" s="56">
        <f t="shared" si="0"/>
        <v>1.6164674128020351</v>
      </c>
      <c r="K9" s="57">
        <f t="shared" si="1"/>
        <v>862.38279388558965</v>
      </c>
      <c r="L9" s="56">
        <f>Entrate_Uscite!X9</f>
        <v>6853179.04</v>
      </c>
      <c r="M9" s="58">
        <f t="shared" si="2"/>
        <v>99.961341803404096</v>
      </c>
    </row>
    <row r="10" spans="1:13" x14ac:dyDescent="0.3">
      <c r="A10" s="55" t="s">
        <v>27</v>
      </c>
      <c r="B10" s="56">
        <f>Entrate_Uscite!B10</f>
        <v>5600663.9900000002</v>
      </c>
      <c r="C10" s="56">
        <f>Entrate_Uscite!E10</f>
        <v>3755549.17</v>
      </c>
      <c r="D10" s="56">
        <f>Entrate_Uscite!H10</f>
        <v>4694162.3499999996</v>
      </c>
      <c r="E10" s="56">
        <f>Entrate_Uscite!K10</f>
        <v>5145002.1100000003</v>
      </c>
      <c r="F10" s="56">
        <f>Entrate_Uscite!N10</f>
        <v>4565376.3</v>
      </c>
      <c r="G10" s="56">
        <f>Entrate_Uscite!Q10</f>
        <v>5644816.9100000001</v>
      </c>
      <c r="H10" s="56">
        <f>Entrate_Uscite!T10</f>
        <v>4028196.87</v>
      </c>
      <c r="I10" s="56">
        <f>Entrate_Uscite!W10</f>
        <v>5040041.1399999997</v>
      </c>
      <c r="J10" s="56">
        <f t="shared" si="0"/>
        <v>1.1883408717490018</v>
      </c>
      <c r="K10" s="57">
        <f t="shared" si="1"/>
        <v>25.119037193432888</v>
      </c>
      <c r="L10" s="56">
        <f>Entrate_Uscite!X10</f>
        <v>5002018.0599999996</v>
      </c>
      <c r="M10" s="58">
        <f t="shared" si="2"/>
        <v>99.245579967627009</v>
      </c>
    </row>
    <row r="11" spans="1:13" x14ac:dyDescent="0.3">
      <c r="A11" s="4" t="s">
        <v>32</v>
      </c>
      <c r="B11" s="46">
        <f t="shared" ref="B11:I11" si="5">SUM(B6:B10)</f>
        <v>16356769.280000001</v>
      </c>
      <c r="C11" s="46">
        <f t="shared" si="5"/>
        <v>6040278.9699999997</v>
      </c>
      <c r="D11" s="46">
        <f t="shared" si="5"/>
        <v>32554260.359999999</v>
      </c>
      <c r="E11" s="46">
        <f t="shared" si="5"/>
        <v>33647202.619999997</v>
      </c>
      <c r="F11" s="46">
        <f t="shared" si="5"/>
        <v>29109702.529999997</v>
      </c>
      <c r="G11" s="46">
        <f t="shared" ref="G11" si="6">SUM(G6:G10)</f>
        <v>25405052.470000003</v>
      </c>
      <c r="H11" s="46">
        <f t="shared" ref="H11" si="7">SUM(H6:H10)</f>
        <v>29289390.500000004</v>
      </c>
      <c r="I11" s="46">
        <f t="shared" si="5"/>
        <v>99113472.729999989</v>
      </c>
      <c r="J11" s="46">
        <f t="shared" si="0"/>
        <v>23.368974044929942</v>
      </c>
      <c r="K11" s="44">
        <f t="shared" si="1"/>
        <v>238.3937700239955</v>
      </c>
      <c r="L11" s="46">
        <f>SUM(L6:L10)</f>
        <v>34363754.100000001</v>
      </c>
      <c r="M11" s="45">
        <f>IF(I11&gt;0,L11/I11*100,"-")</f>
        <v>34.671123060748805</v>
      </c>
    </row>
    <row r="12" spans="1:13" x14ac:dyDescent="0.3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0</v>
      </c>
      <c r="H12" s="56">
        <f>Entrate_Uscite!T11</f>
        <v>0</v>
      </c>
      <c r="I12" s="56">
        <f>Entrate_Uscite!W11</f>
        <v>32620</v>
      </c>
      <c r="J12" s="56">
        <f t="shared" si="0"/>
        <v>7.6911434172246542E-3</v>
      </c>
      <c r="K12" s="57" t="str">
        <f t="shared" si="1"/>
        <v>-</v>
      </c>
      <c r="L12" s="56">
        <f>Entrate_Uscite!X11</f>
        <v>32620</v>
      </c>
      <c r="M12" s="58">
        <f t="shared" si="2"/>
        <v>100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 t="shared" ref="B15:I15" si="8">SUM(B12:B14)</f>
        <v>0</v>
      </c>
      <c r="C15" s="43">
        <f t="shared" si="8"/>
        <v>0</v>
      </c>
      <c r="D15" s="43">
        <f t="shared" si="8"/>
        <v>0</v>
      </c>
      <c r="E15" s="43">
        <f t="shared" si="8"/>
        <v>0</v>
      </c>
      <c r="F15" s="43">
        <f t="shared" si="8"/>
        <v>0</v>
      </c>
      <c r="G15" s="43">
        <f t="shared" ref="G15" si="9">SUM(G12:G14)</f>
        <v>0</v>
      </c>
      <c r="H15" s="43">
        <f t="shared" ref="H15" si="10">SUM(H12:H14)</f>
        <v>0</v>
      </c>
      <c r="I15" s="43">
        <f t="shared" si="8"/>
        <v>32620</v>
      </c>
      <c r="J15" s="43">
        <f t="shared" si="0"/>
        <v>7.6911434172246542E-3</v>
      </c>
      <c r="K15" s="44" t="str">
        <f t="shared" si="1"/>
        <v>-</v>
      </c>
      <c r="L15" s="43">
        <f>SUM(L12:L14)</f>
        <v>32620</v>
      </c>
      <c r="M15" s="45">
        <f t="shared" si="2"/>
        <v>100</v>
      </c>
    </row>
    <row r="16" spans="1:13" x14ac:dyDescent="0.3">
      <c r="A16" s="47" t="s">
        <v>348</v>
      </c>
      <c r="B16" s="48">
        <f>B5+B11+B15</f>
        <v>224519753.98000002</v>
      </c>
      <c r="C16" s="48">
        <f t="shared" ref="C16:I16" si="11">C5+C11+C15</f>
        <v>211161559.11999997</v>
      </c>
      <c r="D16" s="48">
        <f t="shared" si="11"/>
        <v>239853995.55000001</v>
      </c>
      <c r="E16" s="48">
        <f t="shared" ref="E16:H16" si="12">E5+E11+E15</f>
        <v>232224700.33000001</v>
      </c>
      <c r="F16" s="48">
        <f t="shared" si="12"/>
        <v>222432887.86000001</v>
      </c>
      <c r="G16" s="48">
        <f t="shared" si="12"/>
        <v>247036765.01999998</v>
      </c>
      <c r="H16" s="48">
        <f t="shared" si="12"/>
        <v>250423388.91999999</v>
      </c>
      <c r="I16" s="48">
        <f t="shared" si="11"/>
        <v>312483823.44999999</v>
      </c>
      <c r="J16" s="48">
        <f t="shared" si="0"/>
        <v>73.677434142141578</v>
      </c>
      <c r="K16" s="49">
        <f t="shared" si="1"/>
        <v>24.782203770042315</v>
      </c>
      <c r="L16" s="48">
        <f t="shared" ref="L16" si="13">L5+L11+L15</f>
        <v>171214709.47999999</v>
      </c>
      <c r="M16" s="50">
        <f t="shared" si="2"/>
        <v>54.79154331564807</v>
      </c>
    </row>
    <row r="17" spans="1:13" x14ac:dyDescent="0.3">
      <c r="A17" s="4" t="s">
        <v>34</v>
      </c>
      <c r="B17" s="43">
        <f>Entrate_Uscite!B17</f>
        <v>3844889.53</v>
      </c>
      <c r="C17" s="43">
        <f>Entrate_Uscite!E17</f>
        <v>1984105.6</v>
      </c>
      <c r="D17" s="43">
        <f>Entrate_Uscite!H17</f>
        <v>3411102.01</v>
      </c>
      <c r="E17" s="43">
        <f>Entrate_Uscite!K17</f>
        <v>23486313.600000001</v>
      </c>
      <c r="F17" s="43">
        <f>Entrate_Uscite!N17</f>
        <v>48585351.560000002</v>
      </c>
      <c r="G17" s="43">
        <f>Entrate_Uscite!Q17</f>
        <v>25811242.899999999</v>
      </c>
      <c r="H17" s="43">
        <f>Entrate_Uscite!T17</f>
        <v>5195477.75</v>
      </c>
      <c r="I17" s="43">
        <f>Entrate_Uscite!W17</f>
        <v>2405780.23</v>
      </c>
      <c r="J17" s="43">
        <f t="shared" si="0"/>
        <v>0.56723484914940869</v>
      </c>
      <c r="K17" s="44">
        <f t="shared" si="1"/>
        <v>-53.694725571676258</v>
      </c>
      <c r="L17" s="43">
        <f>Entrate_Uscite!X17</f>
        <v>0</v>
      </c>
      <c r="M17" s="45">
        <f t="shared" si="2"/>
        <v>0</v>
      </c>
    </row>
    <row r="18" spans="1:13" x14ac:dyDescent="0.3">
      <c r="A18" s="4" t="s">
        <v>35</v>
      </c>
      <c r="B18" s="43">
        <f>Entrate_Uscite!B18</f>
        <v>22806389.920000002</v>
      </c>
      <c r="C18" s="43">
        <f>Entrate_Uscite!E18</f>
        <v>121368188.48</v>
      </c>
      <c r="D18" s="43">
        <f>Entrate_Uscite!H18</f>
        <v>130704163.68000001</v>
      </c>
      <c r="E18" s="43">
        <f>Entrate_Uscite!K18</f>
        <v>159726658.97999999</v>
      </c>
      <c r="F18" s="43">
        <f>Entrate_Uscite!N18</f>
        <v>193390646.19999999</v>
      </c>
      <c r="G18" s="43">
        <f>Entrate_Uscite!Q18</f>
        <v>155609201.94999999</v>
      </c>
      <c r="H18" s="43">
        <f>Entrate_Uscite!T18</f>
        <v>152263391.69</v>
      </c>
      <c r="I18" s="43">
        <f>Entrate_Uscite!W18</f>
        <v>109234589.95999999</v>
      </c>
      <c r="J18" s="43">
        <f t="shared" si="0"/>
        <v>25.755331008709021</v>
      </c>
      <c r="K18" s="44">
        <f t="shared" si="1"/>
        <v>-28.259453078258176</v>
      </c>
      <c r="L18" s="43">
        <f>Entrate_Uscite!X18</f>
        <v>109234589.95999999</v>
      </c>
      <c r="M18" s="45">
        <f t="shared" si="2"/>
        <v>100</v>
      </c>
    </row>
    <row r="19" spans="1:13" x14ac:dyDescent="0.3">
      <c r="A19" s="4" t="s">
        <v>36</v>
      </c>
      <c r="B19" s="43">
        <f>Entrate_Uscite!B19</f>
        <v>268240684.84</v>
      </c>
      <c r="C19" s="43">
        <f>Entrate_Uscite!E19</f>
        <v>91167651.719999999</v>
      </c>
      <c r="D19" s="43">
        <f>Entrate_Uscite!H19</f>
        <v>83782392.239999995</v>
      </c>
      <c r="E19" s="43">
        <f>Entrate_Uscite!K19</f>
        <v>89448597.719999999</v>
      </c>
      <c r="F19" s="43">
        <f>Entrate_Uscite!N19</f>
        <v>132645582.64</v>
      </c>
      <c r="G19" s="43">
        <f>Entrate_Uscite!Q19</f>
        <v>121233038.8</v>
      </c>
      <c r="H19" s="43">
        <f>Entrate_Uscite!T19</f>
        <v>67148377.709999993</v>
      </c>
      <c r="I19" s="43">
        <f>Entrate_Uscite!W19</f>
        <v>117855275.43000001</v>
      </c>
      <c r="J19" s="43"/>
      <c r="K19" s="44">
        <f t="shared" si="1"/>
        <v>75.514702587443963</v>
      </c>
      <c r="L19" s="43">
        <f>Entrate_Uscite!X19</f>
        <v>117598890.41</v>
      </c>
      <c r="M19" s="45">
        <f t="shared" si="2"/>
        <v>99.782457748230129</v>
      </c>
    </row>
    <row r="20" spans="1:13" x14ac:dyDescent="0.3">
      <c r="A20" s="47" t="s">
        <v>37</v>
      </c>
      <c r="B20" s="48">
        <f t="shared" ref="B20:I20" si="14">B5+B11+B15+B17+B18+B19</f>
        <v>519411718.26999998</v>
      </c>
      <c r="C20" s="48">
        <f t="shared" si="14"/>
        <v>425681504.91999996</v>
      </c>
      <c r="D20" s="48">
        <f t="shared" si="14"/>
        <v>457751653.48000002</v>
      </c>
      <c r="E20" s="48">
        <f t="shared" si="14"/>
        <v>504886270.63</v>
      </c>
      <c r="F20" s="48">
        <f t="shared" si="14"/>
        <v>597054468.25999999</v>
      </c>
      <c r="G20" s="48">
        <f t="shared" ref="G20:H20" si="15">G5+G11+G15+G17+G18+G19</f>
        <v>549690248.66999996</v>
      </c>
      <c r="H20" s="48">
        <f t="shared" si="15"/>
        <v>475030636.06999999</v>
      </c>
      <c r="I20" s="48">
        <f t="shared" si="14"/>
        <v>541979469.06999993</v>
      </c>
      <c r="J20" s="48"/>
      <c r="K20" s="49">
        <f t="shared" si="1"/>
        <v>14.093582164274238</v>
      </c>
      <c r="L20" s="48">
        <f>L5+L11+L15+L17+L18+L19</f>
        <v>398048189.85000002</v>
      </c>
      <c r="M20" s="50">
        <f t="shared" si="2"/>
        <v>73.443407465789022</v>
      </c>
    </row>
    <row r="21" spans="1:13" x14ac:dyDescent="0.3">
      <c r="A21" s="38" t="s">
        <v>38</v>
      </c>
      <c r="B21" s="51">
        <f t="shared" ref="B21:I21" si="16">B20-B19</f>
        <v>251171033.42999998</v>
      </c>
      <c r="C21" s="51">
        <f t="shared" si="16"/>
        <v>334513853.19999993</v>
      </c>
      <c r="D21" s="51">
        <f t="shared" si="16"/>
        <v>373969261.24000001</v>
      </c>
      <c r="E21" s="51">
        <f t="shared" si="16"/>
        <v>415437672.90999997</v>
      </c>
      <c r="F21" s="51">
        <f t="shared" si="16"/>
        <v>464408885.62</v>
      </c>
      <c r="G21" s="51">
        <f t="shared" ref="G21:H21" si="17">G20-G19</f>
        <v>428457209.86999995</v>
      </c>
      <c r="H21" s="51">
        <f t="shared" si="17"/>
        <v>407882258.36000001</v>
      </c>
      <c r="I21" s="51">
        <f t="shared" si="16"/>
        <v>424124193.63999993</v>
      </c>
      <c r="J21" s="51">
        <f t="shared" si="0"/>
        <v>100</v>
      </c>
      <c r="K21" s="52">
        <f t="shared" si="1"/>
        <v>3.9820156300264102</v>
      </c>
      <c r="L21" s="51">
        <f>L20-L19</f>
        <v>280449299.44000006</v>
      </c>
      <c r="M21" s="53">
        <f t="shared" si="2"/>
        <v>66.124334250558618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6.554687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366</v>
      </c>
      <c r="M1" s="42" t="s">
        <v>339</v>
      </c>
    </row>
    <row r="2" spans="1:13" x14ac:dyDescent="0.3">
      <c r="A2" s="59" t="s">
        <v>270</v>
      </c>
      <c r="B2" s="56">
        <f>Entrate_Uscite!B23</f>
        <v>52921131.799999997</v>
      </c>
      <c r="C2" s="56">
        <f>Entrate_Uscite!E23</f>
        <v>48933253.719999999</v>
      </c>
      <c r="D2" s="56">
        <f>Entrate_Uscite!H23</f>
        <v>49745130.740000002</v>
      </c>
      <c r="E2" s="56">
        <f>Entrate_Uscite!K23</f>
        <v>47864590.609999999</v>
      </c>
      <c r="F2" s="56">
        <f>Entrate_Uscite!N23</f>
        <v>41614974.93</v>
      </c>
      <c r="G2" s="56">
        <f>Entrate_Uscite!Q23</f>
        <v>39206138.590000004</v>
      </c>
      <c r="H2" s="56">
        <f>Entrate_Uscite!T23</f>
        <v>43780284.32</v>
      </c>
      <c r="I2" s="56">
        <f>Entrate_Uscite!W23</f>
        <v>41017180.310000002</v>
      </c>
      <c r="J2" s="56">
        <f t="shared" ref="J2:J28" si="0">I2/I$31*100</f>
        <v>12.324641326206999</v>
      </c>
      <c r="K2" s="57">
        <f>IF(H2&gt;0,I2/H2*100-100,"-")</f>
        <v>-6.3112975461827716</v>
      </c>
      <c r="L2" s="56">
        <f>Entrate_Uscite!X23</f>
        <v>37765677.189999998</v>
      </c>
      <c r="M2" s="58">
        <f t="shared" ref="M2:M31" si="1">IF(I2&gt;0,L2/I2*100,"-")</f>
        <v>92.07282632441877</v>
      </c>
    </row>
    <row r="3" spans="1:13" x14ac:dyDescent="0.3">
      <c r="A3" s="59" t="s">
        <v>271</v>
      </c>
      <c r="B3" s="56">
        <f>Entrate_Uscite!B24</f>
        <v>3555088.5</v>
      </c>
      <c r="C3" s="56">
        <f>Entrate_Uscite!E24</f>
        <v>3286670.94</v>
      </c>
      <c r="D3" s="56">
        <f>Entrate_Uscite!H24</f>
        <v>3269844.28</v>
      </c>
      <c r="E3" s="56">
        <f>Entrate_Uscite!K24</f>
        <v>3304511.1</v>
      </c>
      <c r="F3" s="56">
        <f>Entrate_Uscite!N24</f>
        <v>2790713.38</v>
      </c>
      <c r="G3" s="56">
        <f>Entrate_Uscite!Q24</f>
        <v>2680330.66</v>
      </c>
      <c r="H3" s="56">
        <f>Entrate_Uscite!T24</f>
        <v>3201573.45</v>
      </c>
      <c r="I3" s="56">
        <f>Entrate_Uscite!W24</f>
        <v>2992337.54</v>
      </c>
      <c r="J3" s="56">
        <f t="shared" si="0"/>
        <v>0.89912291943806177</v>
      </c>
      <c r="K3" s="57">
        <f t="shared" ref="K3:K31" si="2">IF(H3&gt;0,I3/H3*100-100,"-")</f>
        <v>-6.5354087066158115</v>
      </c>
      <c r="L3" s="56">
        <f>Entrate_Uscite!X24</f>
        <v>2323737.63</v>
      </c>
      <c r="M3" s="58">
        <f t="shared" si="1"/>
        <v>77.656267013246108</v>
      </c>
    </row>
    <row r="4" spans="1:13" x14ac:dyDescent="0.3">
      <c r="A4" s="59" t="s">
        <v>272</v>
      </c>
      <c r="B4" s="56">
        <f>Entrate_Uscite!B25</f>
        <v>96398186.170000002</v>
      </c>
      <c r="C4" s="56">
        <f>Entrate_Uscite!E25</f>
        <v>95898683.090000004</v>
      </c>
      <c r="D4" s="56">
        <f>Entrate_Uscite!H25</f>
        <v>98667693.140000001</v>
      </c>
      <c r="E4" s="56">
        <f>Entrate_Uscite!K25</f>
        <v>94952550.340000004</v>
      </c>
      <c r="F4" s="56">
        <f>Entrate_Uscite!N25</f>
        <v>96421991.560000002</v>
      </c>
      <c r="G4" s="56">
        <f>Entrate_Uscite!Q25</f>
        <v>94852591.920000002</v>
      </c>
      <c r="H4" s="56">
        <f>Entrate_Uscite!T25</f>
        <v>108793055.34</v>
      </c>
      <c r="I4" s="56">
        <f>Entrate_Uscite!W25</f>
        <v>102282386.98999999</v>
      </c>
      <c r="J4" s="56">
        <f t="shared" si="0"/>
        <v>30.733310386348467</v>
      </c>
      <c r="K4" s="57">
        <f t="shared" si="2"/>
        <v>-5.9844521597935341</v>
      </c>
      <c r="L4" s="56">
        <f>Entrate_Uscite!X25</f>
        <v>61493519.850000001</v>
      </c>
      <c r="M4" s="58">
        <f t="shared" si="1"/>
        <v>60.121318693913686</v>
      </c>
    </row>
    <row r="5" spans="1:13" x14ac:dyDescent="0.3">
      <c r="A5" s="59" t="s">
        <v>273</v>
      </c>
      <c r="B5" s="56">
        <f>Entrate_Uscite!B26</f>
        <v>10634281.460000001</v>
      </c>
      <c r="C5" s="56">
        <f>Entrate_Uscite!E26</f>
        <v>11810401.630000001</v>
      </c>
      <c r="D5" s="56">
        <f>Entrate_Uscite!H26</f>
        <v>8534166.1400000006</v>
      </c>
      <c r="E5" s="56">
        <f>Entrate_Uscite!K26</f>
        <v>6112663.3300000001</v>
      </c>
      <c r="F5" s="56">
        <f>Entrate_Uscite!N26</f>
        <v>8616041.9600000009</v>
      </c>
      <c r="G5" s="56">
        <f>Entrate_Uscite!Q26</f>
        <v>6930919.0599999996</v>
      </c>
      <c r="H5" s="56">
        <f>Entrate_Uscite!T26</f>
        <v>5043393.4800000004</v>
      </c>
      <c r="I5" s="56">
        <f>Entrate_Uscite!W26</f>
        <v>5182705.05</v>
      </c>
      <c r="J5" s="56">
        <f t="shared" si="0"/>
        <v>1.5572738144849747</v>
      </c>
      <c r="K5" s="57">
        <f t="shared" si="2"/>
        <v>2.7622585973601304</v>
      </c>
      <c r="L5" s="56">
        <f>Entrate_Uscite!X26</f>
        <v>2756959.89</v>
      </c>
      <c r="M5" s="58">
        <f t="shared" si="1"/>
        <v>53.195384715169155</v>
      </c>
    </row>
    <row r="6" spans="1:13" x14ac:dyDescent="0.3">
      <c r="A6" s="59" t="s">
        <v>274</v>
      </c>
      <c r="B6" s="56">
        <f>Entrate_Uscite!B27</f>
        <v>11450892.470000001</v>
      </c>
      <c r="C6" s="56">
        <f>Entrate_Uscite!E27</f>
        <v>11461042.98</v>
      </c>
      <c r="D6" s="56">
        <f>Entrate_Uscite!H27</f>
        <v>11494625.300000001</v>
      </c>
      <c r="E6" s="56">
        <f>Entrate_Uscite!K27</f>
        <v>11447930.43</v>
      </c>
      <c r="F6" s="56">
        <f>Entrate_Uscite!N27</f>
        <v>11695720.310000001</v>
      </c>
      <c r="G6" s="56">
        <f>Entrate_Uscite!Q27</f>
        <v>12363359.779999999</v>
      </c>
      <c r="H6" s="56">
        <f>Entrate_Uscite!T27</f>
        <v>11048910.15</v>
      </c>
      <c r="I6" s="56">
        <f>Entrate_Uscite!W27</f>
        <v>11321643</v>
      </c>
      <c r="J6" s="56">
        <f t="shared" si="0"/>
        <v>3.4018718045409728</v>
      </c>
      <c r="K6" s="57">
        <f t="shared" si="2"/>
        <v>2.4684140453436356</v>
      </c>
      <c r="L6" s="56">
        <f>Entrate_Uscite!X27</f>
        <v>10497957.710000001</v>
      </c>
      <c r="M6" s="58">
        <f t="shared" si="1"/>
        <v>92.724684129326462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2"/>
        <v>-</v>
      </c>
      <c r="L7" s="56">
        <f>Entrate_Uscite!X28</f>
        <v>0</v>
      </c>
      <c r="M7" s="58" t="str">
        <f t="shared" si="1"/>
        <v>-</v>
      </c>
    </row>
    <row r="8" spans="1:13" x14ac:dyDescent="0.3">
      <c r="A8" s="59" t="s">
        <v>276</v>
      </c>
      <c r="B8" s="56">
        <f>Entrate_Uscite!B29</f>
        <v>604532.17000000004</v>
      </c>
      <c r="C8" s="56">
        <f>Entrate_Uscite!E29</f>
        <v>141318.66</v>
      </c>
      <c r="D8" s="56">
        <f>Entrate_Uscite!H29</f>
        <v>126579.56</v>
      </c>
      <c r="E8" s="56">
        <f>Entrate_Uscite!K29</f>
        <v>437395.39</v>
      </c>
      <c r="F8" s="56">
        <f>Entrate_Uscite!N29</f>
        <v>133517.57999999999</v>
      </c>
      <c r="G8" s="56">
        <f>Entrate_Uscite!Q29</f>
        <v>112769.94</v>
      </c>
      <c r="H8" s="56">
        <f>Entrate_Uscite!T29</f>
        <v>95583.44</v>
      </c>
      <c r="I8" s="56">
        <f>Entrate_Uscite!W29</f>
        <v>708809.16</v>
      </c>
      <c r="J8" s="56">
        <f t="shared" si="0"/>
        <v>0.21297950272803792</v>
      </c>
      <c r="K8" s="57">
        <f t="shared" si="2"/>
        <v>641.56063016773612</v>
      </c>
      <c r="L8" s="56">
        <f>Entrate_Uscite!X29</f>
        <v>127488.53</v>
      </c>
      <c r="M8" s="58">
        <f t="shared" si="1"/>
        <v>17.986298314767826</v>
      </c>
    </row>
    <row r="9" spans="1:13" x14ac:dyDescent="0.3">
      <c r="A9" s="59" t="s">
        <v>277</v>
      </c>
      <c r="B9" s="56">
        <f>Entrate_Uscite!B30</f>
        <v>6582399.2000000002</v>
      </c>
      <c r="C9" s="56">
        <f>Entrate_Uscite!E30</f>
        <v>5722729.9500000002</v>
      </c>
      <c r="D9" s="56">
        <f>Entrate_Uscite!H30</f>
        <v>5697077.96</v>
      </c>
      <c r="E9" s="56">
        <f>Entrate_Uscite!K30</f>
        <v>5321090.91</v>
      </c>
      <c r="F9" s="56">
        <f>Entrate_Uscite!N30</f>
        <v>5765639.5099999998</v>
      </c>
      <c r="G9" s="56">
        <f>Entrate_Uscite!Q30</f>
        <v>8560217.9800000004</v>
      </c>
      <c r="H9" s="56">
        <f>Entrate_Uscite!T30</f>
        <v>5827001.0700000003</v>
      </c>
      <c r="I9" s="56">
        <f>Entrate_Uscite!W30</f>
        <v>5272911.5</v>
      </c>
      <c r="J9" s="56">
        <f t="shared" si="0"/>
        <v>1.5843786065052439</v>
      </c>
      <c r="K9" s="57">
        <f t="shared" si="2"/>
        <v>-9.5090006564903575</v>
      </c>
      <c r="L9" s="56">
        <f>Entrate_Uscite!X30</f>
        <v>3623005.82</v>
      </c>
      <c r="M9" s="58">
        <f t="shared" si="1"/>
        <v>68.709778648854609</v>
      </c>
    </row>
    <row r="10" spans="1:13" x14ac:dyDescent="0.3">
      <c r="A10" s="4" t="s">
        <v>282</v>
      </c>
      <c r="B10" s="43">
        <f t="shared" ref="B10:F10" si="3">SUM(B2:B9)</f>
        <v>182146511.76999998</v>
      </c>
      <c r="C10" s="43">
        <f t="shared" si="3"/>
        <v>177254100.96999997</v>
      </c>
      <c r="D10" s="43">
        <f t="shared" si="3"/>
        <v>177535117.12000003</v>
      </c>
      <c r="E10" s="43">
        <f t="shared" si="3"/>
        <v>169440732.11000001</v>
      </c>
      <c r="F10" s="43">
        <f t="shared" si="3"/>
        <v>167038599.23000002</v>
      </c>
      <c r="G10" s="43">
        <f>SUM(G2:G9)</f>
        <v>164706327.93000001</v>
      </c>
      <c r="H10" s="43">
        <f>SUM(H2:H9)</f>
        <v>177789801.25</v>
      </c>
      <c r="I10" s="43">
        <f>SUM(I2:I9)</f>
        <v>168777973.55000001</v>
      </c>
      <c r="J10" s="43">
        <f t="shared" si="0"/>
        <v>50.713578360252768</v>
      </c>
      <c r="K10" s="44">
        <f t="shared" si="2"/>
        <v>-5.0688102673155981</v>
      </c>
      <c r="L10" s="43">
        <f>SUM(L2:L9)</f>
        <v>118588346.62</v>
      </c>
      <c r="M10" s="45">
        <f t="shared" si="1"/>
        <v>70.262928346434094</v>
      </c>
    </row>
    <row r="11" spans="1:13" x14ac:dyDescent="0.3">
      <c r="A11" s="59" t="s">
        <v>278</v>
      </c>
      <c r="B11" s="56">
        <f>Entrate_Uscite!B32</f>
        <v>60334843.289999999</v>
      </c>
      <c r="C11" s="56">
        <f>Entrate_Uscite!E32</f>
        <v>23826598.989999998</v>
      </c>
      <c r="D11" s="56">
        <f>Entrate_Uscite!H32</f>
        <v>28455371.440000001</v>
      </c>
      <c r="E11" s="56">
        <f>Entrate_Uscite!K32</f>
        <v>32953203.690000001</v>
      </c>
      <c r="F11" s="56">
        <f>Entrate_Uscite!N32</f>
        <v>60449399.439999998</v>
      </c>
      <c r="G11" s="56">
        <f>Entrate_Uscite!Q32</f>
        <v>27748372.07</v>
      </c>
      <c r="H11" s="56">
        <f>Entrate_Uscite!T32</f>
        <v>30724526.170000002</v>
      </c>
      <c r="I11" s="56">
        <f>Entrate_Uscite!W32</f>
        <v>44261399.5</v>
      </c>
      <c r="J11" s="56">
        <f t="shared" si="0"/>
        <v>13.299448409437916</v>
      </c>
      <c r="K11" s="57">
        <f t="shared" si="2"/>
        <v>44.058851404574796</v>
      </c>
      <c r="L11" s="56">
        <f>Entrate_Uscite!X32</f>
        <v>25471574.170000002</v>
      </c>
      <c r="M11" s="58">
        <f t="shared" si="1"/>
        <v>57.548054191101663</v>
      </c>
    </row>
    <row r="12" spans="1:13" x14ac:dyDescent="0.3">
      <c r="A12" s="59" t="s">
        <v>279</v>
      </c>
      <c r="B12" s="56">
        <f>Entrate_Uscite!B33</f>
        <v>0</v>
      </c>
      <c r="C12" s="56">
        <f>Entrate_Uscite!E33</f>
        <v>0</v>
      </c>
      <c r="D12" s="56">
        <f>Entrate_Uscite!H33</f>
        <v>0</v>
      </c>
      <c r="E12" s="56">
        <f>Entrate_Uscite!K33</f>
        <v>0</v>
      </c>
      <c r="F12" s="56">
        <f>Entrate_Uscite!N33</f>
        <v>0</v>
      </c>
      <c r="G12" s="56">
        <f>Entrate_Uscite!Q33</f>
        <v>0</v>
      </c>
      <c r="H12" s="56">
        <f>Entrate_Uscite!T33</f>
        <v>0</v>
      </c>
      <c r="I12" s="56">
        <f>Entrate_Uscite!W33</f>
        <v>0</v>
      </c>
      <c r="J12" s="56">
        <f t="shared" si="0"/>
        <v>0</v>
      </c>
      <c r="K12" s="57" t="str">
        <f t="shared" si="2"/>
        <v>-</v>
      </c>
      <c r="L12" s="56">
        <f>Entrate_Uscite!X33</f>
        <v>0</v>
      </c>
      <c r="M12" s="58" t="str">
        <f t="shared" si="1"/>
        <v>-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2"/>
        <v>-</v>
      </c>
      <c r="L13" s="56">
        <f>Entrate_Uscite!X34</f>
        <v>0</v>
      </c>
      <c r="M13" s="58" t="str">
        <f t="shared" si="1"/>
        <v>-</v>
      </c>
    </row>
    <row r="14" spans="1:13" x14ac:dyDescent="0.3">
      <c r="A14" s="59" t="s">
        <v>281</v>
      </c>
      <c r="B14" s="56">
        <f>Entrate_Uscite!B35</f>
        <v>0</v>
      </c>
      <c r="C14" s="56">
        <f>Entrate_Uscite!E35</f>
        <v>0</v>
      </c>
      <c r="D14" s="56">
        <f>Entrate_Uscite!H35</f>
        <v>0</v>
      </c>
      <c r="E14" s="56">
        <f>Entrate_Uscite!K35</f>
        <v>0</v>
      </c>
      <c r="F14" s="56">
        <f>Entrate_Uscite!N35</f>
        <v>0</v>
      </c>
      <c r="G14" s="56">
        <f>Entrate_Uscite!Q35</f>
        <v>0</v>
      </c>
      <c r="H14" s="56">
        <f>Entrate_Uscite!T35</f>
        <v>0</v>
      </c>
      <c r="I14" s="56">
        <f>Entrate_Uscite!W35</f>
        <v>0</v>
      </c>
      <c r="J14" s="56">
        <f t="shared" si="0"/>
        <v>0</v>
      </c>
      <c r="K14" s="57" t="str">
        <f t="shared" si="2"/>
        <v>-</v>
      </c>
      <c r="L14" s="56">
        <f>Entrate_Uscite!X35</f>
        <v>0</v>
      </c>
      <c r="M14" s="58" t="str">
        <f t="shared" si="1"/>
        <v>-</v>
      </c>
    </row>
    <row r="15" spans="1:13" x14ac:dyDescent="0.3">
      <c r="A15" s="4" t="s">
        <v>283</v>
      </c>
      <c r="B15" s="46">
        <f t="shared" ref="B15:F15" si="4">SUM(B11:B14)</f>
        <v>60334843.289999999</v>
      </c>
      <c r="C15" s="46">
        <f t="shared" si="4"/>
        <v>23826598.989999998</v>
      </c>
      <c r="D15" s="46">
        <f t="shared" si="4"/>
        <v>28455371.440000001</v>
      </c>
      <c r="E15" s="46">
        <f t="shared" si="4"/>
        <v>32953203.690000001</v>
      </c>
      <c r="F15" s="46">
        <f t="shared" si="4"/>
        <v>60449399.439999998</v>
      </c>
      <c r="G15" s="46">
        <f>SUM(G11:G14)</f>
        <v>27748372.07</v>
      </c>
      <c r="H15" s="46">
        <f>SUM(H11:H14)</f>
        <v>30724526.170000002</v>
      </c>
      <c r="I15" s="46">
        <f>SUM(I11:I14)</f>
        <v>44261399.5</v>
      </c>
      <c r="J15" s="46">
        <f t="shared" si="0"/>
        <v>13.299448409437916</v>
      </c>
      <c r="K15" s="44">
        <f t="shared" si="2"/>
        <v>44.058851404574796</v>
      </c>
      <c r="L15" s="46">
        <f>SUM(L11:L14)</f>
        <v>25471574.170000002</v>
      </c>
      <c r="M15" s="45">
        <f t="shared" si="1"/>
        <v>57.548054191101663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0</v>
      </c>
      <c r="G16" s="56">
        <f>Entrate_Uscite!Q36</f>
        <v>0</v>
      </c>
      <c r="H16" s="56">
        <f>Entrate_Uscite!T36</f>
        <v>0</v>
      </c>
      <c r="I16" s="56">
        <f>Entrate_Uscite!W36</f>
        <v>0</v>
      </c>
      <c r="J16" s="56">
        <f t="shared" si="0"/>
        <v>0</v>
      </c>
      <c r="K16" s="57" t="str">
        <f t="shared" si="2"/>
        <v>-</v>
      </c>
      <c r="L16" s="56">
        <f>Entrate_Uscite!X36</f>
        <v>0</v>
      </c>
      <c r="M16" s="58" t="str">
        <f t="shared" si="1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2"/>
        <v>-</v>
      </c>
      <c r="L17" s="56">
        <f>Entrate_Uscite!X37</f>
        <v>0</v>
      </c>
      <c r="M17" s="58" t="str">
        <f t="shared" si="1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2"/>
        <v>-</v>
      </c>
      <c r="L18" s="56">
        <f>Entrate_Uscite!X38</f>
        <v>0</v>
      </c>
      <c r="M18" s="58" t="str">
        <f t="shared" si="1"/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2"/>
        <v>-</v>
      </c>
      <c r="L19" s="56">
        <f>Entrate_Uscite!X39</f>
        <v>0</v>
      </c>
      <c r="M19" s="58" t="str">
        <f t="shared" si="1"/>
        <v>-</v>
      </c>
    </row>
    <row r="20" spans="1:13" x14ac:dyDescent="0.3">
      <c r="A20" s="4" t="s">
        <v>288</v>
      </c>
      <c r="B20" s="43">
        <f t="shared" ref="B20:F20" si="5">SUM(B16:B19)</f>
        <v>0</v>
      </c>
      <c r="C20" s="43">
        <f t="shared" si="5"/>
        <v>0</v>
      </c>
      <c r="D20" s="43">
        <f t="shared" si="5"/>
        <v>0</v>
      </c>
      <c r="E20" s="43">
        <f t="shared" si="5"/>
        <v>0</v>
      </c>
      <c r="F20" s="43">
        <f t="shared" si="5"/>
        <v>0</v>
      </c>
      <c r="G20" s="43">
        <f>SUM(G16:G19)</f>
        <v>0</v>
      </c>
      <c r="H20" s="43">
        <f>SUM(H16:H19)</f>
        <v>0</v>
      </c>
      <c r="I20" s="43">
        <f>SUM(I16:I19)</f>
        <v>0</v>
      </c>
      <c r="J20" s="43">
        <f t="shared" si="0"/>
        <v>0</v>
      </c>
      <c r="K20" s="44" t="str">
        <f t="shared" si="2"/>
        <v>-</v>
      </c>
      <c r="L20" s="43">
        <f>SUM(L16:L19)</f>
        <v>0</v>
      </c>
      <c r="M20" s="40" t="str">
        <f t="shared" si="1"/>
        <v>-</v>
      </c>
    </row>
    <row r="21" spans="1:13" x14ac:dyDescent="0.3">
      <c r="A21" s="47" t="s">
        <v>349</v>
      </c>
      <c r="B21" s="48">
        <f t="shared" ref="B21:F21" si="6">B10+B15+B20</f>
        <v>242481355.05999997</v>
      </c>
      <c r="C21" s="48">
        <f t="shared" si="6"/>
        <v>201080699.95999998</v>
      </c>
      <c r="D21" s="48">
        <f t="shared" si="6"/>
        <v>205990488.56000003</v>
      </c>
      <c r="E21" s="48">
        <f t="shared" si="6"/>
        <v>202393935.80000001</v>
      </c>
      <c r="F21" s="48">
        <f t="shared" si="6"/>
        <v>227487998.67000002</v>
      </c>
      <c r="G21" s="48">
        <f>G10+G15+G20</f>
        <v>192454700</v>
      </c>
      <c r="H21" s="48">
        <f>H10+H15+H20</f>
        <v>208514327.42000002</v>
      </c>
      <c r="I21" s="48">
        <f>I10+I15+I20</f>
        <v>213039373.05000001</v>
      </c>
      <c r="J21" s="48">
        <f t="shared" si="0"/>
        <v>64.013026769690683</v>
      </c>
      <c r="K21" s="49">
        <f t="shared" si="2"/>
        <v>2.1701365493630647</v>
      </c>
      <c r="L21" s="48">
        <f>L10+L15+L20</f>
        <v>144059920.79000002</v>
      </c>
      <c r="M21" s="50">
        <f t="shared" si="1"/>
        <v>67.621265838117822</v>
      </c>
    </row>
    <row r="22" spans="1:13" x14ac:dyDescent="0.3">
      <c r="A22" s="59" t="s">
        <v>289</v>
      </c>
      <c r="B22" s="60">
        <f>Entrate_Uscite!B40</f>
        <v>1802950</v>
      </c>
      <c r="C22" s="60">
        <f>Entrate_Uscite!E40</f>
        <v>1802950</v>
      </c>
      <c r="D22" s="60">
        <f>Entrate_Uscite!H40</f>
        <v>1802950</v>
      </c>
      <c r="E22" s="60">
        <f>Entrate_Uscite!K40</f>
        <v>1802950</v>
      </c>
      <c r="F22" s="60">
        <f>Entrate_Uscite!N40</f>
        <v>1802950</v>
      </c>
      <c r="G22" s="60">
        <f>Entrate_Uscite!Q40</f>
        <v>1802950</v>
      </c>
      <c r="H22" s="60">
        <f>Entrate_Uscite!T40</f>
        <v>1802950</v>
      </c>
      <c r="I22" s="60">
        <f>Entrate_Uscite!W40</f>
        <v>1802950</v>
      </c>
      <c r="J22" s="60">
        <f t="shared" si="0"/>
        <v>0.54174158026331931</v>
      </c>
      <c r="K22" s="61">
        <f t="shared" si="2"/>
        <v>0</v>
      </c>
      <c r="L22" s="60">
        <f>Entrate_Uscite!X40</f>
        <v>1802950</v>
      </c>
      <c r="M22" s="58">
        <f t="shared" si="1"/>
        <v>100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18377480.190000001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2"/>
        <v>-</v>
      </c>
      <c r="L23" s="60">
        <f>Entrate_Uscite!X41</f>
        <v>0</v>
      </c>
      <c r="M23" s="58" t="str">
        <f t="shared" si="1"/>
        <v>-</v>
      </c>
    </row>
    <row r="24" spans="1:13" x14ac:dyDescent="0.3">
      <c r="A24" s="59" t="s">
        <v>291</v>
      </c>
      <c r="B24" s="60">
        <f>Entrate_Uscite!B42</f>
        <v>9421906.8000000007</v>
      </c>
      <c r="C24" s="60">
        <f>Entrate_Uscite!E42</f>
        <v>7283890.4400000004</v>
      </c>
      <c r="D24" s="60">
        <f>Entrate_Uscite!H42</f>
        <v>8924391.1500000004</v>
      </c>
      <c r="E24" s="60">
        <f>Entrate_Uscite!K42</f>
        <v>9244870.7599999998</v>
      </c>
      <c r="F24" s="60">
        <f>Entrate_Uscite!N42</f>
        <v>6292121.1699999999</v>
      </c>
      <c r="G24" s="60">
        <f>Entrate_Uscite!Q42</f>
        <v>9626697.7599999998</v>
      </c>
      <c r="H24" s="60">
        <f>Entrate_Uscite!T42</f>
        <v>10873385.84</v>
      </c>
      <c r="I24" s="60">
        <f>Entrate_Uscite!W42</f>
        <v>8729366.9000000004</v>
      </c>
      <c r="J24" s="60">
        <f t="shared" si="0"/>
        <v>2.6229573860086597</v>
      </c>
      <c r="K24" s="61">
        <f t="shared" si="2"/>
        <v>-19.718043409374673</v>
      </c>
      <c r="L24" s="60">
        <f>Entrate_Uscite!X42</f>
        <v>8729366.9000000004</v>
      </c>
      <c r="M24" s="58">
        <f t="shared" si="1"/>
        <v>100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2"/>
        <v>-</v>
      </c>
      <c r="L25" s="60">
        <f>Entrate_Uscite!X43</f>
        <v>0</v>
      </c>
      <c r="M25" s="58" t="str">
        <f t="shared" si="1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2"/>
        <v>-</v>
      </c>
      <c r="L26" s="60">
        <f>Entrate_Uscite!X44</f>
        <v>0</v>
      </c>
      <c r="M26" s="58" t="str">
        <f t="shared" si="1"/>
        <v>-</v>
      </c>
    </row>
    <row r="27" spans="1:13" x14ac:dyDescent="0.3">
      <c r="A27" s="4" t="s">
        <v>294</v>
      </c>
      <c r="B27" s="43">
        <f t="shared" ref="B27:F27" si="7">SUM(B22:B26)</f>
        <v>11224856.800000001</v>
      </c>
      <c r="C27" s="43">
        <f t="shared" si="7"/>
        <v>9086840.4400000013</v>
      </c>
      <c r="D27" s="43">
        <f t="shared" si="7"/>
        <v>10727341.15</v>
      </c>
      <c r="E27" s="43">
        <f t="shared" si="7"/>
        <v>29425300.950000003</v>
      </c>
      <c r="F27" s="43">
        <f t="shared" si="7"/>
        <v>8095071.1699999999</v>
      </c>
      <c r="G27" s="43">
        <f>SUM(G22:G26)</f>
        <v>11429647.76</v>
      </c>
      <c r="H27" s="43">
        <f>SUM(H22:H26)</f>
        <v>12676335.84</v>
      </c>
      <c r="I27" s="43">
        <f>SUM(I22:I26)</f>
        <v>10532316.9</v>
      </c>
      <c r="J27" s="43">
        <f t="shared" si="0"/>
        <v>3.1646989662719789</v>
      </c>
      <c r="K27" s="44">
        <f t="shared" si="2"/>
        <v>-16.9135542562274</v>
      </c>
      <c r="L27" s="43">
        <f>SUM(L22:L26)</f>
        <v>10532316.9</v>
      </c>
      <c r="M27" s="45">
        <f t="shared" si="1"/>
        <v>100</v>
      </c>
    </row>
    <row r="28" spans="1:13" x14ac:dyDescent="0.3">
      <c r="A28" s="4" t="s">
        <v>295</v>
      </c>
      <c r="B28" s="43">
        <f>Entrate_Uscite!B52</f>
        <v>22806389.920000002</v>
      </c>
      <c r="C28" s="43">
        <f>Entrate_Uscite!E52</f>
        <v>121368188.48</v>
      </c>
      <c r="D28" s="43">
        <f>Entrate_Uscite!H52</f>
        <v>130704163.68000001</v>
      </c>
      <c r="E28" s="43">
        <f>Entrate_Uscite!K52</f>
        <v>159726658.97999999</v>
      </c>
      <c r="F28" s="43">
        <f>Entrate_Uscite!N52</f>
        <v>193390646.19999999</v>
      </c>
      <c r="G28" s="43">
        <f>Entrate_Uscite!Q52</f>
        <v>155609201.94999999</v>
      </c>
      <c r="H28" s="43">
        <f>Entrate_Uscite!T52</f>
        <v>152263391.69</v>
      </c>
      <c r="I28" s="43">
        <f>Entrate_Uscite!W52</f>
        <v>109234589.95999999</v>
      </c>
      <c r="J28" s="43">
        <f t="shared" si="0"/>
        <v>32.822274264037333</v>
      </c>
      <c r="K28" s="44">
        <f t="shared" si="2"/>
        <v>-28.259453078258176</v>
      </c>
      <c r="L28" s="43">
        <f>Entrate_Uscite!X52</f>
        <v>109234589.95999999</v>
      </c>
      <c r="M28" s="45">
        <f t="shared" si="1"/>
        <v>100</v>
      </c>
    </row>
    <row r="29" spans="1:13" x14ac:dyDescent="0.3">
      <c r="A29" s="4" t="s">
        <v>296</v>
      </c>
      <c r="B29" s="43">
        <f>Entrate_Uscite!B53</f>
        <v>268240684.84</v>
      </c>
      <c r="C29" s="43">
        <f>Entrate_Uscite!E53</f>
        <v>91167651.719999999</v>
      </c>
      <c r="D29" s="43">
        <f>Entrate_Uscite!H53</f>
        <v>83782392.24000001</v>
      </c>
      <c r="E29" s="43">
        <f>Entrate_Uscite!K53</f>
        <v>89448597.719999999</v>
      </c>
      <c r="F29" s="43">
        <f>Entrate_Uscite!N53</f>
        <v>132645582.64</v>
      </c>
      <c r="G29" s="43">
        <f>Entrate_Uscite!Q53</f>
        <v>121233038.8</v>
      </c>
      <c r="H29" s="43">
        <f>Entrate_Uscite!T53</f>
        <v>67148377.710000008</v>
      </c>
      <c r="I29" s="43">
        <f>Entrate_Uscite!W53</f>
        <v>117855275.43000001</v>
      </c>
      <c r="J29" s="43"/>
      <c r="K29" s="44">
        <f t="shared" si="2"/>
        <v>75.514702587443935</v>
      </c>
      <c r="L29" s="43">
        <f>Entrate_Uscite!X53</f>
        <v>113114081.31999999</v>
      </c>
      <c r="M29" s="45">
        <f t="shared" si="1"/>
        <v>95.977104891824681</v>
      </c>
    </row>
    <row r="30" spans="1:13" x14ac:dyDescent="0.3">
      <c r="A30" s="47" t="s">
        <v>69</v>
      </c>
      <c r="B30" s="48">
        <f t="shared" ref="B30:F30" si="8">B10+B15+B20+B27+B28+B29</f>
        <v>544753286.62</v>
      </c>
      <c r="C30" s="48">
        <f t="shared" si="8"/>
        <v>422703380.60000002</v>
      </c>
      <c r="D30" s="48">
        <f t="shared" si="8"/>
        <v>431204385.63000005</v>
      </c>
      <c r="E30" s="48">
        <f t="shared" si="8"/>
        <v>480994493.45000005</v>
      </c>
      <c r="F30" s="48">
        <f t="shared" si="8"/>
        <v>561619298.67999995</v>
      </c>
      <c r="G30" s="48">
        <f>G10+G15+G20+G27+G28+G29</f>
        <v>480726588.50999999</v>
      </c>
      <c r="H30" s="48">
        <f>H10+H15+H20+H27+H28+H29</f>
        <v>440602432.66000009</v>
      </c>
      <c r="I30" s="48">
        <f>I10+I15+I20+I27+I28+I29</f>
        <v>450661555.34000003</v>
      </c>
      <c r="J30" s="48"/>
      <c r="K30" s="49">
        <f t="shared" si="2"/>
        <v>2.2830383888874763</v>
      </c>
      <c r="L30" s="48">
        <f>L10+L15+L20+L27+L28+L29</f>
        <v>376940908.97000003</v>
      </c>
      <c r="M30" s="50">
        <f t="shared" si="1"/>
        <v>83.641682877879006</v>
      </c>
    </row>
    <row r="31" spans="1:13" x14ac:dyDescent="0.3">
      <c r="A31" s="38" t="s">
        <v>70</v>
      </c>
      <c r="B31" s="51">
        <f t="shared" ref="B31:F31" si="9">B30-B29</f>
        <v>276512601.77999997</v>
      </c>
      <c r="C31" s="51">
        <f t="shared" si="9"/>
        <v>331535728.88</v>
      </c>
      <c r="D31" s="51">
        <f t="shared" si="9"/>
        <v>347421993.39000005</v>
      </c>
      <c r="E31" s="51">
        <f t="shared" si="9"/>
        <v>391545895.73000002</v>
      </c>
      <c r="F31" s="51">
        <f t="shared" si="9"/>
        <v>428973716.03999996</v>
      </c>
      <c r="G31" s="51">
        <f>G30-G29</f>
        <v>359493549.70999998</v>
      </c>
      <c r="H31" s="51">
        <f>H30-H29</f>
        <v>373454054.95000005</v>
      </c>
      <c r="I31" s="51">
        <f>I30-I29</f>
        <v>332806279.91000003</v>
      </c>
      <c r="J31" s="51">
        <f>I31/I$31*100</f>
        <v>100</v>
      </c>
      <c r="K31" s="52">
        <f t="shared" si="2"/>
        <v>-10.884277329762057</v>
      </c>
      <c r="L31" s="51">
        <f>L30-L29</f>
        <v>263826827.65000004</v>
      </c>
      <c r="M31" s="53">
        <f t="shared" si="1"/>
        <v>79.273392233267373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3" width="11.33203125" bestFit="1" customWidth="1"/>
    <col min="4" max="5" width="10.5546875" bestFit="1" customWidth="1"/>
    <col min="6" max="10" width="11.33203125" bestFit="1" customWidth="1"/>
    <col min="11" max="11" width="10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26016472.930000037</v>
      </c>
      <c r="C2" s="64">
        <f>Entrate_Uscite!E56</f>
        <v>27867179.180000007</v>
      </c>
      <c r="D2" s="64">
        <f>Entrate_Uscite!H56</f>
        <v>29764618.069999963</v>
      </c>
      <c r="E2" s="64">
        <f>Entrate_Uscite!K56</f>
        <v>29136765.599999994</v>
      </c>
      <c r="F2" s="64">
        <f>Entrate_Uscite!N56</f>
        <v>26284586.099999994</v>
      </c>
      <c r="G2" s="64">
        <f>Entrate_Uscite!Q56</f>
        <v>56925384.619999975</v>
      </c>
      <c r="H2" s="64">
        <f>Entrate_Uscite!T56</f>
        <v>43344197.169999987</v>
      </c>
      <c r="I2" s="64">
        <f>Entrate_Uscite!W56</f>
        <v>44559757.169999987</v>
      </c>
      <c r="J2" s="64">
        <f>I2-H2</f>
        <v>1215560</v>
      </c>
      <c r="K2" s="64">
        <f>Entrate_Uscite!X56</f>
        <v>18229988.75999999</v>
      </c>
    </row>
    <row r="3" spans="1:11" x14ac:dyDescent="0.3">
      <c r="A3" s="62" t="s">
        <v>72</v>
      </c>
      <c r="B3" s="65">
        <f>Entrate_Uscite!B57</f>
        <v>-43978074.009999998</v>
      </c>
      <c r="C3" s="65">
        <f>Entrate_Uscite!E57</f>
        <v>-17786320.02</v>
      </c>
      <c r="D3" s="65">
        <f>Entrate_Uscite!H57</f>
        <v>4098888.9199999981</v>
      </c>
      <c r="E3" s="65">
        <f>Entrate_Uscite!K57</f>
        <v>693998.92999999598</v>
      </c>
      <c r="F3" s="65">
        <f>Entrate_Uscite!N57</f>
        <v>-31339696.91</v>
      </c>
      <c r="G3" s="65">
        <f>Entrate_Uscite!Q57</f>
        <v>-2343319.5999999978</v>
      </c>
      <c r="H3" s="65">
        <f>Entrate_Uscite!T57</f>
        <v>-1435135.6699999981</v>
      </c>
      <c r="I3" s="65">
        <f>Entrate_Uscite!W57</f>
        <v>54852073.229999989</v>
      </c>
      <c r="J3" s="64">
        <f t="shared" ref="J3:J6" si="0">I3-H3</f>
        <v>56287208.899999991</v>
      </c>
      <c r="K3" s="64">
        <f>Entrate_Uscite!X57</f>
        <v>8892179.9299999997</v>
      </c>
    </row>
    <row r="4" spans="1:11" x14ac:dyDescent="0.3">
      <c r="A4" s="62" t="s">
        <v>301</v>
      </c>
      <c r="B4" s="65">
        <f>Entrate_Uscite!B16-Entrate_Uscite!B50</f>
        <v>0</v>
      </c>
      <c r="C4" s="65">
        <f>Entrate_Uscite!E16-Entrate_Uscite!E50</f>
        <v>0</v>
      </c>
      <c r="D4" s="65">
        <f>Entrate_Uscite!H16-Entrate_Uscite!H50</f>
        <v>0</v>
      </c>
      <c r="E4" s="65">
        <f>Entrate_Uscite!K16-Entrate_Uscite!K50</f>
        <v>0</v>
      </c>
      <c r="F4" s="65">
        <f>Entrate_Uscite!N16-Entrate_Uscite!N50</f>
        <v>0</v>
      </c>
      <c r="G4" s="65">
        <f>Entrate_Uscite!Q16-Entrate_Uscite!Q50</f>
        <v>0</v>
      </c>
      <c r="H4" s="65">
        <f>Entrate_Uscite!T16-Entrate_Uscite!T50</f>
        <v>0</v>
      </c>
      <c r="I4" s="65">
        <f>Entrate_Uscite!W16-Entrate_Uscite!W50</f>
        <v>32620</v>
      </c>
      <c r="J4" s="64">
        <f t="shared" si="0"/>
        <v>32620</v>
      </c>
      <c r="K4" s="65">
        <f>Entrate_Uscite!X16-Entrate_Uscite!X50</f>
        <v>32620</v>
      </c>
    </row>
    <row r="5" spans="1:11" x14ac:dyDescent="0.3">
      <c r="A5" s="47" t="s">
        <v>299</v>
      </c>
      <c r="B5" s="66">
        <f>Entrate_Uscite!B58</f>
        <v>-17961601.079999954</v>
      </c>
      <c r="C5" s="66">
        <f>Entrate_Uscite!E58</f>
        <v>10080859.159999996</v>
      </c>
      <c r="D5" s="66">
        <f>Entrate_Uscite!H58</f>
        <v>33863506.98999998</v>
      </c>
      <c r="E5" s="66">
        <f>Entrate_Uscite!K58</f>
        <v>29830764.530000001</v>
      </c>
      <c r="F5" s="66">
        <f>Entrate_Uscite!N58</f>
        <v>-5055110.8100000024</v>
      </c>
      <c r="G5" s="66">
        <f>Entrate_Uscite!Q58</f>
        <v>54582065.019999981</v>
      </c>
      <c r="H5" s="66">
        <f>Entrate_Uscite!T58</f>
        <v>41909061.49999997</v>
      </c>
      <c r="I5" s="66">
        <f>Entrate_Uscite!W58</f>
        <v>99444450.399999976</v>
      </c>
      <c r="J5" s="66">
        <f t="shared" si="0"/>
        <v>57535388.900000006</v>
      </c>
      <c r="K5" s="66">
        <f>Entrate_Uscite!X58</f>
        <v>27154788.689999968</v>
      </c>
    </row>
    <row r="6" spans="1:11" x14ac:dyDescent="0.3">
      <c r="A6" s="38" t="s">
        <v>300</v>
      </c>
      <c r="B6" s="67">
        <f>Entrate_Uscite!B59</f>
        <v>-25341568.349999994</v>
      </c>
      <c r="C6" s="67">
        <f>Entrate_Uscite!E59</f>
        <v>2978124.3199999332</v>
      </c>
      <c r="D6" s="67">
        <f>Entrate_Uscite!H59</f>
        <v>26547267.849999964</v>
      </c>
      <c r="E6" s="67">
        <f>Entrate_Uscite!K59</f>
        <v>23891777.179999948</v>
      </c>
      <c r="F6" s="67">
        <f>Entrate_Uscite!N59</f>
        <v>35435169.580000043</v>
      </c>
      <c r="G6" s="67">
        <f>Entrate_Uscite!Q59</f>
        <v>68963660.159999967</v>
      </c>
      <c r="H6" s="67">
        <f>Entrate_Uscite!T59</f>
        <v>34428203.409999967</v>
      </c>
      <c r="I6" s="67">
        <f>Entrate_Uscite!W59</f>
        <v>91317913.7299999</v>
      </c>
      <c r="J6" s="67">
        <f t="shared" si="0"/>
        <v>56889710.319999933</v>
      </c>
      <c r="K6" s="67">
        <f>Entrate_Uscite!X59</f>
        <v>16622471.790000021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I2" sqref="I2:I23"/>
    </sheetView>
  </sheetViews>
  <sheetFormatPr defaultRowHeight="14.4" x14ac:dyDescent="0.3"/>
  <cols>
    <col min="1" max="1" width="36.44140625" bestFit="1" customWidth="1"/>
    <col min="2" max="9" width="13.5546875" bestFit="1" customWidth="1"/>
    <col min="12" max="12" width="10" bestFit="1" customWidth="1"/>
  </cols>
  <sheetData>
    <row r="1" spans="1:9" x14ac:dyDescent="0.3">
      <c r="A1" s="41"/>
      <c r="B1" s="94">
        <v>2016</v>
      </c>
      <c r="C1" s="94">
        <v>2017</v>
      </c>
      <c r="D1" s="94">
        <v>2018</v>
      </c>
      <c r="E1" s="94">
        <v>2019</v>
      </c>
      <c r="F1" s="94">
        <v>2020</v>
      </c>
      <c r="G1" s="94">
        <v>2021</v>
      </c>
      <c r="H1" s="94">
        <v>2022</v>
      </c>
      <c r="I1" s="94">
        <v>2023</v>
      </c>
    </row>
    <row r="2" spans="1:9" x14ac:dyDescent="0.3">
      <c r="A2" t="s">
        <v>5</v>
      </c>
      <c r="B2" s="1">
        <v>7103718.7699999996</v>
      </c>
      <c r="C2" s="1">
        <v>482118.68</v>
      </c>
      <c r="D2" s="1">
        <v>163296.34</v>
      </c>
      <c r="E2" s="1">
        <v>246729.51</v>
      </c>
      <c r="F2" s="1">
        <v>150477.51999999999</v>
      </c>
      <c r="G2" s="1">
        <v>5177100.68</v>
      </c>
      <c r="H2" s="1">
        <v>756307.45</v>
      </c>
      <c r="I2" s="1">
        <v>13071272.02</v>
      </c>
    </row>
    <row r="3" spans="1:9" x14ac:dyDescent="0.3">
      <c r="A3" t="s">
        <v>6</v>
      </c>
      <c r="B3" s="1">
        <v>455106419.31999999</v>
      </c>
      <c r="C3" s="1">
        <v>464676045.80000001</v>
      </c>
      <c r="D3" s="1">
        <v>438511640.39999998</v>
      </c>
      <c r="E3" s="1">
        <v>474810801.43000001</v>
      </c>
      <c r="F3" s="1">
        <v>464991287.93000001</v>
      </c>
      <c r="G3" s="1">
        <v>457350467.35000002</v>
      </c>
      <c r="H3" s="1">
        <v>435402037.66000003</v>
      </c>
      <c r="I3" s="1">
        <v>468832567.22000003</v>
      </c>
    </row>
    <row r="4" spans="1:9" x14ac:dyDescent="0.3">
      <c r="A4" t="s">
        <v>7</v>
      </c>
      <c r="B4" s="1">
        <v>174016522.08000001</v>
      </c>
      <c r="C4" s="1">
        <v>190896533.19999999</v>
      </c>
      <c r="D4" s="1">
        <v>178633700.16</v>
      </c>
      <c r="E4" s="1">
        <v>186299457.11000001</v>
      </c>
      <c r="F4" s="1">
        <v>203739977.53</v>
      </c>
      <c r="G4" s="1">
        <v>157676242.80000001</v>
      </c>
      <c r="H4" s="1">
        <v>119962598.52</v>
      </c>
      <c r="I4" s="1">
        <v>105616843.90000001</v>
      </c>
    </row>
    <row r="5" spans="1:9" x14ac:dyDescent="0.3">
      <c r="A5" t="s">
        <v>8</v>
      </c>
      <c r="B5" s="1">
        <v>2884073.11</v>
      </c>
      <c r="C5" s="1">
        <v>2992731.62</v>
      </c>
      <c r="D5" s="1">
        <v>2248593.04</v>
      </c>
      <c r="E5" s="1">
        <v>2025466.4</v>
      </c>
      <c r="F5" s="1">
        <v>2614762.41</v>
      </c>
      <c r="G5" s="1">
        <v>2440515.41</v>
      </c>
      <c r="H5" s="1">
        <v>2791195.96</v>
      </c>
      <c r="I5" s="1">
        <v>3348809.93</v>
      </c>
    </row>
    <row r="6" spans="1:9" x14ac:dyDescent="0.3">
      <c r="A6" t="s">
        <v>9</v>
      </c>
      <c r="B6" s="1">
        <v>81184147.129999995</v>
      </c>
      <c r="C6" s="1">
        <v>72073389.659999996</v>
      </c>
      <c r="D6" s="1">
        <v>87168961.810000002</v>
      </c>
      <c r="E6" s="1">
        <v>102070217.29000001</v>
      </c>
      <c r="F6" s="1">
        <v>37100293.649999999</v>
      </c>
      <c r="G6" s="1">
        <v>36134035.890000001</v>
      </c>
      <c r="H6" s="1">
        <v>49352342.719999999</v>
      </c>
      <c r="I6" s="1">
        <v>99807251.980000004</v>
      </c>
    </row>
    <row r="7" spans="1:9" x14ac:dyDescent="0.3">
      <c r="A7" s="4" t="s">
        <v>0</v>
      </c>
      <c r="B7" s="3">
        <f t="shared" ref="B7:C7" si="0">B2+B3-B4-B5-B6</f>
        <v>204125395.76999998</v>
      </c>
      <c r="C7" s="3">
        <f t="shared" si="0"/>
        <v>199195510.00000003</v>
      </c>
      <c r="D7" s="3">
        <f t="shared" ref="D7:E7" si="1">D2+D3-D4-D5-D6</f>
        <v>170623681.72999996</v>
      </c>
      <c r="E7" s="3">
        <f t="shared" si="1"/>
        <v>184662390.13999999</v>
      </c>
      <c r="F7" s="3">
        <f t="shared" ref="F7:I7" si="2">F2+F3-F4-F5-F6</f>
        <v>221686731.85999998</v>
      </c>
      <c r="G7" s="3">
        <f t="shared" ref="G7:H7" si="3">G2+G3-G4-G5-G6</f>
        <v>266276773.93000001</v>
      </c>
      <c r="H7" s="3">
        <f t="shared" si="3"/>
        <v>264052207.91000006</v>
      </c>
      <c r="I7" s="3">
        <f t="shared" si="2"/>
        <v>273130933.43000001</v>
      </c>
    </row>
    <row r="8" spans="1:9" x14ac:dyDescent="0.3">
      <c r="A8" t="s">
        <v>10</v>
      </c>
      <c r="B8" s="1">
        <v>152326220.34</v>
      </c>
      <c r="C8" s="1">
        <v>156429479.27000001</v>
      </c>
      <c r="D8" s="1">
        <v>136866771.56999999</v>
      </c>
      <c r="E8" s="1">
        <v>202318385.87</v>
      </c>
      <c r="F8" s="1">
        <v>204200510.40000001</v>
      </c>
      <c r="G8" s="1">
        <v>197107813.22999999</v>
      </c>
      <c r="H8" s="1">
        <v>192956881.13999999</v>
      </c>
      <c r="I8" s="1">
        <v>199899101.47999999</v>
      </c>
    </row>
    <row r="9" spans="1:9" x14ac:dyDescent="0.3">
      <c r="A9" t="s">
        <v>11</v>
      </c>
      <c r="B9" s="1">
        <v>45271630.280000001</v>
      </c>
      <c r="C9" s="1">
        <v>40189797.869999997</v>
      </c>
      <c r="D9" s="1">
        <v>35005193.649999999</v>
      </c>
      <c r="E9" s="1">
        <v>167827155.94</v>
      </c>
      <c r="F9" s="1">
        <v>206120056.81</v>
      </c>
      <c r="G9" s="1">
        <v>221716493.41999999</v>
      </c>
      <c r="H9" s="1">
        <v>215134010.28999999</v>
      </c>
      <c r="I9" s="1">
        <v>207718292.22999999</v>
      </c>
    </row>
    <row r="10" spans="1:9" x14ac:dyDescent="0.3">
      <c r="A10" t="s">
        <v>12</v>
      </c>
      <c r="B10" s="1">
        <v>0</v>
      </c>
      <c r="C10" s="1">
        <v>0</v>
      </c>
      <c r="D10" s="1">
        <v>0</v>
      </c>
      <c r="E10" s="1">
        <v>250000</v>
      </c>
      <c r="F10" s="1">
        <v>550000</v>
      </c>
      <c r="G10" s="1">
        <v>700000</v>
      </c>
      <c r="H10" s="1">
        <v>0</v>
      </c>
      <c r="I10" s="1">
        <v>0</v>
      </c>
    </row>
    <row r="11" spans="1:9" x14ac:dyDescent="0.3">
      <c r="A11" t="s">
        <v>13</v>
      </c>
      <c r="B11" s="1">
        <v>10355000</v>
      </c>
      <c r="C11" s="1">
        <v>7575490.2800000003</v>
      </c>
      <c r="D11" s="1">
        <v>4200000</v>
      </c>
      <c r="E11" s="1">
        <v>7280817.1100000003</v>
      </c>
      <c r="F11" s="1">
        <v>7280817.1100000003</v>
      </c>
      <c r="G11" s="1">
        <v>5928750</v>
      </c>
      <c r="H11" s="1">
        <v>7955870</v>
      </c>
      <c r="I11" s="1">
        <v>5609570</v>
      </c>
    </row>
    <row r="12" spans="1:9" x14ac:dyDescent="0.3">
      <c r="A12" t="s">
        <v>14</v>
      </c>
      <c r="B12" s="1">
        <f>226059.75+14090.43</f>
        <v>240150.18</v>
      </c>
      <c r="C12" s="1">
        <v>445616.36</v>
      </c>
      <c r="D12" s="1">
        <v>25022.79</v>
      </c>
      <c r="E12" s="1">
        <v>280488.96999999997</v>
      </c>
      <c r="F12" s="1">
        <v>635955.15</v>
      </c>
      <c r="G12" s="1">
        <v>8421647.2400000002</v>
      </c>
      <c r="H12" s="1">
        <v>8967017.5</v>
      </c>
      <c r="I12" s="1">
        <v>12087508.810000001</v>
      </c>
    </row>
    <row r="13" spans="1:9" x14ac:dyDescent="0.3">
      <c r="A13" s="4" t="s">
        <v>1</v>
      </c>
      <c r="B13" s="3">
        <f t="shared" ref="B13:D13" si="4">SUM(B8:B12)</f>
        <v>208193000.80000001</v>
      </c>
      <c r="C13" s="3">
        <f t="shared" si="4"/>
        <v>204640383.78000003</v>
      </c>
      <c r="D13" s="3">
        <f t="shared" si="4"/>
        <v>176096988.00999999</v>
      </c>
      <c r="E13" s="3">
        <f t="shared" ref="E13:I13" si="5">SUM(E8:E12)</f>
        <v>377956847.89000005</v>
      </c>
      <c r="F13" s="3">
        <f t="shared" ref="F13:H13" si="6">SUM(F8:F12)</f>
        <v>418787339.47000003</v>
      </c>
      <c r="G13" s="3">
        <f t="shared" si="6"/>
        <v>433874703.88999999</v>
      </c>
      <c r="H13" s="3">
        <f t="shared" si="6"/>
        <v>425013778.92999995</v>
      </c>
      <c r="I13" s="3">
        <f t="shared" si="5"/>
        <v>425314472.51999998</v>
      </c>
    </row>
    <row r="14" spans="1:9" x14ac:dyDescent="0.3">
      <c r="A14" t="s">
        <v>16</v>
      </c>
      <c r="B14" s="1">
        <v>0</v>
      </c>
      <c r="C14" s="1">
        <v>0</v>
      </c>
      <c r="D14" s="1">
        <v>0</v>
      </c>
      <c r="E14" s="1">
        <v>0</v>
      </c>
      <c r="F14" s="1">
        <v>2426469</v>
      </c>
      <c r="G14" s="1">
        <v>3039</v>
      </c>
      <c r="H14" s="1">
        <v>727083</v>
      </c>
      <c r="I14" s="1">
        <v>0</v>
      </c>
    </row>
    <row r="15" spans="1:9" x14ac:dyDescent="0.3">
      <c r="A1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3">
      <c r="A16" t="s">
        <v>17</v>
      </c>
      <c r="B16" s="1">
        <v>4547262.3899999997</v>
      </c>
      <c r="C16" s="1">
        <v>1335456.76</v>
      </c>
      <c r="D16" s="1">
        <v>739409.01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3">
      <c r="A17" t="s">
        <v>18</v>
      </c>
      <c r="B17" s="1">
        <v>0</v>
      </c>
      <c r="C17" s="1">
        <v>398537.33</v>
      </c>
      <c r="D17" s="1">
        <v>479993.61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3">
      <c r="A18" t="s">
        <v>19</v>
      </c>
      <c r="B18" s="1">
        <v>378539.87</v>
      </c>
      <c r="C18" s="1">
        <v>0</v>
      </c>
      <c r="D18" s="1">
        <v>299018.59999999998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">
      <c r="A19" s="4" t="s">
        <v>2</v>
      </c>
      <c r="B19" s="3">
        <f t="shared" ref="B19:C19" si="7">SUM(B14:B18)</f>
        <v>4925802.26</v>
      </c>
      <c r="C19" s="3">
        <f t="shared" si="7"/>
        <v>1733994.09</v>
      </c>
      <c r="D19" s="3">
        <f t="shared" ref="D19:I19" si="8">SUM(D14:D18)</f>
        <v>1518421.2200000002</v>
      </c>
      <c r="E19" s="3">
        <f t="shared" si="8"/>
        <v>0</v>
      </c>
      <c r="F19" s="3">
        <f t="shared" si="8"/>
        <v>2426469</v>
      </c>
      <c r="G19" s="3">
        <f t="shared" si="8"/>
        <v>3039</v>
      </c>
      <c r="H19" s="3">
        <f t="shared" si="8"/>
        <v>727083</v>
      </c>
      <c r="I19" s="3">
        <f t="shared" si="8"/>
        <v>0</v>
      </c>
    </row>
    <row r="20" spans="1:9" x14ac:dyDescent="0.3">
      <c r="A20" s="4" t="s">
        <v>3</v>
      </c>
      <c r="B20" s="3">
        <v>0</v>
      </c>
      <c r="C20" s="3">
        <v>1566378.03</v>
      </c>
      <c r="D20" s="3">
        <v>1411870.12</v>
      </c>
      <c r="E20" s="3">
        <v>2366430.7999999998</v>
      </c>
      <c r="F20" s="3">
        <v>2366433.7999999998</v>
      </c>
      <c r="G20" s="3">
        <v>2366433.7999999998</v>
      </c>
      <c r="H20" s="3">
        <v>596356.53</v>
      </c>
      <c r="I20" s="3">
        <v>196356.53</v>
      </c>
    </row>
    <row r="21" spans="1:9" x14ac:dyDescent="0.3">
      <c r="A21" s="69" t="s">
        <v>4</v>
      </c>
      <c r="B21" s="37">
        <f t="shared" ref="B21" si="9">B7-B13-B19-B20</f>
        <v>-8993407.2900000308</v>
      </c>
      <c r="C21" s="37">
        <f t="shared" ref="C21:I21" si="10">C7-C13-C19-C20</f>
        <v>-8745245.9000000004</v>
      </c>
      <c r="D21" s="37">
        <f t="shared" si="10"/>
        <v>-8403597.6200000308</v>
      </c>
      <c r="E21" s="37">
        <f t="shared" si="10"/>
        <v>-195660888.55000007</v>
      </c>
      <c r="F21" s="37">
        <f t="shared" si="10"/>
        <v>-201893510.41000006</v>
      </c>
      <c r="G21" s="37">
        <f t="shared" si="10"/>
        <v>-169967402.75999999</v>
      </c>
      <c r="H21" s="37">
        <f t="shared" ref="H21" si="11">H7-H13-H19-H20</f>
        <v>-162285010.54999989</v>
      </c>
      <c r="I21" s="37">
        <f t="shared" si="10"/>
        <v>-152379895.61999997</v>
      </c>
    </row>
    <row r="22" spans="1:9" x14ac:dyDescent="0.3">
      <c r="A22" t="s">
        <v>355</v>
      </c>
      <c r="B22" s="1">
        <v>-16614623.810000001</v>
      </c>
      <c r="C22" s="1">
        <v>-20136527.140000001</v>
      </c>
      <c r="D22" s="1">
        <v>-49059517.390000001</v>
      </c>
      <c r="E22" s="1">
        <v>-4669938.1900000004</v>
      </c>
      <c r="F22" s="1">
        <v>-69810760.950000003</v>
      </c>
      <c r="G22" s="1">
        <v>-36985246.329999998</v>
      </c>
      <c r="H22" s="1">
        <v>-35281308.600000001</v>
      </c>
      <c r="I22" s="1">
        <v>-37187117.950000003</v>
      </c>
    </row>
    <row r="23" spans="1:9" x14ac:dyDescent="0.3">
      <c r="A23" t="s">
        <v>356</v>
      </c>
      <c r="B23" s="6">
        <f t="shared" ref="B23:E23" si="12">B8/B3*100</f>
        <v>33.470461824642939</v>
      </c>
      <c r="C23" s="6">
        <f t="shared" si="12"/>
        <v>33.664201261049811</v>
      </c>
      <c r="D23" s="6">
        <f t="shared" si="12"/>
        <v>31.211662122618534</v>
      </c>
      <c r="E23" s="6">
        <f t="shared" si="12"/>
        <v>42.61031662731186</v>
      </c>
      <c r="F23" s="6">
        <f t="shared" ref="F23:I23" si="13">F8/F3*100</f>
        <v>43.914911031782694</v>
      </c>
      <c r="G23" s="6">
        <f t="shared" ref="G23:H23" si="14">G8/G3*100</f>
        <v>43.09776141086958</v>
      </c>
      <c r="H23" s="6">
        <f t="shared" si="14"/>
        <v>44.316944903844842</v>
      </c>
      <c r="I23" s="6">
        <f t="shared" si="13"/>
        <v>42.637631311605787</v>
      </c>
    </row>
  </sheetData>
  <conditionalFormatting sqref="B21:E21 I21">
    <cfRule type="cellIs" dxfId="106" priority="24" operator="greaterThan">
      <formula>0</formula>
    </cfRule>
  </conditionalFormatting>
  <conditionalFormatting sqref="B21:E21 I21">
    <cfRule type="cellIs" dxfId="105" priority="21" operator="greaterThan">
      <formula>0</formula>
    </cfRule>
    <cfRule type="cellIs" dxfId="104" priority="22" operator="lessThan">
      <formula>0</formula>
    </cfRule>
  </conditionalFormatting>
  <conditionalFormatting sqref="F21">
    <cfRule type="cellIs" dxfId="103" priority="9" operator="greaterThan">
      <formula>0</formula>
    </cfRule>
  </conditionalFormatting>
  <conditionalFormatting sqref="F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G21">
    <cfRule type="cellIs" dxfId="100" priority="6" operator="greaterThan">
      <formula>0</formula>
    </cfRule>
  </conditionalFormatting>
  <conditionalFormatting sqref="G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H21">
    <cfRule type="cellIs" dxfId="97" priority="3" operator="greaterThan">
      <formula>0</formula>
    </cfRule>
  </conditionalFormatting>
  <conditionalFormatting sqref="H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10.88671875" customWidth="1"/>
    <col min="3" max="5" width="11.109375" bestFit="1" customWidth="1"/>
    <col min="6" max="6" width="11.77734375" bestFit="1" customWidth="1"/>
    <col min="7" max="10" width="11.109375" bestFit="1" customWidth="1"/>
    <col min="11" max="11" width="12.33203125" bestFit="1" customWidth="1"/>
  </cols>
  <sheetData>
    <row r="1" spans="1:11" x14ac:dyDescent="0.3">
      <c r="C1" s="95">
        <v>2016</v>
      </c>
      <c r="D1" s="95">
        <v>2017</v>
      </c>
      <c r="E1" s="97">
        <v>2018</v>
      </c>
      <c r="F1" s="101">
        <v>2019</v>
      </c>
      <c r="G1" s="108">
        <v>2020</v>
      </c>
      <c r="H1" s="109">
        <v>2021</v>
      </c>
      <c r="I1" s="112">
        <v>2022</v>
      </c>
      <c r="J1" s="108">
        <v>2023</v>
      </c>
      <c r="K1" s="12" t="s">
        <v>266</v>
      </c>
    </row>
    <row r="2" spans="1:11" x14ac:dyDescent="0.3">
      <c r="A2" t="s">
        <v>236</v>
      </c>
      <c r="B2" s="26" t="s">
        <v>260</v>
      </c>
      <c r="C2" s="1">
        <v>110665629.48</v>
      </c>
      <c r="D2" s="1">
        <v>102428723.09</v>
      </c>
      <c r="E2" s="1">
        <v>102585246.31</v>
      </c>
      <c r="F2" s="1">
        <v>104614497.98999999</v>
      </c>
      <c r="G2" s="1">
        <v>93868456.150000006</v>
      </c>
      <c r="H2" s="1">
        <v>91017643.310000002</v>
      </c>
      <c r="I2" s="1">
        <v>99659083.730000004</v>
      </c>
      <c r="J2" s="1">
        <v>105381537.34999999</v>
      </c>
      <c r="K2" s="1">
        <f>J2-I2</f>
        <v>5722453.6199999899</v>
      </c>
    </row>
    <row r="3" spans="1:11" x14ac:dyDescent="0.3">
      <c r="A3" t="s">
        <v>237</v>
      </c>
      <c r="B3" s="26" t="s">
        <v>260</v>
      </c>
      <c r="C3" s="1">
        <v>37094038.630000003</v>
      </c>
      <c r="D3" s="1">
        <v>35948625.390000001</v>
      </c>
      <c r="E3" s="1">
        <v>34244002.579999998</v>
      </c>
      <c r="F3" s="1">
        <v>34243880.780000001</v>
      </c>
      <c r="G3" s="1">
        <v>33319974.030000001</v>
      </c>
      <c r="H3" s="1">
        <v>33555312.460000001</v>
      </c>
      <c r="I3" s="1">
        <v>33834512.229999997</v>
      </c>
      <c r="J3" s="1">
        <v>33602474.75</v>
      </c>
      <c r="K3" s="1">
        <f t="shared" ref="K3:K29" si="0">J3-I3</f>
        <v>-232037.47999999672</v>
      </c>
    </row>
    <row r="4" spans="1:11" x14ac:dyDescent="0.3">
      <c r="A4" t="s">
        <v>238</v>
      </c>
      <c r="B4" s="26" t="s">
        <v>260</v>
      </c>
      <c r="C4" s="1">
        <v>26941229.609999999</v>
      </c>
      <c r="D4" s="1">
        <v>35608974.630000003</v>
      </c>
      <c r="E4" s="1">
        <v>38665856.869999997</v>
      </c>
      <c r="F4" s="1">
        <v>52323554.030000001</v>
      </c>
      <c r="G4" s="1">
        <v>40864407.299999997</v>
      </c>
      <c r="H4" s="1">
        <v>67678467.049999997</v>
      </c>
      <c r="I4" s="1">
        <v>34149094.409999996</v>
      </c>
      <c r="J4" s="1">
        <v>31952291.280000001</v>
      </c>
      <c r="K4" s="1">
        <f t="shared" si="0"/>
        <v>-2196803.1299999952</v>
      </c>
    </row>
    <row r="5" spans="1:11" x14ac:dyDescent="0.3">
      <c r="A5" t="s">
        <v>239</v>
      </c>
      <c r="B5" s="26" t="s">
        <v>260</v>
      </c>
      <c r="C5" s="1">
        <f>16305914.01+5809992.46</f>
        <v>22115906.469999999</v>
      </c>
      <c r="D5" s="1">
        <v>22759781.940000001</v>
      </c>
      <c r="E5" s="1">
        <v>22797276.190000001</v>
      </c>
      <c r="F5" s="1">
        <v>22629118.57</v>
      </c>
      <c r="G5" s="1">
        <v>19442572.699999999</v>
      </c>
      <c r="H5" s="1">
        <v>22635528.75</v>
      </c>
      <c r="I5" s="1">
        <v>32409621.510000002</v>
      </c>
      <c r="J5" s="1">
        <v>30150908.77</v>
      </c>
      <c r="K5" s="1">
        <f t="shared" si="0"/>
        <v>-2258712.7400000021</v>
      </c>
    </row>
    <row r="6" spans="1:11" x14ac:dyDescent="0.3">
      <c r="A6" t="s">
        <v>240</v>
      </c>
      <c r="B6" s="26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6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6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2" t="s">
        <v>243</v>
      </c>
      <c r="B9" s="33" t="s">
        <v>260</v>
      </c>
      <c r="C9" s="34">
        <v>10013243.67</v>
      </c>
      <c r="D9" s="34">
        <v>10551133.49</v>
      </c>
      <c r="E9" s="34">
        <v>10789554.24</v>
      </c>
      <c r="F9" s="34">
        <v>10705722.560000001</v>
      </c>
      <c r="G9" s="34">
        <v>7330688.46</v>
      </c>
      <c r="H9" s="34">
        <v>8981958.0399999991</v>
      </c>
      <c r="I9" s="1">
        <v>14601631.609999999</v>
      </c>
      <c r="J9" s="1">
        <v>12800769.98</v>
      </c>
      <c r="K9" s="1">
        <f t="shared" si="0"/>
        <v>-1800861.629999999</v>
      </c>
    </row>
    <row r="10" spans="1:11" x14ac:dyDescent="0.3">
      <c r="A10" s="35" t="s">
        <v>264</v>
      </c>
      <c r="B10" s="36" t="s">
        <v>260</v>
      </c>
      <c r="C10" s="92">
        <f t="shared" ref="C10:E10" si="1">SUM(C2:C9)</f>
        <v>206830047.86000001</v>
      </c>
      <c r="D10" s="92">
        <f t="shared" si="1"/>
        <v>207297238.54000002</v>
      </c>
      <c r="E10" s="92">
        <f t="shared" si="1"/>
        <v>209081936.19</v>
      </c>
      <c r="F10" s="92">
        <f t="shared" ref="F10:J10" si="2">SUM(F2:F9)</f>
        <v>224516773.92999998</v>
      </c>
      <c r="G10" s="92">
        <f t="shared" ref="G10:I10" si="3">SUM(G2:G9)</f>
        <v>194826098.64000002</v>
      </c>
      <c r="H10" s="92">
        <f t="shared" si="3"/>
        <v>223868909.60999998</v>
      </c>
      <c r="I10" s="92">
        <f t="shared" si="3"/>
        <v>214653943.49000001</v>
      </c>
      <c r="J10" s="92">
        <f t="shared" si="2"/>
        <v>213887982.13</v>
      </c>
      <c r="K10" s="11">
        <f t="shared" si="0"/>
        <v>-765961.36000001431</v>
      </c>
    </row>
    <row r="11" spans="1:11" x14ac:dyDescent="0.3">
      <c r="A11" t="s">
        <v>244</v>
      </c>
      <c r="B11" s="26" t="s">
        <v>261</v>
      </c>
      <c r="C11" s="1">
        <v>1621666.45</v>
      </c>
      <c r="D11" s="1">
        <v>1237929.4099999999</v>
      </c>
      <c r="E11" s="1">
        <v>1139029.42</v>
      </c>
      <c r="F11" s="1">
        <v>515522.82</v>
      </c>
      <c r="G11" s="1">
        <v>767830.3</v>
      </c>
      <c r="H11" s="1">
        <v>593688.67000000004</v>
      </c>
      <c r="I11" s="1">
        <v>929384.83</v>
      </c>
      <c r="J11" s="1">
        <v>746006.79</v>
      </c>
      <c r="K11" s="1">
        <f t="shared" si="0"/>
        <v>-183378.03999999992</v>
      </c>
    </row>
    <row r="12" spans="1:11" x14ac:dyDescent="0.3">
      <c r="A12" t="s">
        <v>245</v>
      </c>
      <c r="B12" s="26" t="s">
        <v>261</v>
      </c>
      <c r="C12" s="1">
        <v>91787155.030000001</v>
      </c>
      <c r="D12" s="1">
        <v>92272267.530000001</v>
      </c>
      <c r="E12" s="1">
        <v>94851852.390000001</v>
      </c>
      <c r="F12" s="1">
        <v>52503771.810000002</v>
      </c>
      <c r="G12" s="1">
        <v>93298564.420000002</v>
      </c>
      <c r="H12" s="1">
        <v>91965641.010000005</v>
      </c>
      <c r="I12" s="1">
        <v>105351223.2</v>
      </c>
      <c r="J12" s="1">
        <v>99073412.780000001</v>
      </c>
      <c r="K12" s="1">
        <f t="shared" si="0"/>
        <v>-6277810.4200000018</v>
      </c>
    </row>
    <row r="13" spans="1:11" x14ac:dyDescent="0.3">
      <c r="A13" t="s">
        <v>246</v>
      </c>
      <c r="B13" s="26" t="s">
        <v>261</v>
      </c>
      <c r="C13" s="1">
        <v>1656427.85</v>
      </c>
      <c r="D13" s="1">
        <v>1603574.6</v>
      </c>
      <c r="E13" s="1">
        <v>1800100.33</v>
      </c>
      <c r="F13" s="1">
        <v>1013009.07</v>
      </c>
      <c r="G13" s="1">
        <v>1835923.36</v>
      </c>
      <c r="H13" s="1">
        <v>1630121.82</v>
      </c>
      <c r="I13" s="1">
        <v>1573931.52</v>
      </c>
      <c r="J13" s="1">
        <v>1648570.23</v>
      </c>
      <c r="K13" s="1">
        <f t="shared" si="0"/>
        <v>74638.709999999963</v>
      </c>
    </row>
    <row r="14" spans="1:11" x14ac:dyDescent="0.3">
      <c r="A14" t="s">
        <v>247</v>
      </c>
      <c r="B14" s="26" t="s">
        <v>261</v>
      </c>
      <c r="C14" s="1">
        <v>10634281.460000001</v>
      </c>
      <c r="D14" s="1">
        <v>11800601.619999999</v>
      </c>
      <c r="E14" s="1">
        <v>8534166.1400000006</v>
      </c>
      <c r="F14" s="1">
        <v>6151681.9100000001</v>
      </c>
      <c r="G14" s="1">
        <v>8616041.9600000009</v>
      </c>
      <c r="H14" s="1">
        <v>6913895.0899999999</v>
      </c>
      <c r="I14" s="1">
        <v>5039976.34</v>
      </c>
      <c r="J14" s="1">
        <v>5182705.05</v>
      </c>
      <c r="K14" s="1">
        <f t="shared" si="0"/>
        <v>142728.70999999996</v>
      </c>
    </row>
    <row r="15" spans="1:11" x14ac:dyDescent="0.3">
      <c r="A15" t="s">
        <v>248</v>
      </c>
      <c r="B15" s="26" t="s">
        <v>261</v>
      </c>
      <c r="C15" s="1">
        <v>52921131.799999997</v>
      </c>
      <c r="D15" s="1">
        <v>48933253.719999999</v>
      </c>
      <c r="E15" s="1">
        <v>49745130.740000002</v>
      </c>
      <c r="F15" s="1">
        <v>44481273.469999999</v>
      </c>
      <c r="G15" s="1">
        <v>41614974.93</v>
      </c>
      <c r="H15" s="1">
        <v>39206138.590000004</v>
      </c>
      <c r="I15" s="1">
        <v>44092377.799999997</v>
      </c>
      <c r="J15" s="1">
        <v>43022644.310000002</v>
      </c>
      <c r="K15" s="1">
        <f t="shared" si="0"/>
        <v>-1069733.4899999946</v>
      </c>
    </row>
    <row r="16" spans="1:11" x14ac:dyDescent="0.3">
      <c r="A16" t="s">
        <v>249</v>
      </c>
      <c r="B16" s="26" t="s">
        <v>261</v>
      </c>
      <c r="C16" s="1">
        <f>18322491.26+2277977.48</f>
        <v>20600468.740000002</v>
      </c>
      <c r="D16" s="1">
        <v>28703789.030000001</v>
      </c>
      <c r="E16" s="1">
        <v>28940696.920000002</v>
      </c>
      <c r="F16" s="1">
        <v>30196329.100000001</v>
      </c>
      <c r="G16" s="1">
        <v>30275922.870000001</v>
      </c>
      <c r="H16" s="1">
        <v>28393798.34</v>
      </c>
      <c r="I16" s="1">
        <v>24852671.559999999</v>
      </c>
      <c r="J16" s="1">
        <v>31847998.059999999</v>
      </c>
      <c r="K16" s="1">
        <f t="shared" si="0"/>
        <v>6995326.5</v>
      </c>
    </row>
    <row r="17" spans="1:12" x14ac:dyDescent="0.3">
      <c r="A17" t="s">
        <v>250</v>
      </c>
      <c r="B17" s="26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f t="shared" si="0"/>
        <v>0</v>
      </c>
    </row>
    <row r="18" spans="1:12" x14ac:dyDescent="0.3">
      <c r="A18" t="s">
        <v>251</v>
      </c>
      <c r="B18" s="26" t="s">
        <v>261</v>
      </c>
      <c r="C18" s="1">
        <v>1000000</v>
      </c>
      <c r="D18" s="1">
        <v>350000</v>
      </c>
      <c r="E18" s="1">
        <v>50000</v>
      </c>
      <c r="F18" s="1">
        <v>201859859.88</v>
      </c>
      <c r="G18" s="1">
        <v>300000</v>
      </c>
      <c r="H18" s="1">
        <v>150000</v>
      </c>
      <c r="I18" s="1">
        <v>0</v>
      </c>
      <c r="J18" s="1">
        <v>0</v>
      </c>
      <c r="K18" s="1">
        <f t="shared" si="0"/>
        <v>0</v>
      </c>
    </row>
    <row r="19" spans="1:12" x14ac:dyDescent="0.3">
      <c r="A19" t="s">
        <v>14</v>
      </c>
      <c r="B19" s="26" t="s">
        <v>261</v>
      </c>
      <c r="C19" s="1">
        <v>226059.75</v>
      </c>
      <c r="D19" s="1">
        <v>200000</v>
      </c>
      <c r="E19" s="1">
        <v>0</v>
      </c>
      <c r="F19" s="1">
        <v>0</v>
      </c>
      <c r="G19" s="1">
        <v>355466.18</v>
      </c>
      <c r="H19" s="1">
        <v>6433624.9800000004</v>
      </c>
      <c r="I19" s="1">
        <v>3922490.26</v>
      </c>
      <c r="J19" s="1">
        <v>1980491.31</v>
      </c>
      <c r="K19" s="1">
        <f t="shared" si="0"/>
        <v>-1941998.9499999997</v>
      </c>
    </row>
    <row r="20" spans="1:12" x14ac:dyDescent="0.3">
      <c r="A20" s="32" t="s">
        <v>252</v>
      </c>
      <c r="B20" s="33" t="s">
        <v>261</v>
      </c>
      <c r="C20" s="34">
        <v>7117493.8700000001</v>
      </c>
      <c r="D20" s="34">
        <v>6188763.5700000003</v>
      </c>
      <c r="E20" s="34">
        <v>6139712.4100000001</v>
      </c>
      <c r="F20" s="34">
        <v>0</v>
      </c>
      <c r="G20" s="34">
        <v>6157608.25</v>
      </c>
      <c r="H20" s="34">
        <v>8802242.7899999991</v>
      </c>
      <c r="I20" s="1">
        <v>6479178.7300000004</v>
      </c>
      <c r="J20" s="1">
        <v>6355200.8899999997</v>
      </c>
      <c r="K20" s="1">
        <f t="shared" si="0"/>
        <v>-123977.84000000078</v>
      </c>
    </row>
    <row r="21" spans="1:12" x14ac:dyDescent="0.3">
      <c r="A21" s="35" t="s">
        <v>265</v>
      </c>
      <c r="B21" s="36" t="s">
        <v>261</v>
      </c>
      <c r="C21" s="92">
        <f>SUM(C11:C20)</f>
        <v>187564684.94999999</v>
      </c>
      <c r="D21" s="92">
        <f t="shared" ref="D21:E21" si="4">SUM(D11:D20)</f>
        <v>191290179.47999999</v>
      </c>
      <c r="E21" s="92">
        <f t="shared" si="4"/>
        <v>191200688.34999999</v>
      </c>
      <c r="F21" s="92">
        <f t="shared" ref="F21:J21" si="5">SUM(F11:F20)</f>
        <v>336721448.06</v>
      </c>
      <c r="G21" s="92">
        <f t="shared" ref="G21:I21" si="6">SUM(G11:G20)</f>
        <v>183222332.27000001</v>
      </c>
      <c r="H21" s="92">
        <f t="shared" si="6"/>
        <v>184089151.28999999</v>
      </c>
      <c r="I21" s="92">
        <f t="shared" si="6"/>
        <v>192241234.23999998</v>
      </c>
      <c r="J21" s="92">
        <f t="shared" si="5"/>
        <v>189857029.42000002</v>
      </c>
      <c r="K21" s="11">
        <f t="shared" si="0"/>
        <v>-2384204.819999963</v>
      </c>
    </row>
    <row r="22" spans="1:12" x14ac:dyDescent="0.3">
      <c r="A22" t="s">
        <v>253</v>
      </c>
      <c r="B22" s="26" t="s">
        <v>260</v>
      </c>
      <c r="C22" s="1">
        <v>1332936.8400000001</v>
      </c>
      <c r="D22" s="1">
        <v>2057910.92</v>
      </c>
      <c r="E22" s="1">
        <v>2389489.5499999998</v>
      </c>
      <c r="F22" s="1">
        <v>1669187.29</v>
      </c>
      <c r="G22" s="1">
        <v>2214100.7000000002</v>
      </c>
      <c r="H22" s="1">
        <v>1087693.92</v>
      </c>
      <c r="I22" s="1">
        <v>7960663.6600000001</v>
      </c>
      <c r="J22" s="1">
        <v>1185069.6000000001</v>
      </c>
      <c r="K22" s="1">
        <f t="shared" si="0"/>
        <v>-6775594.0600000005</v>
      </c>
    </row>
    <row r="23" spans="1:12" x14ac:dyDescent="0.3">
      <c r="A23" t="s">
        <v>254</v>
      </c>
      <c r="B23" s="26" t="s">
        <v>261</v>
      </c>
      <c r="C23" s="1">
        <v>11450892.470000001</v>
      </c>
      <c r="D23" s="1">
        <v>11461042.98</v>
      </c>
      <c r="E23" s="1">
        <v>11494625.300000001</v>
      </c>
      <c r="F23" s="1">
        <v>11047819.289999999</v>
      </c>
      <c r="G23" s="1">
        <v>11695720.310000001</v>
      </c>
      <c r="H23" s="1">
        <v>12363359.779999999</v>
      </c>
      <c r="I23" s="1">
        <v>11048910.15</v>
      </c>
      <c r="J23" s="1">
        <v>11321643</v>
      </c>
      <c r="K23" s="1">
        <f t="shared" si="0"/>
        <v>272732.84999999963</v>
      </c>
    </row>
    <row r="24" spans="1:12" x14ac:dyDescent="0.3">
      <c r="A24" t="s">
        <v>255</v>
      </c>
      <c r="B24" s="26" t="s">
        <v>260</v>
      </c>
      <c r="C24" s="1">
        <v>0</v>
      </c>
      <c r="D24" s="1">
        <v>0</v>
      </c>
      <c r="E24" s="1">
        <v>3190908.97</v>
      </c>
      <c r="F24" s="1">
        <v>2626601.04</v>
      </c>
      <c r="G24" s="1">
        <v>0</v>
      </c>
      <c r="H24" s="1">
        <v>0</v>
      </c>
      <c r="I24" s="1">
        <v>-347338.39</v>
      </c>
      <c r="J24" s="1">
        <v>-2905194.7</v>
      </c>
      <c r="K24" s="1">
        <f t="shared" si="0"/>
        <v>-2557856.31</v>
      </c>
    </row>
    <row r="25" spans="1:12" x14ac:dyDescent="0.3">
      <c r="A25" t="s">
        <v>256</v>
      </c>
      <c r="B25" s="26" t="s">
        <v>260</v>
      </c>
      <c r="C25" s="1">
        <v>11058670.24</v>
      </c>
      <c r="D25" s="1">
        <v>6845530.7400000002</v>
      </c>
      <c r="E25" s="1">
        <v>25662578.140000001</v>
      </c>
      <c r="F25" s="1">
        <v>3294998.26</v>
      </c>
      <c r="G25" s="1">
        <v>10350001.289999999</v>
      </c>
      <c r="H25" s="1">
        <v>130157236.28</v>
      </c>
      <c r="I25" s="1">
        <v>41608568.219999999</v>
      </c>
      <c r="J25" s="1">
        <v>23404036.059999999</v>
      </c>
      <c r="K25" s="1">
        <f t="shared" si="0"/>
        <v>-18204532.16</v>
      </c>
    </row>
    <row r="26" spans="1:12" x14ac:dyDescent="0.3">
      <c r="A26" t="s">
        <v>257</v>
      </c>
      <c r="B26" s="26" t="s">
        <v>261</v>
      </c>
      <c r="C26" s="1">
        <v>19374623.559999999</v>
      </c>
      <c r="D26" s="1">
        <v>21496958.449999999</v>
      </c>
      <c r="E26" s="1">
        <v>64809005.240000002</v>
      </c>
      <c r="F26" s="1">
        <v>7682878.3499999996</v>
      </c>
      <c r="G26" s="1">
        <v>81045480.780000001</v>
      </c>
      <c r="H26" s="1">
        <v>72009809.25</v>
      </c>
      <c r="I26" s="1">
        <v>56718236.640000001</v>
      </c>
      <c r="J26" s="1">
        <v>43945156.700000003</v>
      </c>
      <c r="K26" s="1">
        <f t="shared" si="0"/>
        <v>-12773079.939999998</v>
      </c>
    </row>
    <row r="27" spans="1:12" x14ac:dyDescent="0.3">
      <c r="A27" t="s">
        <v>258</v>
      </c>
      <c r="B27" s="26" t="s">
        <v>261</v>
      </c>
      <c r="C27" s="1">
        <v>3019993.83</v>
      </c>
      <c r="D27" s="1">
        <v>2820637.32</v>
      </c>
      <c r="E27" s="1">
        <v>2827191.44</v>
      </c>
      <c r="F27" s="1">
        <v>2597105</v>
      </c>
      <c r="G27" s="1">
        <v>2399519.2400000002</v>
      </c>
      <c r="H27" s="1">
        <v>2295031.23</v>
      </c>
      <c r="I27" s="1">
        <v>2628288.9500000002</v>
      </c>
      <c r="J27" s="1">
        <v>2514225.15</v>
      </c>
      <c r="K27" s="1">
        <f t="shared" si="0"/>
        <v>-114063.80000000028</v>
      </c>
    </row>
    <row r="28" spans="1:12" x14ac:dyDescent="0.3">
      <c r="A28" s="10" t="s">
        <v>259</v>
      </c>
      <c r="B28" s="36" t="s">
        <v>262</v>
      </c>
      <c r="C28" s="37">
        <f>C10-C21+C22-C23+C24+C25-C26-C27</f>
        <v>-2188539.8699999731</v>
      </c>
      <c r="D28" s="37">
        <f t="shared" ref="D28:E28" si="7">D10-D21+D22-D23+D24+D25-D26-D27</f>
        <v>-10868138.029999966</v>
      </c>
      <c r="E28" s="37">
        <f t="shared" si="7"/>
        <v>-30006597.48</v>
      </c>
      <c r="F28" s="37">
        <f t="shared" ref="F28:J28" si="8">F10-F21+F22-F23+F24+F25-F26-F27</f>
        <v>-125941690.18000001</v>
      </c>
      <c r="G28" s="37">
        <f t="shared" ref="G28:I28" si="9">G10-G21+G22-G23+G24+G25-G26-G27</f>
        <v>-70972851.969999999</v>
      </c>
      <c r="H28" s="37">
        <f t="shared" si="9"/>
        <v>84356488.260000005</v>
      </c>
      <c r="I28" s="37">
        <f t="shared" si="9"/>
        <v>1239167.0000000251</v>
      </c>
      <c r="J28" s="37">
        <f t="shared" si="8"/>
        <v>-12066161.180000024</v>
      </c>
      <c r="K28" s="37">
        <f t="shared" si="0"/>
        <v>-13305328.180000048</v>
      </c>
    </row>
    <row r="29" spans="1:12" x14ac:dyDescent="0.3">
      <c r="A29" s="71" t="s">
        <v>364</v>
      </c>
      <c r="B29" s="110"/>
      <c r="C29" s="111">
        <f>C10-SUM(C11:C15)+C17</f>
        <v>48209385.270000041</v>
      </c>
      <c r="D29" s="111">
        <f t="shared" ref="D29:J29" si="10">D10-SUM(D11:D15)+D17</f>
        <v>51449611.660000026</v>
      </c>
      <c r="E29" s="111">
        <f t="shared" si="10"/>
        <v>53011657.169999987</v>
      </c>
      <c r="F29" s="111">
        <f t="shared" si="10"/>
        <v>119851514.84999998</v>
      </c>
      <c r="G29" s="111">
        <f t="shared" si="10"/>
        <v>48692763.670000017</v>
      </c>
      <c r="H29" s="111">
        <f t="shared" si="10"/>
        <v>83559424.429999977</v>
      </c>
      <c r="I29" s="111">
        <f t="shared" ref="I29" si="11">I10-SUM(I11:I15)+I17</f>
        <v>57667049.800000012</v>
      </c>
      <c r="J29" s="111">
        <f t="shared" si="10"/>
        <v>64214642.969999969</v>
      </c>
      <c r="K29" s="111">
        <f t="shared" si="0"/>
        <v>6547593.1699999571</v>
      </c>
      <c r="L29" s="111"/>
    </row>
  </sheetData>
  <conditionalFormatting sqref="C28:F28 J28:K28">
    <cfRule type="cellIs" dxfId="94" priority="21" operator="greaterThan">
      <formula>0</formula>
    </cfRule>
  </conditionalFormatting>
  <conditionalFormatting sqref="G28">
    <cfRule type="cellIs" dxfId="93" priority="11" operator="greaterThan">
      <formula>0</formula>
    </cfRule>
  </conditionalFormatting>
  <conditionalFormatting sqref="H28">
    <cfRule type="cellIs" dxfId="92" priority="10" operator="greaterThan">
      <formula>0</formula>
    </cfRule>
  </conditionalFormatting>
  <conditionalFormatting sqref="C29:H29 J29:L29">
    <cfRule type="cellIs" dxfId="91" priority="9" operator="greaterThan">
      <formula>0</formula>
    </cfRule>
  </conditionalFormatting>
  <conditionalFormatting sqref="C29:H29 J29:K29">
    <cfRule type="cellIs" dxfId="90" priority="8" operator="greaterThan">
      <formula>0</formula>
    </cfRule>
  </conditionalFormatting>
  <conditionalFormatting sqref="C29:H29 J29:K29">
    <cfRule type="cellIs" dxfId="89" priority="7" operator="greaterThan">
      <formula>0</formula>
    </cfRule>
  </conditionalFormatting>
  <conditionalFormatting sqref="C29:H29 J29:K29">
    <cfRule type="cellIs" dxfId="88" priority="6" operator="greaterThan">
      <formula>0</formula>
    </cfRule>
  </conditionalFormatting>
  <conditionalFormatting sqref="I28">
    <cfRule type="cellIs" dxfId="87" priority="5" operator="greaterThan">
      <formula>0</formula>
    </cfRule>
  </conditionalFormatting>
  <conditionalFormatting sqref="I29">
    <cfRule type="cellIs" dxfId="86" priority="4" operator="greaterThan">
      <formula>0</formula>
    </cfRule>
  </conditionalFormatting>
  <conditionalFormatting sqref="I29">
    <cfRule type="cellIs" dxfId="85" priority="3" operator="greaterThan">
      <formula>0</formula>
    </cfRule>
  </conditionalFormatting>
  <conditionalFormatting sqref="I29">
    <cfRule type="cellIs" dxfId="84" priority="2" operator="greaterThan">
      <formula>0</formula>
    </cfRule>
  </conditionalFormatting>
  <conditionalFormatting sqref="I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L26" sqref="L26"/>
    </sheetView>
  </sheetViews>
  <sheetFormatPr defaultRowHeight="14.4" x14ac:dyDescent="0.3"/>
  <cols>
    <col min="1" max="1" width="32.5546875" bestFit="1" customWidth="1"/>
    <col min="2" max="4" width="11.5546875" bestFit="1" customWidth="1"/>
    <col min="5" max="5" width="12.21875" bestFit="1" customWidth="1"/>
    <col min="6" max="9" width="11.5546875" bestFit="1" customWidth="1"/>
    <col min="10" max="10" width="12.21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</row>
    <row r="2" spans="1:11" x14ac:dyDescent="0.3">
      <c r="A2" s="70" t="s">
        <v>346</v>
      </c>
      <c r="B2" s="64">
        <f>Conto_economico!C10</f>
        <v>206830047.86000001</v>
      </c>
      <c r="C2" s="64">
        <f>Conto_economico!D10</f>
        <v>207297238.54000002</v>
      </c>
      <c r="D2" s="64">
        <f>Conto_economico!E10</f>
        <v>209081936.19</v>
      </c>
      <c r="E2" s="64">
        <f>Conto_economico!F10</f>
        <v>224516773.92999998</v>
      </c>
      <c r="F2" s="64">
        <f>Conto_economico!G10</f>
        <v>194826098.64000002</v>
      </c>
      <c r="G2" s="64">
        <f>Conto_economico!H10</f>
        <v>223868909.60999998</v>
      </c>
      <c r="H2" s="64">
        <f>Conto_economico!I10</f>
        <v>214653943.49000001</v>
      </c>
      <c r="I2" s="64">
        <f>Conto_economico!J10</f>
        <v>213887982.13</v>
      </c>
      <c r="J2" s="64">
        <f t="shared" ref="J2:J16" si="0">I2-H2</f>
        <v>-765961.36000001431</v>
      </c>
    </row>
    <row r="3" spans="1:11" x14ac:dyDescent="0.3">
      <c r="A3" s="70" t="s">
        <v>341</v>
      </c>
      <c r="B3" s="64">
        <f>Conto_economico!C2</f>
        <v>110665629.48</v>
      </c>
      <c r="C3" s="64">
        <f>Conto_economico!D2</f>
        <v>102428723.09</v>
      </c>
      <c r="D3" s="64">
        <f>Conto_economico!E2</f>
        <v>102585246.31</v>
      </c>
      <c r="E3" s="64">
        <f>Conto_economico!F2</f>
        <v>104614497.98999999</v>
      </c>
      <c r="F3" s="64">
        <f>Conto_economico!G2</f>
        <v>93868456.150000006</v>
      </c>
      <c r="G3" s="64">
        <f>Conto_economico!H2</f>
        <v>91017643.310000002</v>
      </c>
      <c r="H3" s="64">
        <f>Conto_economico!I2</f>
        <v>99659083.730000004</v>
      </c>
      <c r="I3" s="64">
        <f>Conto_economico!J2</f>
        <v>105381537.34999999</v>
      </c>
      <c r="J3" s="64">
        <f t="shared" si="0"/>
        <v>5722453.6199999899</v>
      </c>
    </row>
    <row r="4" spans="1:11" x14ac:dyDescent="0.3">
      <c r="A4" s="70" t="s">
        <v>342</v>
      </c>
      <c r="B4" s="64">
        <f>Conto_economico!C4</f>
        <v>26941229.609999999</v>
      </c>
      <c r="C4" s="64">
        <f>Conto_economico!D4</f>
        <v>35608974.630000003</v>
      </c>
      <c r="D4" s="64">
        <f>Conto_economico!E4</f>
        <v>38665856.869999997</v>
      </c>
      <c r="E4" s="64">
        <f>Conto_economico!F4</f>
        <v>52323554.030000001</v>
      </c>
      <c r="F4" s="64">
        <f>Conto_economico!G4</f>
        <v>40864407.299999997</v>
      </c>
      <c r="G4" s="64">
        <f>Conto_economico!H4</f>
        <v>67678467.049999997</v>
      </c>
      <c r="H4" s="64">
        <f>Conto_economico!I4</f>
        <v>34149094.409999996</v>
      </c>
      <c r="I4" s="64">
        <f>Conto_economico!J4</f>
        <v>31952291.280000001</v>
      </c>
      <c r="J4" s="64">
        <f t="shared" si="0"/>
        <v>-2196803.1299999952</v>
      </c>
    </row>
    <row r="5" spans="1:11" x14ac:dyDescent="0.3">
      <c r="A5" s="70" t="s">
        <v>347</v>
      </c>
      <c r="B5" s="65">
        <f>Conto_economico!C21</f>
        <v>187564684.94999999</v>
      </c>
      <c r="C5" s="65">
        <f>Conto_economico!D21</f>
        <v>191290179.47999999</v>
      </c>
      <c r="D5" s="65">
        <f>Conto_economico!E21</f>
        <v>191200688.34999999</v>
      </c>
      <c r="E5" s="65">
        <f>Conto_economico!F21</f>
        <v>336721448.06</v>
      </c>
      <c r="F5" s="65">
        <f>Conto_economico!G21</f>
        <v>183222332.27000001</v>
      </c>
      <c r="G5" s="65">
        <f>Conto_economico!H21</f>
        <v>184089151.28999999</v>
      </c>
      <c r="H5" s="65">
        <f>Conto_economico!I21</f>
        <v>192241234.23999998</v>
      </c>
      <c r="I5" s="65">
        <f>Conto_economico!J21</f>
        <v>189857029.42000002</v>
      </c>
      <c r="J5" s="64">
        <f t="shared" si="0"/>
        <v>-2384204.819999963</v>
      </c>
    </row>
    <row r="6" spans="1:11" x14ac:dyDescent="0.3">
      <c r="A6" s="70" t="s">
        <v>343</v>
      </c>
      <c r="B6" s="64">
        <f>Conto_economico!C12</f>
        <v>91787155.030000001</v>
      </c>
      <c r="C6" s="64">
        <f>Conto_economico!D12</f>
        <v>92272267.530000001</v>
      </c>
      <c r="D6" s="64">
        <f>Conto_economico!E12</f>
        <v>94851852.390000001</v>
      </c>
      <c r="E6" s="64">
        <f>Conto_economico!F12</f>
        <v>52503771.810000002</v>
      </c>
      <c r="F6" s="64">
        <f>Conto_economico!G12</f>
        <v>93298564.420000002</v>
      </c>
      <c r="G6" s="64">
        <f>Conto_economico!H12</f>
        <v>91965641.010000005</v>
      </c>
      <c r="H6" s="64">
        <f>Conto_economico!I12</f>
        <v>105351223.2</v>
      </c>
      <c r="I6" s="64">
        <f>Conto_economico!J12</f>
        <v>99073412.780000001</v>
      </c>
      <c r="J6" s="64">
        <f t="shared" si="0"/>
        <v>-6277810.4200000018</v>
      </c>
    </row>
    <row r="7" spans="1:11" x14ac:dyDescent="0.3">
      <c r="A7" s="70" t="s">
        <v>344</v>
      </c>
      <c r="B7" s="64">
        <f>Conto_economico!C15</f>
        <v>52921131.799999997</v>
      </c>
      <c r="C7" s="64">
        <f>Conto_economico!D15</f>
        <v>48933253.719999999</v>
      </c>
      <c r="D7" s="64">
        <f>Conto_economico!E15</f>
        <v>49745130.740000002</v>
      </c>
      <c r="E7" s="64">
        <f>Conto_economico!F15</f>
        <v>44481273.469999999</v>
      </c>
      <c r="F7" s="64">
        <f>Conto_economico!G15</f>
        <v>41614974.93</v>
      </c>
      <c r="G7" s="64">
        <f>Conto_economico!H15</f>
        <v>39206138.590000004</v>
      </c>
      <c r="H7" s="64">
        <f>Conto_economico!I15</f>
        <v>44092377.799999997</v>
      </c>
      <c r="I7" s="64">
        <f>Conto_economico!J15</f>
        <v>43022644.310000002</v>
      </c>
      <c r="J7" s="64">
        <f t="shared" si="0"/>
        <v>-1069733.4899999946</v>
      </c>
    </row>
    <row r="8" spans="1:11" x14ac:dyDescent="0.3">
      <c r="A8" s="70" t="s">
        <v>345</v>
      </c>
      <c r="B8" s="64">
        <f>Conto_economico!C16</f>
        <v>20600468.740000002</v>
      </c>
      <c r="C8" s="64">
        <f>Conto_economico!D16</f>
        <v>28703789.030000001</v>
      </c>
      <c r="D8" s="64">
        <f>Conto_economico!E16</f>
        <v>28940696.920000002</v>
      </c>
      <c r="E8" s="64">
        <f>Conto_economico!F16</f>
        <v>30196329.100000001</v>
      </c>
      <c r="F8" s="64">
        <f>Conto_economico!G16</f>
        <v>30275922.870000001</v>
      </c>
      <c r="G8" s="64">
        <f>Conto_economico!H16</f>
        <v>28393798.34</v>
      </c>
      <c r="H8" s="64">
        <f>Conto_economico!I16</f>
        <v>24852671.559999999</v>
      </c>
      <c r="I8" s="64">
        <f>Conto_economico!J16</f>
        <v>31847998.059999999</v>
      </c>
      <c r="J8" s="64">
        <f t="shared" si="0"/>
        <v>6995326.5</v>
      </c>
    </row>
    <row r="9" spans="1:11" x14ac:dyDescent="0.3">
      <c r="A9" s="47" t="s">
        <v>364</v>
      </c>
      <c r="B9" s="66">
        <f>Conto_economico!C29</f>
        <v>48209385.270000041</v>
      </c>
      <c r="C9" s="66">
        <f>Conto_economico!D29</f>
        <v>51449611.660000026</v>
      </c>
      <c r="D9" s="66">
        <f>Conto_economico!E29</f>
        <v>53011657.169999987</v>
      </c>
      <c r="E9" s="66">
        <f>Conto_economico!F29</f>
        <v>119851514.84999998</v>
      </c>
      <c r="F9" s="66">
        <f>Conto_economico!G29</f>
        <v>48692763.670000017</v>
      </c>
      <c r="G9" s="66">
        <f>Conto_economico!H29</f>
        <v>83559424.429999977</v>
      </c>
      <c r="H9" s="66">
        <f>Conto_economico!I29</f>
        <v>57667049.800000012</v>
      </c>
      <c r="I9" s="66">
        <f>Conto_economico!J29</f>
        <v>64214642.969999969</v>
      </c>
      <c r="J9" s="66">
        <f t="shared" si="0"/>
        <v>6547593.1699999571</v>
      </c>
      <c r="K9" s="66"/>
    </row>
    <row r="10" spans="1:11" x14ac:dyDescent="0.3">
      <c r="A10" s="47" t="s">
        <v>307</v>
      </c>
      <c r="B10" s="66">
        <f t="shared" ref="B10:D10" si="1">B2-B5</f>
        <v>19265362.910000026</v>
      </c>
      <c r="C10" s="66">
        <f t="shared" si="1"/>
        <v>16007059.060000032</v>
      </c>
      <c r="D10" s="66">
        <f t="shared" si="1"/>
        <v>17881247.840000004</v>
      </c>
      <c r="E10" s="66">
        <f t="shared" ref="E10:I10" si="2">E2-E5</f>
        <v>-112204674.13000003</v>
      </c>
      <c r="F10" s="66">
        <f t="shared" ref="F10:H10" si="3">F2-F5</f>
        <v>11603766.370000005</v>
      </c>
      <c r="G10" s="66">
        <f t="shared" si="3"/>
        <v>39779758.319999993</v>
      </c>
      <c r="H10" s="66">
        <f t="shared" si="3"/>
        <v>22412709.25000003</v>
      </c>
      <c r="I10" s="66">
        <f t="shared" si="2"/>
        <v>24030952.709999979</v>
      </c>
      <c r="J10" s="66">
        <f t="shared" si="0"/>
        <v>1618243.4599999487</v>
      </c>
    </row>
    <row r="11" spans="1:11" x14ac:dyDescent="0.3">
      <c r="A11" s="70" t="s">
        <v>308</v>
      </c>
      <c r="B11" s="64">
        <f>Conto_economico!C22-Conto_economico!C23</f>
        <v>-10117955.630000001</v>
      </c>
      <c r="C11" s="64">
        <f>Conto_economico!D22-Conto_economico!D23</f>
        <v>-9403132.0600000005</v>
      </c>
      <c r="D11" s="64">
        <f>Conto_economico!E22-Conto_economico!E23</f>
        <v>-9105135.75</v>
      </c>
      <c r="E11" s="64">
        <f>Conto_economico!F22-Conto_economico!F23</f>
        <v>-9378632</v>
      </c>
      <c r="F11" s="64">
        <f>Conto_economico!G22-Conto_economico!G23</f>
        <v>-9481619.6099999994</v>
      </c>
      <c r="G11" s="64">
        <f>Conto_economico!H22-Conto_economico!H23</f>
        <v>-11275665.859999999</v>
      </c>
      <c r="H11" s="64">
        <f>Conto_economico!I22-Conto_economico!I23</f>
        <v>-3088246.49</v>
      </c>
      <c r="I11" s="64">
        <f>Conto_economico!J22-Conto_economico!J23</f>
        <v>-10136573.4</v>
      </c>
      <c r="J11" s="64">
        <f t="shared" si="0"/>
        <v>-7048326.9100000001</v>
      </c>
    </row>
    <row r="12" spans="1:11" x14ac:dyDescent="0.3">
      <c r="A12" s="70" t="s">
        <v>309</v>
      </c>
      <c r="B12" s="65">
        <f>Conto_economico!C25-Conto_economico!C26</f>
        <v>-8315953.3199999984</v>
      </c>
      <c r="C12" s="65">
        <f>Conto_economico!D25-Conto_economico!D26</f>
        <v>-14651427.709999999</v>
      </c>
      <c r="D12" s="65">
        <f>Conto_economico!E25-Conto_economico!E26</f>
        <v>-39146427.100000001</v>
      </c>
      <c r="E12" s="65">
        <f>Conto_economico!F25-Conto_economico!F26</f>
        <v>-4387880.09</v>
      </c>
      <c r="F12" s="65">
        <f>Conto_economico!G25-Conto_economico!G26</f>
        <v>-70695479.49000001</v>
      </c>
      <c r="G12" s="65">
        <f>Conto_economico!H25-Conto_economico!H26</f>
        <v>58147427.030000001</v>
      </c>
      <c r="H12" s="65">
        <f>Conto_economico!I25-Conto_economico!I26</f>
        <v>-15109668.420000002</v>
      </c>
      <c r="I12" s="65">
        <f>Conto_economico!J25-Conto_economico!J26</f>
        <v>-20541120.640000004</v>
      </c>
      <c r="J12" s="64">
        <f t="shared" si="0"/>
        <v>-5431452.2200000025</v>
      </c>
    </row>
    <row r="13" spans="1:11" x14ac:dyDescent="0.3">
      <c r="A13" s="70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3190908.97</v>
      </c>
      <c r="E13" s="65">
        <f>Conto_economico!F24</f>
        <v>2626601.04</v>
      </c>
      <c r="F13" s="65">
        <f>Conto_economico!G24</f>
        <v>0</v>
      </c>
      <c r="G13" s="65">
        <f>Conto_economico!H24</f>
        <v>0</v>
      </c>
      <c r="H13" s="65">
        <f>Conto_economico!I24</f>
        <v>-347338.39</v>
      </c>
      <c r="I13" s="65">
        <f>Conto_economico!J24</f>
        <v>-2905194.7</v>
      </c>
      <c r="J13" s="64">
        <f t="shared" si="0"/>
        <v>-2557856.31</v>
      </c>
    </row>
    <row r="14" spans="1:11" x14ac:dyDescent="0.3">
      <c r="A14" s="47" t="s">
        <v>310</v>
      </c>
      <c r="B14" s="66">
        <f t="shared" ref="B14:D14" si="4">SUM(B10:B13)</f>
        <v>831453.96000002697</v>
      </c>
      <c r="C14" s="66">
        <f t="shared" si="4"/>
        <v>-8047500.7099999674</v>
      </c>
      <c r="D14" s="66">
        <f t="shared" si="4"/>
        <v>-27179406.039999999</v>
      </c>
      <c r="E14" s="66">
        <f t="shared" ref="E14:I14" si="5">SUM(E10:E13)</f>
        <v>-123344585.18000002</v>
      </c>
      <c r="F14" s="66">
        <f t="shared" ref="F14:H14" si="6">SUM(F10:F13)</f>
        <v>-68573332.730000004</v>
      </c>
      <c r="G14" s="66">
        <f t="shared" si="6"/>
        <v>86651519.489999995</v>
      </c>
      <c r="H14" s="66">
        <f t="shared" si="6"/>
        <v>3867455.9500000258</v>
      </c>
      <c r="I14" s="66">
        <f t="shared" si="5"/>
        <v>-9551936.0300000273</v>
      </c>
      <c r="J14" s="66">
        <f t="shared" si="0"/>
        <v>-13419391.980000053</v>
      </c>
    </row>
    <row r="15" spans="1:11" x14ac:dyDescent="0.3">
      <c r="A15" s="70" t="s">
        <v>258</v>
      </c>
      <c r="B15" s="64">
        <f>Conto_economico!C27</f>
        <v>3019993.83</v>
      </c>
      <c r="C15" s="64">
        <f>Conto_economico!D27</f>
        <v>2820637.32</v>
      </c>
      <c r="D15" s="64">
        <f>Conto_economico!E27</f>
        <v>2827191.44</v>
      </c>
      <c r="E15" s="64">
        <f>Conto_economico!F27</f>
        <v>2597105</v>
      </c>
      <c r="F15" s="64">
        <f>Conto_economico!G27</f>
        <v>2399519.2400000002</v>
      </c>
      <c r="G15" s="64">
        <f>Conto_economico!H27</f>
        <v>2295031.23</v>
      </c>
      <c r="H15" s="64">
        <f>Conto_economico!I27</f>
        <v>2628288.9500000002</v>
      </c>
      <c r="I15" s="64">
        <f>Conto_economico!J27</f>
        <v>2514225.15</v>
      </c>
      <c r="J15" s="64">
        <f t="shared" si="0"/>
        <v>-114063.80000000028</v>
      </c>
    </row>
    <row r="16" spans="1:11" x14ac:dyDescent="0.3">
      <c r="A16" s="69" t="s">
        <v>259</v>
      </c>
      <c r="B16" s="67">
        <f t="shared" ref="B16:D16" si="7">B14-B15</f>
        <v>-2188539.8699999731</v>
      </c>
      <c r="C16" s="67">
        <f t="shared" si="7"/>
        <v>-10868138.029999968</v>
      </c>
      <c r="D16" s="67">
        <f t="shared" si="7"/>
        <v>-30006597.48</v>
      </c>
      <c r="E16" s="67">
        <f t="shared" ref="E16:I16" si="8">E14-E15</f>
        <v>-125941690.18000002</v>
      </c>
      <c r="F16" s="67">
        <f t="shared" ref="F16:H16" si="9">F14-F15</f>
        <v>-70972851.969999999</v>
      </c>
      <c r="G16" s="67">
        <f t="shared" si="9"/>
        <v>84356488.25999999</v>
      </c>
      <c r="H16" s="67">
        <f t="shared" si="9"/>
        <v>1239167.0000000256</v>
      </c>
      <c r="I16" s="67">
        <f t="shared" si="8"/>
        <v>-12066161.180000028</v>
      </c>
      <c r="J16" s="67">
        <f t="shared" si="0"/>
        <v>-13305328.180000054</v>
      </c>
    </row>
  </sheetData>
  <conditionalFormatting sqref="B16:E16 I16:J16">
    <cfRule type="cellIs" dxfId="82" priority="17" operator="greaterThan">
      <formula>0</formula>
    </cfRule>
  </conditionalFormatting>
  <conditionalFormatting sqref="B10:E10 B14:E14 I14:J14 I10:J10 J9">
    <cfRule type="cellIs" dxfId="81" priority="16" operator="lessThan">
      <formula>0</formula>
    </cfRule>
  </conditionalFormatting>
  <conditionalFormatting sqref="F16">
    <cfRule type="cellIs" dxfId="80" priority="8" operator="greaterThan">
      <formula>0</formula>
    </cfRule>
  </conditionalFormatting>
  <conditionalFormatting sqref="F14 F10">
    <cfRule type="cellIs" dxfId="79" priority="7" operator="lessThan">
      <formula>0</formula>
    </cfRule>
  </conditionalFormatting>
  <conditionalFormatting sqref="G16">
    <cfRule type="cellIs" dxfId="78" priority="6" operator="greaterThan">
      <formula>0</formula>
    </cfRule>
  </conditionalFormatting>
  <conditionalFormatting sqref="G14 G10">
    <cfRule type="cellIs" dxfId="77" priority="5" operator="lessThan">
      <formula>0</formula>
    </cfRule>
  </conditionalFormatting>
  <conditionalFormatting sqref="B9:G9 K9 I9">
    <cfRule type="cellIs" dxfId="76" priority="4" operator="lessThan">
      <formula>0</formula>
    </cfRule>
  </conditionalFormatting>
  <conditionalFormatting sqref="H16">
    <cfRule type="cellIs" dxfId="75" priority="3" operator="greaterThan">
      <formula>0</formula>
    </cfRule>
  </conditionalFormatting>
  <conditionalFormatting sqref="H14 H10">
    <cfRule type="cellIs" dxfId="74" priority="2" operator="lessThan">
      <formula>0</formula>
    </cfRule>
  </conditionalFormatting>
  <conditionalFormatting sqref="H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I2" sqref="I2:I28"/>
    </sheetView>
  </sheetViews>
  <sheetFormatPr defaultRowHeight="14.4" x14ac:dyDescent="0.3"/>
  <cols>
    <col min="1" max="1" width="51.6640625" style="32" bestFit="1" customWidth="1"/>
    <col min="2" max="9" width="13.88671875" bestFit="1" customWidth="1"/>
    <col min="10" max="11" width="12.6640625" bestFit="1" customWidth="1"/>
  </cols>
  <sheetData>
    <row r="1" spans="1:9" x14ac:dyDescent="0.3">
      <c r="A1" s="72"/>
      <c r="B1" s="94">
        <v>2016</v>
      </c>
      <c r="C1" s="94">
        <v>2017</v>
      </c>
      <c r="D1" s="94">
        <v>2018</v>
      </c>
      <c r="E1" s="94">
        <v>2019</v>
      </c>
      <c r="F1" s="94">
        <v>2020</v>
      </c>
      <c r="G1" s="94">
        <v>2021</v>
      </c>
      <c r="H1" s="94">
        <v>2022</v>
      </c>
      <c r="I1" s="94">
        <v>2023</v>
      </c>
    </row>
    <row r="2" spans="1:9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3">
      <c r="A3" s="32" t="s">
        <v>213</v>
      </c>
      <c r="B3" s="1">
        <v>0</v>
      </c>
      <c r="C3" s="1">
        <v>2529283.9700000002</v>
      </c>
      <c r="D3" s="1">
        <v>1390069.6</v>
      </c>
      <c r="E3" s="1">
        <v>446741.71</v>
      </c>
      <c r="F3" s="1">
        <v>446741.71</v>
      </c>
      <c r="G3" s="1">
        <v>446741.71</v>
      </c>
      <c r="H3" s="1">
        <v>357393.38</v>
      </c>
      <c r="I3" s="1">
        <v>285914.7</v>
      </c>
    </row>
    <row r="4" spans="1:9" x14ac:dyDescent="0.3">
      <c r="A4" s="32" t="s">
        <v>214</v>
      </c>
      <c r="B4" s="1">
        <v>947771617.45000005</v>
      </c>
      <c r="C4" s="1">
        <v>987016437.30999994</v>
      </c>
      <c r="D4" s="1">
        <v>996534377.73000002</v>
      </c>
      <c r="E4" s="1">
        <v>982197087.33000004</v>
      </c>
      <c r="F4" s="1">
        <v>1034739474.8200001</v>
      </c>
      <c r="G4" s="1">
        <v>1021046786.79</v>
      </c>
      <c r="H4" s="1">
        <v>1035301791.63</v>
      </c>
      <c r="I4" s="1">
        <v>1049401343.0700001</v>
      </c>
    </row>
    <row r="5" spans="1:9" x14ac:dyDescent="0.3">
      <c r="A5" s="32" t="s">
        <v>228</v>
      </c>
      <c r="B5" s="1">
        <f>37780993.81+3735979.55</f>
        <v>41516973.359999999</v>
      </c>
      <c r="C5" s="1">
        <v>48564853.780000001</v>
      </c>
      <c r="D5" s="1">
        <v>51755762.75</v>
      </c>
      <c r="E5" s="1">
        <v>54382363.789999999</v>
      </c>
      <c r="F5" s="1">
        <v>56613840.759999998</v>
      </c>
      <c r="G5" s="1">
        <v>60183427.289999999</v>
      </c>
      <c r="H5" s="1">
        <v>59833708.689999998</v>
      </c>
      <c r="I5" s="1">
        <v>56895893.990000002</v>
      </c>
    </row>
    <row r="6" spans="1:9" x14ac:dyDescent="0.3">
      <c r="A6" s="32" t="s">
        <v>229</v>
      </c>
      <c r="B6" s="1">
        <v>0</v>
      </c>
      <c r="C6" s="1">
        <v>0</v>
      </c>
      <c r="D6" s="1">
        <v>0</v>
      </c>
      <c r="E6" s="1">
        <v>0</v>
      </c>
      <c r="F6" s="1">
        <v>90014.43</v>
      </c>
      <c r="G6" s="1">
        <v>34245355.649999999</v>
      </c>
      <c r="H6" s="1">
        <v>36421647.670000002</v>
      </c>
      <c r="I6" s="1">
        <v>35336160.539999999</v>
      </c>
    </row>
    <row r="7" spans="1:9" x14ac:dyDescent="0.3">
      <c r="A7" s="32" t="s">
        <v>230</v>
      </c>
      <c r="B7" s="1">
        <v>25680.89</v>
      </c>
      <c r="C7" s="1">
        <v>25680.89</v>
      </c>
      <c r="D7" s="1">
        <v>25680.89</v>
      </c>
      <c r="E7" s="1">
        <v>25680.89</v>
      </c>
      <c r="F7" s="1">
        <v>25680.89</v>
      </c>
      <c r="G7" s="1">
        <v>25680.89</v>
      </c>
      <c r="H7" s="1">
        <v>28061.1</v>
      </c>
      <c r="I7" s="1">
        <v>28061.1</v>
      </c>
    </row>
    <row r="8" spans="1:9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3">
      <c r="A9" s="32" t="s">
        <v>215</v>
      </c>
      <c r="B9" s="1">
        <v>287183918.50999999</v>
      </c>
      <c r="C9" s="1">
        <v>293135171.39999998</v>
      </c>
      <c r="D9" s="1">
        <v>286412502.04000002</v>
      </c>
      <c r="E9" s="1">
        <v>461814220.20999998</v>
      </c>
      <c r="F9" s="1">
        <v>266077631.75999999</v>
      </c>
      <c r="G9" s="1">
        <v>264592449.78</v>
      </c>
      <c r="H9" s="1">
        <v>247482376.56</v>
      </c>
      <c r="I9" s="1">
        <v>272861548.44999999</v>
      </c>
    </row>
    <row r="10" spans="1:9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s="32" t="s">
        <v>216</v>
      </c>
      <c r="B11" s="1">
        <v>23765838.449999999</v>
      </c>
      <c r="C11" s="1">
        <v>17646498.559999999</v>
      </c>
      <c r="D11" s="1">
        <v>16544763.01</v>
      </c>
      <c r="E11" s="1">
        <v>1694791.57</v>
      </c>
      <c r="F11" s="1">
        <v>849791.16</v>
      </c>
      <c r="G11" s="1">
        <v>6451907.21</v>
      </c>
      <c r="H11" s="1">
        <v>1946991.27</v>
      </c>
      <c r="I11" s="1">
        <v>13648568.27</v>
      </c>
    </row>
    <row r="12" spans="1:9" x14ac:dyDescent="0.3">
      <c r="A12" s="32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144985.76</v>
      </c>
      <c r="H12" s="1">
        <v>65811.67</v>
      </c>
      <c r="I12" s="1">
        <v>53770.9</v>
      </c>
    </row>
    <row r="13" spans="1:9" x14ac:dyDescent="0.3">
      <c r="A13" s="10" t="s">
        <v>218</v>
      </c>
      <c r="B13" s="11">
        <f t="shared" ref="B13:D13" si="0">SUM(B2:B12)</f>
        <v>1300264028.6600001</v>
      </c>
      <c r="C13" s="11">
        <f t="shared" si="0"/>
        <v>1348917925.9099998</v>
      </c>
      <c r="D13" s="11">
        <f t="shared" si="0"/>
        <v>1352663156.02</v>
      </c>
      <c r="E13" s="11">
        <f t="shared" ref="E13:I13" si="1">SUM(E2:E12)</f>
        <v>1500560885.5</v>
      </c>
      <c r="F13" s="11">
        <f t="shared" ref="F13:H13" si="2">SUM(F2:F12)</f>
        <v>1358843175.5300004</v>
      </c>
      <c r="G13" s="11">
        <f t="shared" si="2"/>
        <v>1387137335.0800002</v>
      </c>
      <c r="H13" s="11">
        <f t="shared" si="2"/>
        <v>1381437781.97</v>
      </c>
      <c r="I13" s="11">
        <f t="shared" si="1"/>
        <v>1428511261.02</v>
      </c>
    </row>
    <row r="14" spans="1:9" x14ac:dyDescent="0.3">
      <c r="A14" s="32" t="s">
        <v>219</v>
      </c>
      <c r="B14" s="1">
        <v>282361068.47000003</v>
      </c>
      <c r="C14" s="1">
        <v>282361068.47000003</v>
      </c>
      <c r="D14" s="1">
        <v>282361068.47000003</v>
      </c>
      <c r="E14" s="1">
        <v>282361068.47000003</v>
      </c>
      <c r="F14" s="1">
        <v>282361068.47000003</v>
      </c>
      <c r="G14" s="1">
        <v>282361068.47000003</v>
      </c>
      <c r="H14" s="1">
        <v>282361068.39999998</v>
      </c>
      <c r="I14" s="1">
        <v>282361068.47000003</v>
      </c>
    </row>
    <row r="15" spans="1:9" x14ac:dyDescent="0.3">
      <c r="A15" s="32" t="s">
        <v>220</v>
      </c>
      <c r="B15" s="1">
        <v>20994574.629999999</v>
      </c>
      <c r="C15" s="1">
        <v>324388419.81</v>
      </c>
      <c r="D15" s="1">
        <v>313520281.77999997</v>
      </c>
      <c r="E15" s="1">
        <v>306324030.13</v>
      </c>
      <c r="F15" s="1">
        <v>193779193.22</v>
      </c>
      <c r="G15" s="1">
        <v>306289772.60000002</v>
      </c>
      <c r="H15" s="1">
        <v>307318822.44</v>
      </c>
      <c r="I15" s="1">
        <v>307318822.47000003</v>
      </c>
    </row>
    <row r="16" spans="1:9" x14ac:dyDescent="0.3">
      <c r="A16" s="32" t="s">
        <v>235</v>
      </c>
      <c r="B16" s="1">
        <v>20994574.629999999</v>
      </c>
      <c r="C16" s="1">
        <v>22350123.800000001</v>
      </c>
      <c r="D16" s="1">
        <v>24644286.149999999</v>
      </c>
      <c r="E16" s="1">
        <v>25989288.260000002</v>
      </c>
      <c r="F16" s="1">
        <v>1165376.3</v>
      </c>
      <c r="G16" s="1">
        <v>2576581.21</v>
      </c>
      <c r="H16" s="1">
        <v>3605631.08</v>
      </c>
      <c r="I16" s="1">
        <v>3605631.08</v>
      </c>
    </row>
    <row r="17" spans="1:11" x14ac:dyDescent="0.3">
      <c r="A17" s="32" t="s">
        <v>221</v>
      </c>
      <c r="B17" s="1">
        <v>-2188539.87</v>
      </c>
      <c r="C17" s="1">
        <v>-10868138.029999999</v>
      </c>
      <c r="D17" s="1">
        <v>-30006597.48</v>
      </c>
      <c r="E17" s="1">
        <v>-115941690.18000001</v>
      </c>
      <c r="F17" s="1">
        <v>-70972851.969999999</v>
      </c>
      <c r="G17" s="1">
        <v>84356488.260000005</v>
      </c>
      <c r="H17" s="1">
        <v>1239166.92</v>
      </c>
      <c r="I17" s="1">
        <v>-12066161.18</v>
      </c>
    </row>
    <row r="18" spans="1:11" x14ac:dyDescent="0.3">
      <c r="A18" s="32" t="s">
        <v>361</v>
      </c>
      <c r="B18" s="1"/>
      <c r="C18" s="1"/>
      <c r="D18" s="1"/>
      <c r="E18" s="1"/>
      <c r="F18" s="1">
        <v>0</v>
      </c>
      <c r="G18" s="1">
        <v>93420199.719999999</v>
      </c>
      <c r="H18" s="1">
        <v>177776686</v>
      </c>
      <c r="I18" s="1">
        <v>179015854.90000001</v>
      </c>
      <c r="J18" s="1"/>
      <c r="K18" s="1"/>
    </row>
    <row r="19" spans="1:11" x14ac:dyDescent="0.3">
      <c r="A19" s="32" t="s">
        <v>362</v>
      </c>
      <c r="B19" s="1"/>
      <c r="C19" s="1"/>
      <c r="D19" s="1"/>
      <c r="E19" s="1"/>
      <c r="F19" s="1">
        <v>0</v>
      </c>
      <c r="G19" s="1">
        <v>0</v>
      </c>
      <c r="H19" s="1">
        <v>0</v>
      </c>
      <c r="I19" s="1">
        <v>0</v>
      </c>
      <c r="J19" s="1"/>
      <c r="K19" s="1"/>
    </row>
    <row r="20" spans="1:11" x14ac:dyDescent="0.3">
      <c r="A20" s="32" t="s">
        <v>222</v>
      </c>
      <c r="B20" s="1">
        <v>10581059.75</v>
      </c>
      <c r="C20" s="1">
        <v>8021106.6399999997</v>
      </c>
      <c r="D20" s="1">
        <v>4225022.79</v>
      </c>
      <c r="E20" s="1">
        <v>210129691.94999999</v>
      </c>
      <c r="F20" s="1">
        <v>8556786.6899999995</v>
      </c>
      <c r="G20" s="1">
        <v>49295752.890000001</v>
      </c>
      <c r="H20" s="1">
        <v>53344535.170000002</v>
      </c>
      <c r="I20" s="1">
        <v>51893239.350000001</v>
      </c>
    </row>
    <row r="21" spans="1:11" x14ac:dyDescent="0.3">
      <c r="A21" s="32" t="s">
        <v>209</v>
      </c>
      <c r="B21" s="1">
        <f>14423600+353489608.01</f>
        <v>367913208.00999999</v>
      </c>
      <c r="C21" s="1">
        <v>363852400.80000001</v>
      </c>
      <c r="D21" s="1">
        <v>367888858.13</v>
      </c>
      <c r="E21" s="1">
        <v>369251677.00999999</v>
      </c>
      <c r="F21" s="1">
        <v>470134541.06999999</v>
      </c>
      <c r="G21" s="1">
        <v>386501207.85000002</v>
      </c>
      <c r="H21" s="1">
        <v>384364934.83999997</v>
      </c>
      <c r="I21" s="1">
        <v>373555884.05000001</v>
      </c>
    </row>
    <row r="22" spans="1:11" x14ac:dyDescent="0.3">
      <c r="A22" s="32" t="s">
        <v>223</v>
      </c>
      <c r="B22" s="1">
        <v>103545035.73999999</v>
      </c>
      <c r="C22" s="1">
        <v>127142325.64</v>
      </c>
      <c r="D22" s="1">
        <v>115112100.26000001</v>
      </c>
      <c r="E22" s="1">
        <v>101826075.45</v>
      </c>
      <c r="F22" s="1">
        <v>134326276.21000001</v>
      </c>
      <c r="G22" s="1">
        <v>95254182.319999993</v>
      </c>
      <c r="H22" s="1">
        <v>67883553.760000005</v>
      </c>
      <c r="I22" s="1">
        <v>57106827.490000002</v>
      </c>
    </row>
    <row r="23" spans="1:11" x14ac:dyDescent="0.3">
      <c r="A23" s="32" t="s">
        <v>224</v>
      </c>
      <c r="B23" s="1">
        <v>0</v>
      </c>
      <c r="C23" s="1">
        <v>0</v>
      </c>
      <c r="D23" s="1">
        <v>0</v>
      </c>
      <c r="E23" s="1">
        <v>7295893.4000000004</v>
      </c>
      <c r="F23" s="1">
        <v>10168144.880000001</v>
      </c>
      <c r="G23" s="1">
        <v>21706729.640000001</v>
      </c>
      <c r="H23" s="1">
        <v>6618028.6900000004</v>
      </c>
      <c r="I23" s="1">
        <v>7040286.0099999998</v>
      </c>
    </row>
    <row r="24" spans="1:11" x14ac:dyDescent="0.3">
      <c r="A24" s="32" t="s">
        <v>225</v>
      </c>
      <c r="B24" s="1">
        <f>9051865.82+61419620.52</f>
        <v>70471486.340000004</v>
      </c>
      <c r="C24" s="1">
        <v>60712279.93</v>
      </c>
      <c r="D24" s="1">
        <v>47536478.759999998</v>
      </c>
      <c r="E24" s="1">
        <v>53890560.890000001</v>
      </c>
      <c r="F24" s="1">
        <v>32246468.129999999</v>
      </c>
      <c r="G24" s="1">
        <v>36404190.25</v>
      </c>
      <c r="H24" s="1">
        <v>44360237.43</v>
      </c>
      <c r="I24" s="1">
        <v>40646045.200000003</v>
      </c>
      <c r="J24" s="1"/>
      <c r="K24" s="1"/>
    </row>
    <row r="25" spans="1:11" x14ac:dyDescent="0.3">
      <c r="A25" s="32" t="s">
        <v>226</v>
      </c>
      <c r="B25" s="1">
        <v>446586135.58999997</v>
      </c>
      <c r="C25" s="1">
        <v>193308462.65000001</v>
      </c>
      <c r="D25" s="1">
        <v>252025943.31</v>
      </c>
      <c r="E25" s="1">
        <v>285423578.38</v>
      </c>
      <c r="F25" s="1">
        <v>298243548.82999998</v>
      </c>
      <c r="G25" s="1">
        <v>31547743.079999998</v>
      </c>
      <c r="H25" s="1">
        <v>56170748.039999999</v>
      </c>
      <c r="I25" s="1">
        <v>141639394.25999999</v>
      </c>
    </row>
    <row r="26" spans="1:11" x14ac:dyDescent="0.3">
      <c r="A26" s="71" t="s">
        <v>227</v>
      </c>
      <c r="B26" s="3">
        <f>SUM(B14:B25)-B16</f>
        <v>1300264028.6599998</v>
      </c>
      <c r="C26" s="3">
        <f t="shared" ref="C26:D26" si="3">SUM(C14:C25)-C16</f>
        <v>1348917925.9100003</v>
      </c>
      <c r="D26" s="3">
        <f t="shared" si="3"/>
        <v>1352663156.0199997</v>
      </c>
      <c r="E26" s="3">
        <f t="shared" ref="E26:I26" si="4">SUM(E14:E25)-E16</f>
        <v>1500560885.5000002</v>
      </c>
      <c r="F26" s="3">
        <f t="shared" ref="F26" si="5">SUM(F14:F25)-F16</f>
        <v>1358843175.5300002</v>
      </c>
      <c r="G26" s="3">
        <f t="shared" ref="G26" si="6">SUM(G14:G25)-G16</f>
        <v>1387137335.0799999</v>
      </c>
      <c r="H26" s="3">
        <f t="shared" ref="H26" si="7">SUM(H14:H25)-H16</f>
        <v>1381437781.6900001</v>
      </c>
      <c r="I26" s="3">
        <f t="shared" si="4"/>
        <v>1428511261.0200002</v>
      </c>
    </row>
    <row r="27" spans="1:11" x14ac:dyDescent="0.3">
      <c r="A27" s="10" t="s">
        <v>267</v>
      </c>
      <c r="B27" s="11">
        <f t="shared" ref="B27:I27" si="8">B14+B15+B17+B18+B19</f>
        <v>301167103.23000002</v>
      </c>
      <c r="C27" s="11">
        <f t="shared" si="8"/>
        <v>595881350.25</v>
      </c>
      <c r="D27" s="11">
        <f t="shared" si="8"/>
        <v>565874752.76999998</v>
      </c>
      <c r="E27" s="11">
        <f t="shared" si="8"/>
        <v>472743408.42000002</v>
      </c>
      <c r="F27" s="11">
        <f t="shared" si="8"/>
        <v>405167409.72000003</v>
      </c>
      <c r="G27" s="11">
        <f t="shared" ref="G27:H27" si="9">G14+G15+G17+G18+G19</f>
        <v>766427529.05000007</v>
      </c>
      <c r="H27" s="11">
        <f t="shared" si="9"/>
        <v>768695743.75999987</v>
      </c>
      <c r="I27" s="11">
        <f t="shared" si="8"/>
        <v>756629584.66000009</v>
      </c>
    </row>
    <row r="28" spans="1:11" x14ac:dyDescent="0.3">
      <c r="D28" s="6">
        <f t="shared" ref="D28:I28" si="10">D27/D26*100</f>
        <v>41.8341218396898</v>
      </c>
      <c r="E28" s="6">
        <f t="shared" si="10"/>
        <v>31.504446969672788</v>
      </c>
      <c r="F28" s="6">
        <f t="shared" si="10"/>
        <v>29.817083900205731</v>
      </c>
      <c r="G28" s="6">
        <f t="shared" si="10"/>
        <v>55.25246200700078</v>
      </c>
      <c r="H28" s="6">
        <f t="shared" si="10"/>
        <v>55.644615627900798</v>
      </c>
      <c r="I28" s="6">
        <f t="shared" si="10"/>
        <v>52.966301723078033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9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17" t="s">
        <v>210</v>
      </c>
      <c r="B1" s="117"/>
      <c r="C1" s="2" t="s">
        <v>211</v>
      </c>
      <c r="D1" s="100">
        <v>2016</v>
      </c>
      <c r="E1" s="100">
        <v>2017</v>
      </c>
      <c r="F1" s="100">
        <v>2018</v>
      </c>
      <c r="G1" s="100">
        <v>2019</v>
      </c>
      <c r="H1" s="100">
        <v>2020</v>
      </c>
      <c r="I1" s="100">
        <v>2021</v>
      </c>
      <c r="J1" s="100">
        <v>2022</v>
      </c>
      <c r="K1" s="100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37.271000000000001</v>
      </c>
      <c r="E3" s="7">
        <v>34.79</v>
      </c>
      <c r="F3" s="7">
        <v>35.86</v>
      </c>
      <c r="G3" s="7">
        <v>46.19</v>
      </c>
      <c r="H3" s="7">
        <v>36.22</v>
      </c>
      <c r="I3" s="7">
        <v>54.603999999999999</v>
      </c>
      <c r="J3" s="7">
        <v>34.29</v>
      </c>
      <c r="K3" s="7">
        <v>39.6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99.629000000000005</v>
      </c>
      <c r="E5" s="7">
        <v>100.87</v>
      </c>
      <c r="F5" s="7">
        <v>103.13</v>
      </c>
      <c r="G5" s="7">
        <v>96.29</v>
      </c>
      <c r="H5" s="7">
        <v>93.28</v>
      </c>
      <c r="I5" s="7">
        <v>93.144000000000005</v>
      </c>
      <c r="J5" s="7">
        <v>103</v>
      </c>
      <c r="K5" s="7">
        <v>92.92</v>
      </c>
    </row>
    <row r="6" spans="1:11" x14ac:dyDescent="0.3">
      <c r="A6" t="s">
        <v>83</v>
      </c>
      <c r="B6" t="s">
        <v>84</v>
      </c>
      <c r="D6" s="7">
        <v>94.39</v>
      </c>
      <c r="E6" s="7">
        <v>96.14</v>
      </c>
      <c r="F6" s="7">
        <v>98.93</v>
      </c>
      <c r="G6" s="7">
        <v>94.68</v>
      </c>
      <c r="H6" s="7">
        <v>64.02</v>
      </c>
      <c r="I6" s="7">
        <v>92.156999999999996</v>
      </c>
      <c r="J6" s="7">
        <v>92.91</v>
      </c>
      <c r="K6" s="7">
        <v>91.02</v>
      </c>
    </row>
    <row r="7" spans="1:11" x14ac:dyDescent="0.3">
      <c r="A7" t="s">
        <v>85</v>
      </c>
      <c r="B7" t="s">
        <v>86</v>
      </c>
      <c r="D7" s="7">
        <v>68.941000000000003</v>
      </c>
      <c r="E7" s="7">
        <v>67.88</v>
      </c>
      <c r="F7" s="7">
        <v>69.099999999999994</v>
      </c>
      <c r="G7" s="7">
        <v>67.599999999999994</v>
      </c>
      <c r="H7" s="7">
        <v>59.38</v>
      </c>
      <c r="I7" s="7">
        <v>51.911000000000001</v>
      </c>
      <c r="J7" s="7">
        <v>72.17</v>
      </c>
      <c r="K7" s="7">
        <v>65.34</v>
      </c>
    </row>
    <row r="8" spans="1:11" x14ac:dyDescent="0.3">
      <c r="A8" t="s">
        <v>87</v>
      </c>
      <c r="B8" t="s">
        <v>88</v>
      </c>
      <c r="D8" s="7">
        <v>65.316000000000003</v>
      </c>
      <c r="E8" s="7">
        <v>64.7</v>
      </c>
      <c r="F8" s="7">
        <v>66.290000000000006</v>
      </c>
      <c r="G8" s="7">
        <v>66.47</v>
      </c>
      <c r="H8" s="7">
        <v>59.85</v>
      </c>
      <c r="I8" s="7">
        <v>51.362000000000002</v>
      </c>
      <c r="J8" s="7">
        <v>65.099999999999994</v>
      </c>
      <c r="K8" s="7">
        <v>64</v>
      </c>
    </row>
    <row r="9" spans="1:11" x14ac:dyDescent="0.3">
      <c r="A9" t="s">
        <v>89</v>
      </c>
      <c r="B9" t="s">
        <v>90</v>
      </c>
      <c r="D9" s="7">
        <v>62.204000000000001</v>
      </c>
      <c r="E9" s="7">
        <v>63.7</v>
      </c>
      <c r="F9" s="7">
        <v>81.05</v>
      </c>
      <c r="G9" s="7">
        <v>58.82</v>
      </c>
      <c r="H9" s="7">
        <v>48.93</v>
      </c>
      <c r="I9" s="7">
        <v>62.491</v>
      </c>
      <c r="J9" s="7">
        <v>72.040000000000006</v>
      </c>
      <c r="K9" s="7">
        <v>61.4</v>
      </c>
    </row>
    <row r="10" spans="1:11" x14ac:dyDescent="0.3">
      <c r="A10" t="s">
        <v>91</v>
      </c>
      <c r="B10" t="s">
        <v>92</v>
      </c>
      <c r="D10" s="7">
        <v>59.963000000000001</v>
      </c>
      <c r="E10" s="7">
        <v>61.36</v>
      </c>
      <c r="F10" s="7">
        <v>78.099999999999994</v>
      </c>
      <c r="G10" s="7">
        <v>58.13</v>
      </c>
      <c r="H10" s="7">
        <v>49.19</v>
      </c>
      <c r="I10" s="7">
        <v>51.973999999999997</v>
      </c>
      <c r="J10" s="7">
        <v>66.739999999999995</v>
      </c>
      <c r="K10" s="7">
        <v>60.44</v>
      </c>
    </row>
    <row r="11" spans="1:11" x14ac:dyDescent="0.3">
      <c r="A11" t="s">
        <v>93</v>
      </c>
      <c r="B11" t="s">
        <v>94</v>
      </c>
      <c r="D11" s="7">
        <v>42.338999999999999</v>
      </c>
      <c r="E11" s="7">
        <v>41.06</v>
      </c>
      <c r="F11" s="7">
        <v>54.91</v>
      </c>
      <c r="G11" s="7">
        <v>40.909999999999997</v>
      </c>
      <c r="H11" s="7">
        <v>27.83</v>
      </c>
      <c r="I11" s="7">
        <v>34.149000000000001</v>
      </c>
      <c r="J11" s="7">
        <v>49.08</v>
      </c>
      <c r="K11" s="7">
        <v>40.299999999999997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40.814</v>
      </c>
      <c r="E12" s="7">
        <v>39.549999999999997</v>
      </c>
      <c r="F12" s="7">
        <v>52.91</v>
      </c>
      <c r="G12" s="7">
        <v>40.43</v>
      </c>
      <c r="H12" s="7">
        <v>27.97</v>
      </c>
      <c r="I12" s="7">
        <v>33.866</v>
      </c>
      <c r="J12" s="7">
        <v>45.46</v>
      </c>
      <c r="K12" s="7">
        <v>39.67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36.75</v>
      </c>
      <c r="G14" s="7">
        <v>0.51</v>
      </c>
      <c r="H14" s="7">
        <v>0.61</v>
      </c>
      <c r="I14" s="7">
        <v>100</v>
      </c>
      <c r="J14" s="7">
        <v>100</v>
      </c>
      <c r="K14" s="7">
        <v>100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30.72</v>
      </c>
      <c r="G15" s="7">
        <v>26.96</v>
      </c>
      <c r="H15" s="7">
        <v>30.21</v>
      </c>
      <c r="I15" s="7">
        <v>3.8580000000000001</v>
      </c>
      <c r="J15" s="7">
        <v>0.99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32.343000000000004</v>
      </c>
      <c r="E17" s="7">
        <v>31.65</v>
      </c>
      <c r="F17" s="7">
        <v>32.89</v>
      </c>
      <c r="G17" s="7">
        <v>34.340000000000003</v>
      </c>
      <c r="H17" s="7">
        <v>30.96</v>
      </c>
      <c r="I17" s="7">
        <v>29.405999999999999</v>
      </c>
      <c r="J17" s="7">
        <v>29.78</v>
      </c>
      <c r="K17" s="7">
        <v>30.24</v>
      </c>
    </row>
    <row r="18" spans="1:11" x14ac:dyDescent="0.3">
      <c r="A18" t="s">
        <v>105</v>
      </c>
      <c r="B18" t="s">
        <v>106</v>
      </c>
      <c r="D18" s="7">
        <v>15.116</v>
      </c>
      <c r="E18" s="7">
        <v>18.13</v>
      </c>
      <c r="F18" s="7">
        <v>4.22</v>
      </c>
      <c r="G18" s="7">
        <v>19.809999999999999</v>
      </c>
      <c r="H18" s="7">
        <v>23.46</v>
      </c>
      <c r="I18" s="7">
        <v>23.518000000000001</v>
      </c>
      <c r="J18" s="7">
        <v>19.09</v>
      </c>
      <c r="K18" s="7">
        <v>21.21</v>
      </c>
    </row>
    <row r="19" spans="1:11" x14ac:dyDescent="0.3">
      <c r="A19" t="s">
        <v>107</v>
      </c>
      <c r="B19" t="s">
        <v>108</v>
      </c>
      <c r="D19" s="7">
        <v>1.788</v>
      </c>
      <c r="E19" s="7">
        <v>1.77</v>
      </c>
      <c r="F19" s="7">
        <v>0.38</v>
      </c>
      <c r="G19" s="7">
        <v>1.21</v>
      </c>
      <c r="H19" s="7">
        <v>3.49</v>
      </c>
      <c r="I19" s="7">
        <v>2.2120000000000002</v>
      </c>
      <c r="J19" s="7">
        <v>1.86</v>
      </c>
      <c r="K19" s="7">
        <v>1.92</v>
      </c>
    </row>
    <row r="20" spans="1:11" x14ac:dyDescent="0.3">
      <c r="A20" t="s">
        <v>109</v>
      </c>
      <c r="B20" t="s">
        <v>110</v>
      </c>
      <c r="D20" s="7">
        <v>411.82512756818301</v>
      </c>
      <c r="E20" s="7">
        <v>384.1511102706711</v>
      </c>
      <c r="F20" s="7">
        <v>387.41</v>
      </c>
      <c r="G20" s="7">
        <v>378.79</v>
      </c>
      <c r="H20" s="7">
        <v>334.774</v>
      </c>
      <c r="I20" s="7">
        <v>324.06700000000001</v>
      </c>
      <c r="J20" s="7">
        <v>350.76</v>
      </c>
      <c r="K20" s="7">
        <v>338.86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33.777000000000001</v>
      </c>
      <c r="E22" s="7">
        <v>35.08</v>
      </c>
      <c r="F22" s="7">
        <v>34.61</v>
      </c>
      <c r="G22" s="7">
        <v>34.99</v>
      </c>
      <c r="H22" s="7">
        <v>34.04</v>
      </c>
      <c r="I22" s="7">
        <v>36.454999999999998</v>
      </c>
      <c r="J22" s="7">
        <v>33.270000000000003</v>
      </c>
      <c r="K22" s="7">
        <v>34.979999999999997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5.5010000000000003</v>
      </c>
      <c r="E24" s="7">
        <v>5.59</v>
      </c>
      <c r="F24" s="7">
        <v>5.54</v>
      </c>
      <c r="G24" s="7">
        <v>5.76</v>
      </c>
      <c r="H24" s="7">
        <v>6.05</v>
      </c>
      <c r="I24" s="7">
        <v>5.5970000000000004</v>
      </c>
      <c r="J24" s="7">
        <v>4.97</v>
      </c>
      <c r="K24" s="7">
        <v>5.31</v>
      </c>
    </row>
    <row r="25" spans="1:11" x14ac:dyDescent="0.3">
      <c r="A25" t="s">
        <v>117</v>
      </c>
      <c r="B25" t="s">
        <v>118</v>
      </c>
      <c r="D25" s="7">
        <v>0.08</v>
      </c>
      <c r="E25" s="7">
        <v>1.18</v>
      </c>
      <c r="F25" s="7">
        <v>2.7</v>
      </c>
      <c r="G25" s="7">
        <v>4.09</v>
      </c>
      <c r="H25" s="7">
        <v>7.72</v>
      </c>
      <c r="I25" s="7">
        <v>9.0500000000000007</v>
      </c>
      <c r="J25" s="7">
        <v>2.71</v>
      </c>
      <c r="K25" s="7">
        <v>7.28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24.882000000000001</v>
      </c>
      <c r="E28" s="7">
        <v>11.85</v>
      </c>
      <c r="F28" s="7">
        <v>13.81</v>
      </c>
      <c r="G28" s="7">
        <v>16.28</v>
      </c>
      <c r="H28" s="7">
        <v>26.57</v>
      </c>
      <c r="I28" s="7">
        <v>28.085999999999999</v>
      </c>
      <c r="J28" s="7">
        <v>14.73</v>
      </c>
      <c r="K28" s="7">
        <v>20.78</v>
      </c>
    </row>
    <row r="29" spans="1:11" x14ac:dyDescent="0.3">
      <c r="A29" t="s">
        <v>124</v>
      </c>
      <c r="B29" t="s">
        <v>125</v>
      </c>
      <c r="D29" s="7">
        <v>446.06237784727307</v>
      </c>
      <c r="E29" s="7">
        <v>175.869</v>
      </c>
      <c r="F29" s="7">
        <v>211.56</v>
      </c>
      <c r="G29" s="7">
        <v>247.09200000000001</v>
      </c>
      <c r="H29" s="7">
        <v>453.31400000000002</v>
      </c>
      <c r="I29" s="7">
        <v>502.75400000000002</v>
      </c>
      <c r="J29" s="7">
        <v>239.78</v>
      </c>
      <c r="K29" s="7">
        <v>340.51</v>
      </c>
    </row>
    <row r="30" spans="1:11" x14ac:dyDescent="0.3">
      <c r="A30" t="s">
        <v>126</v>
      </c>
      <c r="B30" t="s">
        <v>127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3">
      <c r="A31" t="s">
        <v>128</v>
      </c>
      <c r="B31" t="s">
        <v>129</v>
      </c>
      <c r="D31" s="7">
        <v>446.06237784727307</v>
      </c>
      <c r="E31" s="7">
        <v>175.869</v>
      </c>
      <c r="F31" s="7">
        <v>211.56</v>
      </c>
      <c r="G31" s="7">
        <v>247.09200000000001</v>
      </c>
      <c r="H31" s="7">
        <v>453.31400000000002</v>
      </c>
      <c r="I31" s="7">
        <v>502.75400000000002</v>
      </c>
      <c r="J31" s="7">
        <v>239.78</v>
      </c>
      <c r="K31" s="7">
        <v>340.51</v>
      </c>
    </row>
    <row r="32" spans="1:11" x14ac:dyDescent="0.3">
      <c r="A32" t="s">
        <v>130</v>
      </c>
      <c r="B32" t="s">
        <v>131</v>
      </c>
      <c r="D32" s="7">
        <v>43.12</v>
      </c>
      <c r="E32" s="7">
        <v>116.96</v>
      </c>
      <c r="F32" s="7">
        <v>104.6</v>
      </c>
      <c r="G32" s="7">
        <v>88.42</v>
      </c>
      <c r="H32" s="7">
        <v>43.48</v>
      </c>
      <c r="I32" s="7">
        <v>86.912999999999997</v>
      </c>
      <c r="J32" s="7">
        <v>145.47</v>
      </c>
      <c r="K32" s="7">
        <v>100.67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7.0000000000000007E-2</v>
      </c>
    </row>
    <row r="34" spans="1:11" x14ac:dyDescent="0.3">
      <c r="A34" t="s">
        <v>134</v>
      </c>
      <c r="B34" t="s">
        <v>135</v>
      </c>
      <c r="D34" s="7">
        <v>6.3730000000000002</v>
      </c>
      <c r="E34" s="7">
        <v>8.33</v>
      </c>
      <c r="F34" s="7">
        <v>11.99</v>
      </c>
      <c r="G34" s="7">
        <v>15.5</v>
      </c>
      <c r="H34" s="7">
        <v>80.37</v>
      </c>
      <c r="I34" s="7">
        <v>40.076000000000001</v>
      </c>
      <c r="J34" s="7">
        <v>16.91</v>
      </c>
      <c r="K34" s="7">
        <v>5.44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73.11</v>
      </c>
      <c r="E36" s="7">
        <v>68.19</v>
      </c>
      <c r="F36" s="7">
        <v>64.39</v>
      </c>
      <c r="G36" s="7">
        <v>72.56</v>
      </c>
      <c r="H36" s="7">
        <v>78.02</v>
      </c>
      <c r="I36" s="7">
        <v>72.98</v>
      </c>
      <c r="J36" s="7">
        <v>75.94</v>
      </c>
      <c r="K36" s="7">
        <v>73.19</v>
      </c>
    </row>
    <row r="37" spans="1:11" x14ac:dyDescent="0.3">
      <c r="A37" t="s">
        <v>139</v>
      </c>
      <c r="B37" t="s">
        <v>140</v>
      </c>
      <c r="D37" s="7">
        <v>79.632999999999996</v>
      </c>
      <c r="E37" s="7">
        <v>34.979999999999997</v>
      </c>
      <c r="F37" s="7">
        <v>35.51</v>
      </c>
      <c r="G37" s="7">
        <v>46.66</v>
      </c>
      <c r="H37" s="7">
        <v>63.15</v>
      </c>
      <c r="I37" s="7">
        <v>61.594999999999999</v>
      </c>
      <c r="J37" s="7">
        <v>72.45</v>
      </c>
      <c r="K37" s="7">
        <v>59.03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27.42</v>
      </c>
      <c r="E39" s="7">
        <v>25.76</v>
      </c>
      <c r="F39" s="7">
        <v>27.24</v>
      </c>
      <c r="G39" s="7">
        <v>24.42</v>
      </c>
      <c r="H39" s="7">
        <v>20.89</v>
      </c>
      <c r="I39" s="7">
        <v>20.689</v>
      </c>
      <c r="J39" s="7">
        <v>26.98</v>
      </c>
      <c r="K39" s="7">
        <v>22.28</v>
      </c>
    </row>
    <row r="40" spans="1:11" x14ac:dyDescent="0.3">
      <c r="A40" t="s">
        <v>145</v>
      </c>
      <c r="B40" t="s">
        <v>146</v>
      </c>
      <c r="D40" s="7">
        <v>7.484</v>
      </c>
      <c r="E40" s="7">
        <v>0.09</v>
      </c>
      <c r="F40" s="7">
        <v>13.69</v>
      </c>
      <c r="G40" s="7">
        <v>19.41</v>
      </c>
      <c r="H40" s="7">
        <v>21.86</v>
      </c>
      <c r="I40" s="7">
        <v>18.870999999999999</v>
      </c>
      <c r="J40" s="7">
        <v>18.07</v>
      </c>
      <c r="K40" s="7">
        <v>57.46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28.326000000000001</v>
      </c>
      <c r="E43" s="7">
        <v>27.41</v>
      </c>
      <c r="F43" s="7">
        <v>38.42</v>
      </c>
      <c r="G43" s="7">
        <v>31.92</v>
      </c>
      <c r="H43" s="7">
        <v>36.14</v>
      </c>
      <c r="I43" s="7">
        <v>32.593000000000004</v>
      </c>
      <c r="J43" s="7">
        <v>48.1</v>
      </c>
      <c r="K43" s="7">
        <v>59.34</v>
      </c>
    </row>
    <row r="44" spans="1:11" x14ac:dyDescent="0.3">
      <c r="A44" t="s">
        <v>152</v>
      </c>
      <c r="B44" t="s">
        <v>153</v>
      </c>
      <c r="D44" s="7">
        <v>30.463000000000001</v>
      </c>
      <c r="E44" s="7">
        <v>54.23</v>
      </c>
      <c r="F44" s="7">
        <v>58.11</v>
      </c>
      <c r="G44" s="7">
        <v>59.2</v>
      </c>
      <c r="H44" s="7">
        <v>64.89</v>
      </c>
      <c r="I44" s="7">
        <v>62.982999999999997</v>
      </c>
      <c r="J44" s="7">
        <v>75.73</v>
      </c>
      <c r="K44" s="7">
        <v>68.680000000000007</v>
      </c>
    </row>
    <row r="45" spans="1:11" x14ac:dyDescent="0.3">
      <c r="A45" t="s">
        <v>154</v>
      </c>
      <c r="B45" t="s">
        <v>155</v>
      </c>
      <c r="D45" s="7">
        <v>41.167000000000002</v>
      </c>
      <c r="E45" s="7">
        <v>23.86</v>
      </c>
      <c r="F45" s="7">
        <v>8.44</v>
      </c>
      <c r="G45" s="7">
        <v>27.6</v>
      </c>
      <c r="H45" s="7">
        <v>18.79</v>
      </c>
      <c r="I45" s="7">
        <v>15.965999999999999</v>
      </c>
      <c r="J45" s="7">
        <v>13.92</v>
      </c>
      <c r="K45" s="7">
        <v>37.47</v>
      </c>
    </row>
    <row r="46" spans="1:11" x14ac:dyDescent="0.3">
      <c r="A46" t="s">
        <v>156</v>
      </c>
      <c r="B46" t="s">
        <v>157</v>
      </c>
      <c r="D46" s="7">
        <v>97.210999999999999</v>
      </c>
      <c r="E46" s="7">
        <v>77.69</v>
      </c>
      <c r="F46" s="7">
        <v>88.94</v>
      </c>
      <c r="G46" s="7">
        <v>59.97</v>
      </c>
      <c r="H46" s="7">
        <v>89.31</v>
      </c>
      <c r="I46" s="7">
        <v>100.07</v>
      </c>
      <c r="J46" s="7">
        <v>77.010000000000005</v>
      </c>
      <c r="K46" s="7">
        <v>105.47</v>
      </c>
    </row>
    <row r="47" spans="1:11" x14ac:dyDescent="0.3">
      <c r="A47" t="s">
        <v>158</v>
      </c>
      <c r="B47" t="s">
        <v>159</v>
      </c>
      <c r="D47" s="7">
        <v>170.8115</v>
      </c>
      <c r="E47" s="7">
        <v>216.41</v>
      </c>
      <c r="F47" s="7">
        <v>260.29000000000002</v>
      </c>
      <c r="G47" s="7">
        <v>227.85</v>
      </c>
      <c r="H47" s="7">
        <v>254.9</v>
      </c>
      <c r="I47" s="7">
        <v>61.57</v>
      </c>
      <c r="J47" s="7">
        <v>42.81</v>
      </c>
      <c r="K47" s="7">
        <v>20.56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0</v>
      </c>
      <c r="E50" s="7">
        <v>2.27</v>
      </c>
      <c r="F50" s="7">
        <v>2.948</v>
      </c>
      <c r="G50" s="7">
        <v>0</v>
      </c>
      <c r="H50" s="7">
        <v>0.02</v>
      </c>
      <c r="I50" s="7">
        <v>2.431</v>
      </c>
      <c r="J50" s="7">
        <v>3.28</v>
      </c>
      <c r="K50" s="7">
        <v>2.74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10.888999999999999</v>
      </c>
      <c r="E51" s="7">
        <v>9.9499999999999993</v>
      </c>
      <c r="F51" s="7">
        <v>10.57</v>
      </c>
      <c r="G51" s="7">
        <v>11.09</v>
      </c>
      <c r="H51" s="7">
        <v>9.77</v>
      </c>
      <c r="I51" s="7">
        <v>10.265000000000001</v>
      </c>
      <c r="J51" s="7">
        <v>10.53</v>
      </c>
      <c r="K51" s="7">
        <v>9.86</v>
      </c>
    </row>
    <row r="52" spans="1:11" x14ac:dyDescent="0.3">
      <c r="A52" t="s">
        <v>167</v>
      </c>
      <c r="B52" t="s">
        <v>168</v>
      </c>
      <c r="D52" s="7">
        <v>2720.0243086329392</v>
      </c>
      <c r="E52" s="7">
        <v>2698.2009699666296</v>
      </c>
      <c r="F52" s="7">
        <v>2746.0540279913412</v>
      </c>
      <c r="G52" s="7">
        <v>2768.7507648990731</v>
      </c>
      <c r="H52" s="7">
        <v>3525.1982624246421</v>
      </c>
      <c r="I52" s="7">
        <v>2991.3564993111777</v>
      </c>
      <c r="J52" s="7">
        <v>2999.6639105325589</v>
      </c>
      <c r="K52" s="7">
        <v>2930.1947997803663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3">
      <c r="A54" t="s">
        <v>170</v>
      </c>
      <c r="B54" t="s">
        <v>171</v>
      </c>
      <c r="D54" s="7">
        <v>-4.405824790235032</v>
      </c>
      <c r="E54" s="7">
        <v>-4.3902826424149666</v>
      </c>
      <c r="F54" s="7">
        <v>-4.9252234712049736</v>
      </c>
      <c r="G54" s="7">
        <v>-105.95600349462697</v>
      </c>
      <c r="H54" s="7">
        <v>-91.071535367078354</v>
      </c>
      <c r="I54" s="7">
        <v>-63.831103348383579</v>
      </c>
      <c r="J54" s="7">
        <v>-61.459440856223914</v>
      </c>
      <c r="K54" s="7">
        <v>-55.790054134989809</v>
      </c>
    </row>
    <row r="55" spans="1:11" x14ac:dyDescent="0.3">
      <c r="A55" t="s">
        <v>172</v>
      </c>
      <c r="B55" t="s">
        <v>173</v>
      </c>
      <c r="D55" s="7">
        <v>0</v>
      </c>
      <c r="E55" s="7">
        <v>0.78635207691177367</v>
      </c>
      <c r="F55" s="7">
        <v>0.82747606058236733</v>
      </c>
      <c r="G55" s="7">
        <v>1.2814903988873498</v>
      </c>
      <c r="H55" s="7">
        <v>1.0674674934963877</v>
      </c>
      <c r="I55" s="7">
        <v>0.88871205891284322</v>
      </c>
      <c r="J55" s="7">
        <v>0.22584796193155224</v>
      </c>
      <c r="K55" s="7">
        <v>7.189098925344671E-2</v>
      </c>
    </row>
    <row r="56" spans="1:11" x14ac:dyDescent="0.3">
      <c r="A56" t="s">
        <v>174</v>
      </c>
      <c r="B56" t="s">
        <v>175</v>
      </c>
      <c r="D56" s="7">
        <v>101.9926991517426</v>
      </c>
      <c r="E56" s="7">
        <v>102.73343198348195</v>
      </c>
      <c r="F56" s="7">
        <v>103.20782333642357</v>
      </c>
      <c r="G56" s="7">
        <v>204.6745130957396</v>
      </c>
      <c r="H56" s="7">
        <v>188.90951928258539</v>
      </c>
      <c r="I56" s="7">
        <v>162.94124999578779</v>
      </c>
      <c r="J56" s="7">
        <v>160.95823712061602</v>
      </c>
      <c r="K56" s="7">
        <v>155.71816314573636</v>
      </c>
    </row>
    <row r="57" spans="1:11" x14ac:dyDescent="0.3">
      <c r="A57" t="s">
        <v>176</v>
      </c>
      <c r="B57" t="s">
        <v>177</v>
      </c>
      <c r="D57" s="7">
        <v>2.4131256384924242</v>
      </c>
      <c r="E57" s="7">
        <v>0.8704985820212513</v>
      </c>
      <c r="F57" s="7">
        <v>0.88992407419902908</v>
      </c>
      <c r="G57" s="7">
        <v>0</v>
      </c>
      <c r="H57" s="7">
        <v>1.0945485909965817</v>
      </c>
      <c r="I57" s="7">
        <v>1.1412936829401821E-3</v>
      </c>
      <c r="J57" s="7">
        <v>0.27535577367632541</v>
      </c>
      <c r="K57" s="7">
        <v>0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3.3181072071390587</v>
      </c>
      <c r="E59" s="7">
        <v>0</v>
      </c>
      <c r="F59" s="7">
        <v>3.7564382266255212</v>
      </c>
      <c r="G59" s="7">
        <v>-2228.299109471157</v>
      </c>
      <c r="H59" s="7">
        <v>-3.1854204006680016</v>
      </c>
      <c r="I59" s="7">
        <v>15.813340203538667</v>
      </c>
      <c r="J59" s="7">
        <v>4.5199209291018638</v>
      </c>
      <c r="K59" s="7">
        <v>6.103530385480771</v>
      </c>
    </row>
    <row r="60" spans="1:11" x14ac:dyDescent="0.3">
      <c r="A60" t="s">
        <v>181</v>
      </c>
      <c r="B60" t="s">
        <v>182</v>
      </c>
      <c r="D60" s="7">
        <v>-3.3181072071390587</v>
      </c>
      <c r="E60" s="7">
        <v>0</v>
      </c>
      <c r="F60" s="7">
        <v>-3.7564382266255212</v>
      </c>
      <c r="G60" s="7">
        <v>2228.299109471157</v>
      </c>
      <c r="H60" s="7">
        <v>3.1854204006680016</v>
      </c>
      <c r="I60" s="7">
        <v>-15.813340203538667</v>
      </c>
      <c r="J60" s="7">
        <v>-4.5199209291018638</v>
      </c>
      <c r="K60" s="7">
        <v>-6.103530385480771</v>
      </c>
    </row>
    <row r="61" spans="1:11" x14ac:dyDescent="0.3">
      <c r="A61" t="s">
        <v>183</v>
      </c>
      <c r="B61" t="s">
        <v>184</v>
      </c>
      <c r="D61" s="7">
        <v>2.9861851422503487</v>
      </c>
      <c r="E61" s="7">
        <v>1.4676153056864312</v>
      </c>
      <c r="F61" s="7">
        <v>1.4850631838341932</v>
      </c>
      <c r="G61" s="7">
        <v>41.388390629059565</v>
      </c>
      <c r="H61" s="7">
        <v>49.829652031865805</v>
      </c>
      <c r="I61" s="7">
        <v>22.176578517564142</v>
      </c>
      <c r="J61" s="7">
        <v>21.111735282440705</v>
      </c>
      <c r="K61" s="7">
        <v>20.13929916426326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0.16</v>
      </c>
      <c r="G62" s="7">
        <v>2E-3</v>
      </c>
      <c r="H62" s="7">
        <v>2.89</v>
      </c>
      <c r="I62" s="7">
        <v>25.038</v>
      </c>
      <c r="J62" s="7">
        <v>3.42</v>
      </c>
      <c r="K62" s="7">
        <v>8.7100000000000009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0.01</v>
      </c>
      <c r="F64" s="7">
        <v>0.50600000000000001</v>
      </c>
      <c r="G64" s="7">
        <v>0.38</v>
      </c>
      <c r="H64" s="7">
        <v>0.49</v>
      </c>
      <c r="I64" s="7">
        <v>0.74299999999999999</v>
      </c>
      <c r="J64" s="7">
        <v>0.75</v>
      </c>
      <c r="K64" s="7">
        <v>0.64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0.30199999999999999</v>
      </c>
      <c r="G65" s="7">
        <v>0.38</v>
      </c>
      <c r="H65" s="7">
        <v>0.6</v>
      </c>
      <c r="I65" s="7">
        <v>1.2999999999999999E-2</v>
      </c>
      <c r="J65" s="7">
        <v>0.15</v>
      </c>
      <c r="K65" s="7">
        <v>0.27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0.80500000000000005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33.488207942132142</v>
      </c>
      <c r="E68" s="7">
        <v>18.09</v>
      </c>
      <c r="F68" s="30">
        <v>100</v>
      </c>
      <c r="G68" s="30">
        <v>18.52</v>
      </c>
      <c r="H68" s="30">
        <v>72.56</v>
      </c>
      <c r="I68" s="30">
        <v>98.016000000000005</v>
      </c>
      <c r="J68" s="30">
        <v>32.799999999999997</v>
      </c>
      <c r="K68" s="30">
        <v>35.29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15.413</v>
      </c>
      <c r="E70" s="30">
        <v>15.13</v>
      </c>
      <c r="F70" s="7">
        <v>16.28</v>
      </c>
      <c r="G70" s="7">
        <v>15.65</v>
      </c>
      <c r="H70" s="7">
        <v>16.559999999999999</v>
      </c>
      <c r="I70" s="7">
        <v>12.612</v>
      </c>
      <c r="J70" s="7">
        <v>15.09</v>
      </c>
      <c r="K70" s="7">
        <v>14.11</v>
      </c>
    </row>
    <row r="71" spans="1:11" x14ac:dyDescent="0.3">
      <c r="A71" t="s">
        <v>200</v>
      </c>
      <c r="B71" t="s">
        <v>201</v>
      </c>
      <c r="D71" s="7">
        <v>17.614999999999998</v>
      </c>
      <c r="E71" s="30">
        <v>17.5</v>
      </c>
      <c r="F71" s="7">
        <v>19.010000000000002</v>
      </c>
      <c r="G71" s="7">
        <v>18.34</v>
      </c>
      <c r="H71" s="7">
        <v>19.170000000000002</v>
      </c>
      <c r="I71" s="7">
        <v>16.893000000000001</v>
      </c>
      <c r="J71" s="7">
        <v>18.89</v>
      </c>
      <c r="K71" s="7">
        <v>17.84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41.377357229464394</v>
      </c>
      <c r="E73" s="7">
        <v>38.064</v>
      </c>
      <c r="F73" s="7">
        <v>45.130892140817522</v>
      </c>
      <c r="G73" s="7">
        <v>41.904000000000003</v>
      </c>
      <c r="H73" s="7">
        <v>38.676628340672316</v>
      </c>
      <c r="I73" s="7">
        <v>41.103208883149655</v>
      </c>
      <c r="J73" s="7">
        <v>45.040148516570717</v>
      </c>
      <c r="K73" s="7">
        <v>41.358340064003869</v>
      </c>
    </row>
    <row r="74" spans="1:11" x14ac:dyDescent="0.3">
      <c r="B74" t="s">
        <v>203</v>
      </c>
      <c r="D74" s="7">
        <v>69.550212188819188</v>
      </c>
      <c r="E74" s="7">
        <v>70.355999999999995</v>
      </c>
      <c r="F74" s="7">
        <v>73.909279872829103</v>
      </c>
      <c r="G74" s="7">
        <v>72.055999999999997</v>
      </c>
      <c r="H74" s="7">
        <v>70.574709400033882</v>
      </c>
      <c r="I74" s="7">
        <v>71.562201497886164</v>
      </c>
      <c r="J74" s="7">
        <v>75.401821372884982</v>
      </c>
      <c r="K74" s="7">
        <v>72.728086671776254</v>
      </c>
    </row>
    <row r="75" spans="1:11" x14ac:dyDescent="0.3">
      <c r="B75" t="s">
        <v>204</v>
      </c>
      <c r="D75" s="7">
        <v>12.16829902325701</v>
      </c>
      <c r="E75" s="7">
        <v>11.804</v>
      </c>
      <c r="F75" s="7">
        <v>17.181293770171202</v>
      </c>
      <c r="G75" s="7">
        <v>14.427</v>
      </c>
      <c r="H75" s="7">
        <v>11.642435570449788</v>
      </c>
      <c r="I75" s="7">
        <v>15.045854433473474</v>
      </c>
      <c r="J75" s="7">
        <v>17.931310480366118</v>
      </c>
      <c r="K75" s="7">
        <v>11.963881037591701</v>
      </c>
    </row>
    <row r="76" spans="1:11" x14ac:dyDescent="0.3">
      <c r="A76" s="8" t="s">
        <v>37</v>
      </c>
      <c r="B76" s="8"/>
      <c r="C76" s="9">
        <v>47</v>
      </c>
      <c r="D76" s="7">
        <v>52.151196160982039</v>
      </c>
      <c r="E76" s="7">
        <v>46.008796666601029</v>
      </c>
      <c r="F76" s="30">
        <v>49.790746626094673</v>
      </c>
      <c r="G76" s="30">
        <v>49.419766410761014</v>
      </c>
      <c r="H76" s="30">
        <v>53.596208202816442</v>
      </c>
      <c r="I76" s="30">
        <v>53.22162189817675</v>
      </c>
      <c r="J76" s="30">
        <v>51.465596116052851</v>
      </c>
      <c r="K76" s="30">
        <v>50.134506989734426</v>
      </c>
    </row>
    <row r="77" spans="1:11" x14ac:dyDescent="0.3">
      <c r="A77" s="31" t="s">
        <v>338</v>
      </c>
      <c r="B77" s="31"/>
      <c r="C77" s="63"/>
      <c r="D77" s="30">
        <v>33.429105022524809</v>
      </c>
      <c r="E77" s="30">
        <v>39.619721108727006</v>
      </c>
      <c r="F77" s="30">
        <v>44.527342037012652</v>
      </c>
      <c r="G77" s="30">
        <v>44.157744501497199</v>
      </c>
      <c r="H77" s="30">
        <v>46.610142052661558</v>
      </c>
      <c r="I77" s="30">
        <v>46.609241024500612</v>
      </c>
      <c r="J77" s="30">
        <v>47.616495112731734</v>
      </c>
      <c r="K77" s="30">
        <v>43.029046767489284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3.1166886660493707</v>
      </c>
      <c r="E79" s="7">
        <v>2.2672461284201506</v>
      </c>
      <c r="F79" s="30">
        <v>2.1047111683173041</v>
      </c>
      <c r="G79" s="30">
        <v>2.0150628010199263</v>
      </c>
      <c r="H79" s="30">
        <v>2.3107222129559535</v>
      </c>
      <c r="I79" s="30">
        <v>1.9072467549409691</v>
      </c>
      <c r="J79" s="30">
        <v>3.9712863262706963</v>
      </c>
      <c r="K79" s="30">
        <v>3.1504065040650406</v>
      </c>
    </row>
    <row r="80" spans="1:11" x14ac:dyDescent="0.3">
      <c r="A80">
        <v>9</v>
      </c>
      <c r="B80" t="s">
        <v>350</v>
      </c>
      <c r="D80" s="7">
        <v>19.330562067810632</v>
      </c>
      <c r="E80" s="7">
        <v>21.773887494644061</v>
      </c>
      <c r="F80" s="30">
        <v>21.925465098263551</v>
      </c>
      <c r="G80" s="30">
        <v>19.310133157049769</v>
      </c>
      <c r="H80" s="30">
        <v>14.557165035090645</v>
      </c>
      <c r="I80" s="30">
        <v>13.065031635248841</v>
      </c>
      <c r="J80" s="30">
        <v>14.032650225772835</v>
      </c>
      <c r="K80" s="30">
        <v>22.243394308943092</v>
      </c>
    </row>
    <row r="81" spans="1:11" x14ac:dyDescent="0.3">
      <c r="A81">
        <v>10</v>
      </c>
      <c r="B81" t="s">
        <v>206</v>
      </c>
      <c r="D81" s="7">
        <v>9.8603203372800881</v>
      </c>
      <c r="E81" s="7">
        <v>9.8708453204382689</v>
      </c>
      <c r="F81" s="30">
        <v>10.976438199435091</v>
      </c>
      <c r="G81" s="30">
        <v>13.42903012560204</v>
      </c>
      <c r="H81" s="30">
        <v>12.293914627731233</v>
      </c>
      <c r="I81" s="30">
        <v>9.9041158437153474</v>
      </c>
      <c r="J81" s="30">
        <v>9.1003820771101065</v>
      </c>
      <c r="K81" s="30">
        <v>13.490853658536583</v>
      </c>
    </row>
    <row r="82" spans="1:11" x14ac:dyDescent="0.3">
      <c r="A82">
        <v>12</v>
      </c>
      <c r="B82" t="s">
        <v>207</v>
      </c>
      <c r="D82" s="7">
        <v>11.688567544671882</v>
      </c>
      <c r="E82" s="7">
        <v>9.4766480994062547</v>
      </c>
      <c r="F82" s="30">
        <v>8.6500530349076961</v>
      </c>
      <c r="G82" s="30">
        <v>7.0072716970441027</v>
      </c>
      <c r="H82" s="30">
        <v>8.642434662116214</v>
      </c>
      <c r="I82" s="30">
        <v>9.4775291892244464</v>
      </c>
      <c r="J82" s="30">
        <v>8.7646173439851793</v>
      </c>
      <c r="K82" s="30">
        <v>8.9430894308943092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59.720582091370545</v>
      </c>
      <c r="E84" s="7">
        <v>57.814070606384838</v>
      </c>
      <c r="F84" s="7">
        <v>62.641957544456147</v>
      </c>
      <c r="G84" s="7">
        <v>56.660633378180336</v>
      </c>
      <c r="H84" s="7">
        <v>54.85735489455579</v>
      </c>
      <c r="I84" s="7">
        <v>60.985260814370911</v>
      </c>
      <c r="J84" s="7">
        <v>68.144858479080611</v>
      </c>
      <c r="K84" s="7">
        <v>76.804724764505934</v>
      </c>
    </row>
    <row r="85" spans="1:11" x14ac:dyDescent="0.3">
      <c r="A85">
        <v>9</v>
      </c>
      <c r="B85" t="s">
        <v>350</v>
      </c>
      <c r="D85" s="7">
        <v>38.828887265514901</v>
      </c>
      <c r="E85" s="7">
        <v>38.03477402360555</v>
      </c>
      <c r="F85" s="7">
        <v>47.855509022918064</v>
      </c>
      <c r="G85" s="7">
        <v>46.805125769840288</v>
      </c>
      <c r="H85" s="7">
        <v>62.684766549330796</v>
      </c>
      <c r="I85" s="7">
        <v>73.846927808630141</v>
      </c>
      <c r="J85" s="7">
        <v>70.164821310711957</v>
      </c>
      <c r="K85" s="7">
        <v>78.373295956628851</v>
      </c>
    </row>
    <row r="86" spans="1:11" x14ac:dyDescent="0.3">
      <c r="A86">
        <v>10</v>
      </c>
      <c r="B86" t="s">
        <v>206</v>
      </c>
      <c r="D86" s="7">
        <v>66.94980032659582</v>
      </c>
      <c r="E86" s="7">
        <v>52.352151815405712</v>
      </c>
      <c r="F86" s="7">
        <v>65.916509166924314</v>
      </c>
      <c r="G86" s="7">
        <v>55.792837715862511</v>
      </c>
      <c r="H86" s="7">
        <v>56.414179120571518</v>
      </c>
      <c r="I86" s="7">
        <v>72.795122502595504</v>
      </c>
      <c r="J86" s="7">
        <v>78.771991831184778</v>
      </c>
      <c r="K86" s="7">
        <v>77.980478001053228</v>
      </c>
    </row>
    <row r="87" spans="1:11" x14ac:dyDescent="0.3">
      <c r="A87">
        <v>12</v>
      </c>
      <c r="B87" t="s">
        <v>207</v>
      </c>
      <c r="D87" s="7">
        <v>51.543628328597414</v>
      </c>
      <c r="E87" s="7">
        <v>45.793128027197568</v>
      </c>
      <c r="F87" s="7">
        <v>51.437558818184137</v>
      </c>
      <c r="G87" s="7">
        <v>54.74377172281384</v>
      </c>
      <c r="H87" s="7">
        <v>54.620458909126356</v>
      </c>
      <c r="I87" s="7">
        <v>49.400338344400332</v>
      </c>
      <c r="J87" s="7">
        <v>56.810111870597609</v>
      </c>
      <c r="K87" s="7">
        <v>61.814111311261314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G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2024-12-27T12:02:43Z</dcterms:modified>
</cp:coreProperties>
</file>