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-120" yWindow="-120" windowWidth="20736" windowHeight="11760" firstSheet="7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4" r:id="rId5"/>
    <sheet name="Missione12_Macroaggregati" sheetId="15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L19" i="7" l="1"/>
  <c r="L18" i="7"/>
  <c r="L17" i="7"/>
  <c r="L14" i="7"/>
  <c r="L13" i="7"/>
  <c r="L12" i="7"/>
  <c r="L10" i="7"/>
  <c r="L9" i="7"/>
  <c r="L8" i="7"/>
  <c r="L7" i="7"/>
  <c r="L6" i="7"/>
  <c r="L4" i="7"/>
  <c r="L3" i="7"/>
  <c r="L2" i="7"/>
  <c r="K9" i="12"/>
  <c r="K8" i="12"/>
  <c r="K7" i="12"/>
  <c r="K6" i="12"/>
  <c r="K5" i="12"/>
  <c r="K4" i="12"/>
  <c r="K3" i="12"/>
  <c r="K2" i="12"/>
  <c r="K6" i="9"/>
  <c r="K5" i="9"/>
  <c r="K4" i="9"/>
  <c r="K3" i="9"/>
  <c r="K2" i="9"/>
  <c r="H6" i="9"/>
  <c r="H5" i="9"/>
  <c r="H4" i="9"/>
  <c r="H3" i="9"/>
  <c r="H2" i="9"/>
  <c r="K7" i="8"/>
  <c r="H29" i="8"/>
  <c r="H28" i="8"/>
  <c r="K28" i="8" s="1"/>
  <c r="H26" i="8"/>
  <c r="K26" i="8" s="1"/>
  <c r="H25" i="8"/>
  <c r="K25" i="8" s="1"/>
  <c r="H24" i="8"/>
  <c r="H23" i="8"/>
  <c r="K23" i="8" s="1"/>
  <c r="H22" i="8"/>
  <c r="K22" i="8" s="1"/>
  <c r="H19" i="8"/>
  <c r="H18" i="8"/>
  <c r="K18" i="8" s="1"/>
  <c r="H17" i="8"/>
  <c r="K17" i="8" s="1"/>
  <c r="H16" i="8"/>
  <c r="K16" i="8" s="1"/>
  <c r="H14" i="8"/>
  <c r="H13" i="8"/>
  <c r="K13" i="8" s="1"/>
  <c r="H12" i="8"/>
  <c r="H11" i="8"/>
  <c r="H9" i="8"/>
  <c r="H8" i="8"/>
  <c r="H7" i="8"/>
  <c r="H6" i="8"/>
  <c r="H5" i="8"/>
  <c r="H4" i="8"/>
  <c r="H3" i="8"/>
  <c r="H2" i="8"/>
  <c r="H19" i="7"/>
  <c r="H18" i="7"/>
  <c r="K18" i="7" s="1"/>
  <c r="H17" i="7"/>
  <c r="H14" i="7"/>
  <c r="H13" i="7"/>
  <c r="H12" i="7"/>
  <c r="K12" i="7" s="1"/>
  <c r="H10" i="7"/>
  <c r="H9" i="7"/>
  <c r="H8" i="7"/>
  <c r="H7" i="7"/>
  <c r="H6" i="7"/>
  <c r="H4" i="7"/>
  <c r="H3" i="7"/>
  <c r="H2" i="7"/>
  <c r="AA56" i="2"/>
  <c r="AA57" i="2"/>
  <c r="AA58" i="2"/>
  <c r="AA59" i="2"/>
  <c r="Z59" i="2"/>
  <c r="Z58" i="2"/>
  <c r="Z57" i="2"/>
  <c r="Z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W53" i="2"/>
  <c r="X52" i="2"/>
  <c r="W52" i="2"/>
  <c r="X51" i="2"/>
  <c r="W51" i="2"/>
  <c r="X50" i="2"/>
  <c r="W50" i="2"/>
  <c r="X49" i="2"/>
  <c r="W49" i="2"/>
  <c r="X48" i="2"/>
  <c r="X54" i="2" s="1"/>
  <c r="X55" i="2" s="1"/>
  <c r="W48" i="2"/>
  <c r="W54" i="2" s="1"/>
  <c r="W55" i="2" s="1"/>
  <c r="X16" i="2"/>
  <c r="W16" i="2"/>
  <c r="X15" i="2"/>
  <c r="X57" i="2" s="1"/>
  <c r="W15" i="2"/>
  <c r="W57" i="2" s="1"/>
  <c r="X14" i="2"/>
  <c r="X20" i="2" s="1"/>
  <c r="X21" i="2" s="1"/>
  <c r="X59" i="2" s="1"/>
  <c r="W14" i="2"/>
  <c r="W20" i="2" s="1"/>
  <c r="W21" i="2" s="1"/>
  <c r="X61" i="2"/>
  <c r="U60" i="2"/>
  <c r="T56" i="2"/>
  <c r="T53" i="2"/>
  <c r="V53" i="2" s="1"/>
  <c r="V52" i="2"/>
  <c r="U52" i="2"/>
  <c r="T52" i="2"/>
  <c r="U51" i="2"/>
  <c r="T51" i="2"/>
  <c r="V51" i="2" s="1"/>
  <c r="U50" i="2"/>
  <c r="U61" i="2" s="1"/>
  <c r="T50" i="2"/>
  <c r="V50" i="2" s="1"/>
  <c r="V49" i="2"/>
  <c r="U49" i="2"/>
  <c r="T49" i="2"/>
  <c r="U48" i="2"/>
  <c r="U54" i="2" s="1"/>
  <c r="U55" i="2" s="1"/>
  <c r="T48" i="2"/>
  <c r="V48" i="2" s="1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U62" i="2" s="1"/>
  <c r="T16" i="2"/>
  <c r="T62" i="2" s="1"/>
  <c r="U15" i="2"/>
  <c r="U57" i="2" s="1"/>
  <c r="T15" i="2"/>
  <c r="V15" i="2" s="1"/>
  <c r="V14" i="2"/>
  <c r="U14" i="2"/>
  <c r="U63" i="2" s="1"/>
  <c r="T14" i="2"/>
  <c r="T63" i="2" s="1"/>
  <c r="V13" i="2"/>
  <c r="V12" i="2"/>
  <c r="V11" i="2"/>
  <c r="V10" i="2"/>
  <c r="V9" i="2"/>
  <c r="V8" i="2"/>
  <c r="V7" i="2"/>
  <c r="V6" i="2"/>
  <c r="V5" i="2"/>
  <c r="V4" i="2"/>
  <c r="V3" i="2"/>
  <c r="I17" i="15"/>
  <c r="I16" i="15"/>
  <c r="I15" i="15"/>
  <c r="J17" i="15" s="1"/>
  <c r="B115" i="14"/>
  <c r="H114" i="14"/>
  <c r="H113" i="14"/>
  <c r="H112" i="14"/>
  <c r="H111" i="14"/>
  <c r="H110" i="14"/>
  <c r="H109" i="14"/>
  <c r="H108" i="14"/>
  <c r="H107" i="14"/>
  <c r="H115" i="14"/>
  <c r="H106" i="14"/>
  <c r="C24" i="14"/>
  <c r="B24" i="14"/>
  <c r="F25" i="14" s="1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3" i="13"/>
  <c r="E4" i="13"/>
  <c r="G3" i="13"/>
  <c r="I24" i="5"/>
  <c r="I20" i="5"/>
  <c r="H27" i="5"/>
  <c r="H24" i="5"/>
  <c r="H20" i="5"/>
  <c r="H26" i="5" s="1"/>
  <c r="H13" i="5"/>
  <c r="J15" i="10"/>
  <c r="J13" i="10"/>
  <c r="J12" i="10"/>
  <c r="J11" i="10"/>
  <c r="J8" i="10"/>
  <c r="J7" i="10"/>
  <c r="J6" i="10"/>
  <c r="J4" i="10"/>
  <c r="J3" i="10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J5" i="10" s="1"/>
  <c r="K10" i="6"/>
  <c r="K29" i="6" s="1"/>
  <c r="J9" i="10" s="1"/>
  <c r="J23" i="1"/>
  <c r="J19" i="1"/>
  <c r="J13" i="1"/>
  <c r="J7" i="1"/>
  <c r="H28" i="5" l="1"/>
  <c r="J2" i="10"/>
  <c r="J10" i="10" s="1"/>
  <c r="J14" i="10" s="1"/>
  <c r="J16" i="10" s="1"/>
  <c r="J21" i="1"/>
  <c r="H15" i="8"/>
  <c r="H27" i="8"/>
  <c r="H20" i="8"/>
  <c r="H10" i="8"/>
  <c r="H30" i="8" s="1"/>
  <c r="H5" i="7"/>
  <c r="H15" i="7"/>
  <c r="H11" i="7"/>
  <c r="X56" i="2"/>
  <c r="W56" i="2"/>
  <c r="X60" i="2"/>
  <c r="X58" i="2"/>
  <c r="W58" i="2"/>
  <c r="W63" i="2"/>
  <c r="W62" i="2"/>
  <c r="X62" i="2"/>
  <c r="X63" i="2"/>
  <c r="V16" i="2"/>
  <c r="U56" i="2"/>
  <c r="T20" i="2"/>
  <c r="T54" i="2"/>
  <c r="T57" i="2"/>
  <c r="U20" i="2"/>
  <c r="U21" i="2" s="1"/>
  <c r="U59" i="2" s="1"/>
  <c r="T58" i="2"/>
  <c r="U58" i="2"/>
  <c r="J2" i="15"/>
  <c r="J3" i="15"/>
  <c r="J4" i="15"/>
  <c r="J5" i="15"/>
  <c r="J10" i="15"/>
  <c r="J11" i="15"/>
  <c r="I18" i="15"/>
  <c r="J12" i="15"/>
  <c r="J13" i="15"/>
  <c r="J6" i="15"/>
  <c r="J14" i="15"/>
  <c r="J7" i="15"/>
  <c r="J15" i="15"/>
  <c r="J8" i="15"/>
  <c r="J16" i="15"/>
  <c r="J9" i="15"/>
  <c r="D24" i="14"/>
  <c r="E24" i="14"/>
  <c r="K28" i="6"/>
  <c r="H21" i="8" l="1"/>
  <c r="H31" i="8"/>
  <c r="H20" i="7"/>
  <c r="H16" i="7"/>
  <c r="W59" i="2"/>
  <c r="T21" i="2"/>
  <c r="V20" i="2"/>
  <c r="T55" i="2"/>
  <c r="V55" i="2" s="1"/>
  <c r="V54" i="2"/>
  <c r="L3" i="1"/>
  <c r="H21" i="7" l="1"/>
  <c r="V21" i="2"/>
  <c r="T59" i="2"/>
  <c r="L29" i="8"/>
  <c r="L26" i="8"/>
  <c r="L25" i="8"/>
  <c r="L24" i="8"/>
  <c r="L23" i="8"/>
  <c r="L22" i="8"/>
  <c r="L19" i="8"/>
  <c r="L18" i="8"/>
  <c r="L17" i="8"/>
  <c r="L16" i="8"/>
  <c r="L14" i="8"/>
  <c r="L13" i="8"/>
  <c r="L12" i="8"/>
  <c r="L11" i="8"/>
  <c r="L9" i="8"/>
  <c r="L8" i="8"/>
  <c r="L7" i="8"/>
  <c r="L6" i="8"/>
  <c r="L5" i="8"/>
  <c r="L4" i="8"/>
  <c r="L3" i="8"/>
  <c r="L2" i="8"/>
  <c r="I15" i="10" l="1"/>
  <c r="I13" i="10"/>
  <c r="I12" i="10"/>
  <c r="I11" i="10"/>
  <c r="I8" i="10"/>
  <c r="I7" i="10"/>
  <c r="I6" i="10"/>
  <c r="I4" i="10"/>
  <c r="I3" i="10"/>
  <c r="J9" i="12"/>
  <c r="J8" i="12"/>
  <c r="J7" i="12"/>
  <c r="J6" i="12"/>
  <c r="J5" i="12"/>
  <c r="J4" i="12"/>
  <c r="J3" i="12"/>
  <c r="J2" i="12"/>
  <c r="I26" i="8"/>
  <c r="I25" i="8"/>
  <c r="I24" i="8"/>
  <c r="K24" i="8" s="1"/>
  <c r="I23" i="8"/>
  <c r="I22" i="8"/>
  <c r="I19" i="8"/>
  <c r="K19" i="8" s="1"/>
  <c r="I18" i="8"/>
  <c r="I17" i="8"/>
  <c r="I16" i="8"/>
  <c r="I14" i="8"/>
  <c r="K14" i="8" s="1"/>
  <c r="I13" i="8"/>
  <c r="I12" i="8"/>
  <c r="K12" i="8" s="1"/>
  <c r="I11" i="8"/>
  <c r="K11" i="8" s="1"/>
  <c r="I9" i="8"/>
  <c r="K9" i="8" s="1"/>
  <c r="I8" i="8"/>
  <c r="K8" i="8" s="1"/>
  <c r="I7" i="8"/>
  <c r="I6" i="8"/>
  <c r="K6" i="8" s="1"/>
  <c r="I5" i="8"/>
  <c r="K5" i="8" s="1"/>
  <c r="I4" i="8"/>
  <c r="K4" i="8" s="1"/>
  <c r="I3" i="8"/>
  <c r="K3" i="8" s="1"/>
  <c r="I2" i="8"/>
  <c r="K2" i="8" s="1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I19" i="7"/>
  <c r="K19" i="7" s="1"/>
  <c r="I18" i="7"/>
  <c r="I17" i="7"/>
  <c r="K17" i="7" s="1"/>
  <c r="I14" i="7"/>
  <c r="K14" i="7" s="1"/>
  <c r="I13" i="7"/>
  <c r="K13" i="7" s="1"/>
  <c r="I12" i="7"/>
  <c r="I10" i="7"/>
  <c r="K10" i="7" s="1"/>
  <c r="I9" i="7"/>
  <c r="K9" i="7" s="1"/>
  <c r="I8" i="7"/>
  <c r="K8" i="7" s="1"/>
  <c r="I7" i="7"/>
  <c r="K7" i="7" s="1"/>
  <c r="I6" i="7"/>
  <c r="K6" i="7" s="1"/>
  <c r="I4" i="7"/>
  <c r="K4" i="7" s="1"/>
  <c r="I3" i="7"/>
  <c r="K3" i="7" s="1"/>
  <c r="I2" i="7"/>
  <c r="K2" i="7" s="1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I29" i="8"/>
  <c r="K29" i="8" s="1"/>
  <c r="L28" i="8"/>
  <c r="I28" i="8"/>
  <c r="G5" i="7" l="1"/>
  <c r="G20" i="8"/>
  <c r="G10" i="8"/>
  <c r="G15" i="8"/>
  <c r="I4" i="9"/>
  <c r="J4" i="9" s="1"/>
  <c r="G27" i="8"/>
  <c r="G15" i="7"/>
  <c r="G11" i="7"/>
  <c r="G21" i="8" l="1"/>
  <c r="G16" i="7"/>
  <c r="G20" i="7"/>
  <c r="G21" i="7" l="1"/>
  <c r="Y53" i="2" l="1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5" i="2"/>
  <c r="Y13" i="2"/>
  <c r="Y12" i="2"/>
  <c r="Y11" i="2"/>
  <c r="Y10" i="2"/>
  <c r="Y9" i="2"/>
  <c r="Y8" i="2"/>
  <c r="Y7" i="2"/>
  <c r="Y6" i="2"/>
  <c r="Y5" i="2"/>
  <c r="Y4" i="2"/>
  <c r="Y3" i="2"/>
  <c r="I26" i="5"/>
  <c r="I27" i="5"/>
  <c r="G27" i="5"/>
  <c r="G24" i="5"/>
  <c r="G20" i="5"/>
  <c r="G26" i="5" s="1"/>
  <c r="G13" i="5"/>
  <c r="G28" i="5" l="1"/>
  <c r="I2" i="9"/>
  <c r="J2" i="9" s="1"/>
  <c r="Y16" i="2"/>
  <c r="Y14" i="2"/>
  <c r="I3" i="9"/>
  <c r="J3" i="9" s="1"/>
  <c r="I5" i="9" l="1"/>
  <c r="J5" i="9" s="1"/>
  <c r="Y20" i="2"/>
  <c r="Y54" i="2"/>
  <c r="Y55" i="2" l="1"/>
  <c r="Y21" i="2"/>
  <c r="I6" i="9"/>
  <c r="J6" i="9" s="1"/>
  <c r="L10" i="6" l="1"/>
  <c r="J21" i="6"/>
  <c r="I5" i="10" s="1"/>
  <c r="J10" i="6"/>
  <c r="J29" i="6" s="1"/>
  <c r="I9" i="10" s="1"/>
  <c r="I23" i="1"/>
  <c r="I19" i="1"/>
  <c r="I13" i="1"/>
  <c r="I7" i="1"/>
  <c r="G17" i="15"/>
  <c r="G16" i="15"/>
  <c r="G18" i="15" s="1"/>
  <c r="G15" i="15"/>
  <c r="G114" i="14"/>
  <c r="G113" i="14"/>
  <c r="G112" i="14"/>
  <c r="G111" i="14"/>
  <c r="G110" i="14"/>
  <c r="G109" i="14"/>
  <c r="G108" i="14"/>
  <c r="G107" i="14"/>
  <c r="G106" i="14"/>
  <c r="I21" i="1" l="1"/>
  <c r="G115" i="14"/>
  <c r="M10" i="6"/>
  <c r="L29" i="6"/>
  <c r="J28" i="6"/>
  <c r="I2" i="10"/>
  <c r="I10" i="10" s="1"/>
  <c r="I14" i="10" s="1"/>
  <c r="I16" i="10" s="1"/>
  <c r="B38" i="14"/>
  <c r="C37" i="14"/>
  <c r="B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H17" i="15"/>
  <c r="F17" i="15"/>
  <c r="E17" i="15"/>
  <c r="D17" i="15"/>
  <c r="C17" i="15"/>
  <c r="B17" i="15"/>
  <c r="H16" i="15"/>
  <c r="F16" i="15"/>
  <c r="E16" i="15"/>
  <c r="D16" i="15"/>
  <c r="C16" i="15"/>
  <c r="B16" i="15"/>
  <c r="H15" i="15"/>
  <c r="F15" i="15"/>
  <c r="E15" i="15"/>
  <c r="D15" i="15"/>
  <c r="C15" i="15"/>
  <c r="B15" i="15"/>
  <c r="I114" i="14"/>
  <c r="F114" i="14"/>
  <c r="E114" i="14"/>
  <c r="D114" i="14"/>
  <c r="C114" i="14"/>
  <c r="B114" i="14"/>
  <c r="I113" i="14"/>
  <c r="F113" i="14"/>
  <c r="E113" i="14"/>
  <c r="D113" i="14"/>
  <c r="C113" i="14"/>
  <c r="B113" i="14"/>
  <c r="I112" i="14"/>
  <c r="F112" i="14"/>
  <c r="E112" i="14"/>
  <c r="D112" i="14"/>
  <c r="C112" i="14"/>
  <c r="B112" i="14"/>
  <c r="I111" i="14"/>
  <c r="F111" i="14"/>
  <c r="E111" i="14"/>
  <c r="D111" i="14"/>
  <c r="C111" i="14"/>
  <c r="B111" i="14"/>
  <c r="I110" i="14"/>
  <c r="F110" i="14"/>
  <c r="E110" i="14"/>
  <c r="D110" i="14"/>
  <c r="C110" i="14"/>
  <c r="B110" i="14"/>
  <c r="I109" i="14"/>
  <c r="F109" i="14"/>
  <c r="E109" i="14"/>
  <c r="D109" i="14"/>
  <c r="C109" i="14"/>
  <c r="B109" i="14"/>
  <c r="I108" i="14"/>
  <c r="F108" i="14"/>
  <c r="E108" i="14"/>
  <c r="D108" i="14"/>
  <c r="C108" i="14"/>
  <c r="B108" i="14"/>
  <c r="I107" i="14"/>
  <c r="F107" i="14"/>
  <c r="E107" i="14"/>
  <c r="D107" i="14"/>
  <c r="C107" i="14"/>
  <c r="B107" i="14"/>
  <c r="I106" i="14"/>
  <c r="I115" i="14" s="1"/>
  <c r="F106" i="14"/>
  <c r="F115" i="14" s="1"/>
  <c r="E106" i="14"/>
  <c r="D106" i="14"/>
  <c r="C106" i="14"/>
  <c r="B106" i="14"/>
  <c r="C102" i="14"/>
  <c r="B102" i="14"/>
  <c r="F102" i="14" s="1"/>
  <c r="F101" i="14"/>
  <c r="E101" i="14"/>
  <c r="D101" i="14"/>
  <c r="E100" i="14"/>
  <c r="D100" i="14"/>
  <c r="E99" i="14"/>
  <c r="D99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C89" i="14"/>
  <c r="B89" i="14"/>
  <c r="F89" i="14" s="1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C76" i="14"/>
  <c r="E76" i="14" s="1"/>
  <c r="B76" i="14"/>
  <c r="F76" i="14" s="1"/>
  <c r="F75" i="14"/>
  <c r="E75" i="14"/>
  <c r="D75" i="14"/>
  <c r="E74" i="14"/>
  <c r="D74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E68" i="14"/>
  <c r="D68" i="14"/>
  <c r="F67" i="14"/>
  <c r="E67" i="14"/>
  <c r="D67" i="14"/>
  <c r="C63" i="14"/>
  <c r="B63" i="14"/>
  <c r="F63" i="14" s="1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C50" i="14"/>
  <c r="E50" i="14" s="1"/>
  <c r="B50" i="14"/>
  <c r="F51" i="14" s="1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C11" i="14"/>
  <c r="B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E2" i="14"/>
  <c r="D2" i="14"/>
  <c r="E115" i="14" l="1"/>
  <c r="F38" i="14"/>
  <c r="F85" i="14"/>
  <c r="E102" i="14"/>
  <c r="F57" i="14"/>
  <c r="F73" i="14"/>
  <c r="F99" i="14"/>
  <c r="C115" i="14"/>
  <c r="D115" i="14"/>
  <c r="F48" i="14"/>
  <c r="F21" i="14"/>
  <c r="F18" i="14"/>
  <c r="F23" i="14"/>
  <c r="F15" i="14"/>
  <c r="F20" i="14"/>
  <c r="F17" i="14"/>
  <c r="F22" i="14"/>
  <c r="F19" i="14"/>
  <c r="F16" i="14"/>
  <c r="F24" i="14"/>
  <c r="M29" i="6"/>
  <c r="K9" i="10"/>
  <c r="L9" i="10" s="1"/>
  <c r="B18" i="15"/>
  <c r="D18" i="15"/>
  <c r="F18" i="15"/>
  <c r="F55" i="14"/>
  <c r="F59" i="14"/>
  <c r="F81" i="14"/>
  <c r="F87" i="14"/>
  <c r="C18" i="15"/>
  <c r="E18" i="15"/>
  <c r="E37" i="14"/>
  <c r="H18" i="15"/>
  <c r="F61" i="14"/>
  <c r="F103" i="14"/>
  <c r="F41" i="14"/>
  <c r="F9" i="14"/>
  <c r="F68" i="14"/>
  <c r="F77" i="14"/>
  <c r="F100" i="14"/>
  <c r="F74" i="14"/>
  <c r="F83" i="14"/>
  <c r="F98" i="14"/>
  <c r="F43" i="14"/>
  <c r="F34" i="14"/>
  <c r="F3" i="14"/>
  <c r="F6" i="14"/>
  <c r="F36" i="14"/>
  <c r="F4" i="14"/>
  <c r="F50" i="14"/>
  <c r="F28" i="14"/>
  <c r="F31" i="14"/>
  <c r="F2" i="14"/>
  <c r="F47" i="14"/>
  <c r="F29" i="14"/>
  <c r="F7" i="14"/>
  <c r="F32" i="14"/>
  <c r="F30" i="14"/>
  <c r="F10" i="14"/>
  <c r="F45" i="14"/>
  <c r="F35" i="14"/>
  <c r="F5" i="14"/>
  <c r="F8" i="14"/>
  <c r="E11" i="14"/>
  <c r="F49" i="14"/>
  <c r="F33" i="14"/>
  <c r="D37" i="14"/>
  <c r="F37" i="14"/>
  <c r="D63" i="14"/>
  <c r="D89" i="14"/>
  <c r="D11" i="14"/>
  <c r="F11" i="14"/>
  <c r="F12" i="14"/>
  <c r="F42" i="14"/>
  <c r="F44" i="14"/>
  <c r="F46" i="14"/>
  <c r="D50" i="14"/>
  <c r="F54" i="14"/>
  <c r="F56" i="14"/>
  <c r="F58" i="14"/>
  <c r="F60" i="14"/>
  <c r="F62" i="14"/>
  <c r="E63" i="14"/>
  <c r="F64" i="14"/>
  <c r="D76" i="14"/>
  <c r="F80" i="14"/>
  <c r="F82" i="14"/>
  <c r="F84" i="14"/>
  <c r="F86" i="14"/>
  <c r="F88" i="14"/>
  <c r="E89" i="14"/>
  <c r="F90" i="14"/>
  <c r="D102" i="14"/>
  <c r="G4" i="13" l="1"/>
  <c r="G5" i="13" l="1"/>
  <c r="G11" i="13" l="1"/>
  <c r="G10" i="13"/>
  <c r="G9" i="13"/>
  <c r="G8" i="13"/>
  <c r="G7" i="13"/>
  <c r="G6" i="13"/>
  <c r="I9" i="12" l="1"/>
  <c r="I8" i="12"/>
  <c r="I7" i="12"/>
  <c r="I6" i="12"/>
  <c r="I5" i="12"/>
  <c r="I4" i="12"/>
  <c r="I3" i="12"/>
  <c r="I2" i="12"/>
  <c r="Q53" i="2"/>
  <c r="R52" i="2"/>
  <c r="Q52" i="2"/>
  <c r="R51" i="2"/>
  <c r="Q51" i="2"/>
  <c r="R50" i="2"/>
  <c r="Q50" i="2"/>
  <c r="R49" i="2"/>
  <c r="Q49" i="2"/>
  <c r="R48" i="2"/>
  <c r="Q48" i="2"/>
  <c r="R16" i="2"/>
  <c r="Q16" i="2"/>
  <c r="R15" i="2"/>
  <c r="Q15" i="2"/>
  <c r="R14" i="2"/>
  <c r="Q14" i="2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Q20" i="2" l="1"/>
  <c r="G28" i="8"/>
  <c r="G29" i="8"/>
  <c r="R20" i="2"/>
  <c r="F15" i="8"/>
  <c r="F27" i="8"/>
  <c r="F20" i="8"/>
  <c r="F10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N53" i="2"/>
  <c r="O52" i="2"/>
  <c r="N52" i="2"/>
  <c r="F28" i="8" s="1"/>
  <c r="O51" i="2"/>
  <c r="N51" i="2"/>
  <c r="O50" i="2"/>
  <c r="N50" i="2"/>
  <c r="O49" i="2"/>
  <c r="N49" i="2"/>
  <c r="O48" i="2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O57" i="2" s="1"/>
  <c r="N15" i="2"/>
  <c r="O14" i="2"/>
  <c r="O63" i="2" s="1"/>
  <c r="N14" i="2"/>
  <c r="N63" i="2" s="1"/>
  <c r="P13" i="2"/>
  <c r="P12" i="2"/>
  <c r="P11" i="2"/>
  <c r="P10" i="2"/>
  <c r="P9" i="2"/>
  <c r="P8" i="2"/>
  <c r="P7" i="2"/>
  <c r="P6" i="2"/>
  <c r="P5" i="2"/>
  <c r="P4" i="2"/>
  <c r="P3" i="2"/>
  <c r="F27" i="5"/>
  <c r="F26" i="5"/>
  <c r="F20" i="5"/>
  <c r="F13" i="5"/>
  <c r="H15" i="10"/>
  <c r="H13" i="10"/>
  <c r="H12" i="10"/>
  <c r="H11" i="10"/>
  <c r="H8" i="10"/>
  <c r="H7" i="10"/>
  <c r="H6" i="10"/>
  <c r="H4" i="10"/>
  <c r="H3" i="10"/>
  <c r="I21" i="6"/>
  <c r="H5" i="10" s="1"/>
  <c r="I10" i="6"/>
  <c r="I29" i="6" s="1"/>
  <c r="H9" i="10" s="1"/>
  <c r="H23" i="1"/>
  <c r="H19" i="1"/>
  <c r="H13" i="1"/>
  <c r="H7" i="1"/>
  <c r="O54" i="2" l="1"/>
  <c r="O55" i="2" s="1"/>
  <c r="H21" i="1"/>
  <c r="I28" i="6"/>
  <c r="P50" i="2"/>
  <c r="P51" i="2"/>
  <c r="R21" i="2"/>
  <c r="G30" i="8"/>
  <c r="G31" i="8" s="1"/>
  <c r="Q21" i="2"/>
  <c r="F11" i="7"/>
  <c r="F21" i="8"/>
  <c r="H2" i="10"/>
  <c r="H10" i="10" s="1"/>
  <c r="H14" i="10" s="1"/>
  <c r="H16" i="10" s="1"/>
  <c r="O62" i="2"/>
  <c r="P48" i="2"/>
  <c r="P49" i="2"/>
  <c r="P53" i="2"/>
  <c r="F29" i="8"/>
  <c r="F30" i="8" s="1"/>
  <c r="F15" i="7"/>
  <c r="F28" i="5"/>
  <c r="P15" i="2"/>
  <c r="N62" i="2"/>
  <c r="F4" i="9"/>
  <c r="P16" i="2"/>
  <c r="P52" i="2"/>
  <c r="F5" i="7"/>
  <c r="P14" i="2"/>
  <c r="N56" i="2"/>
  <c r="F2" i="9" s="1"/>
  <c r="O60" i="2"/>
  <c r="O56" i="2"/>
  <c r="O61" i="2"/>
  <c r="N20" i="2"/>
  <c r="N54" i="2"/>
  <c r="N57" i="2"/>
  <c r="O20" i="2"/>
  <c r="O21" i="2" s="1"/>
  <c r="O59" i="2" s="1"/>
  <c r="N58" i="2"/>
  <c r="F5" i="9" s="1"/>
  <c r="O58" i="2"/>
  <c r="S21" i="2" l="1"/>
  <c r="F20" i="7"/>
  <c r="F21" i="7" s="1"/>
  <c r="F16" i="7"/>
  <c r="F3" i="9"/>
  <c r="F31" i="8"/>
  <c r="N55" i="2"/>
  <c r="P55" i="2" s="1"/>
  <c r="P54" i="2"/>
  <c r="N21" i="2"/>
  <c r="P20" i="2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K53" i="2"/>
  <c r="M53" i="2" s="1"/>
  <c r="L52" i="2"/>
  <c r="K52" i="2"/>
  <c r="M52" i="2" s="1"/>
  <c r="L51" i="2"/>
  <c r="K51" i="2"/>
  <c r="M51" i="2" s="1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I28" i="5"/>
  <c r="I13" i="5"/>
  <c r="K15" i="10"/>
  <c r="L15" i="10" s="1"/>
  <c r="K13" i="10"/>
  <c r="L13" i="10" s="1"/>
  <c r="K12" i="10"/>
  <c r="L12" i="10" s="1"/>
  <c r="K11" i="10"/>
  <c r="L11" i="10" s="1"/>
  <c r="K8" i="10"/>
  <c r="L8" i="10" s="1"/>
  <c r="K7" i="10"/>
  <c r="L7" i="10" s="1"/>
  <c r="K6" i="10"/>
  <c r="L6" i="10" s="1"/>
  <c r="K4" i="10"/>
  <c r="L4" i="10" s="1"/>
  <c r="K3" i="10"/>
  <c r="L3" i="10" s="1"/>
  <c r="L21" i="6"/>
  <c r="M21" i="6" s="1"/>
  <c r="K23" i="1"/>
  <c r="K19" i="1"/>
  <c r="K13" i="1"/>
  <c r="K7" i="1"/>
  <c r="L63" i="2" l="1"/>
  <c r="P21" i="2"/>
  <c r="N59" i="2"/>
  <c r="F6" i="9" s="1"/>
  <c r="K5" i="10"/>
  <c r="L5" i="10" s="1"/>
  <c r="K2" i="10"/>
  <c r="L2" i="10" s="1"/>
  <c r="K20" i="2"/>
  <c r="K21" i="2" s="1"/>
  <c r="K63" i="2"/>
  <c r="L62" i="2"/>
  <c r="K57" i="2"/>
  <c r="M50" i="2"/>
  <c r="Q63" i="2"/>
  <c r="Q62" i="2"/>
  <c r="E28" i="8"/>
  <c r="K62" i="2"/>
  <c r="R63" i="2"/>
  <c r="R62" i="2"/>
  <c r="L20" i="2"/>
  <c r="M15" i="2"/>
  <c r="L61" i="2"/>
  <c r="E29" i="8"/>
  <c r="M14" i="2"/>
  <c r="M16" i="2"/>
  <c r="M48" i="2"/>
  <c r="L54" i="2"/>
  <c r="K56" i="2"/>
  <c r="E4" i="9"/>
  <c r="K54" i="2"/>
  <c r="K55" i="2" s="1"/>
  <c r="L57" i="2"/>
  <c r="E27" i="8"/>
  <c r="E10" i="8"/>
  <c r="E15" i="8"/>
  <c r="E20" i="8"/>
  <c r="E5" i="7"/>
  <c r="E15" i="7"/>
  <c r="E11" i="7"/>
  <c r="L60" i="2"/>
  <c r="L56" i="2"/>
  <c r="L58" i="2"/>
  <c r="K58" i="2"/>
  <c r="M49" i="2"/>
  <c r="L28" i="6"/>
  <c r="M28" i="6" s="1"/>
  <c r="K21" i="1"/>
  <c r="I16" i="2"/>
  <c r="H16" i="2"/>
  <c r="I15" i="2"/>
  <c r="H15" i="2"/>
  <c r="I14" i="2"/>
  <c r="H14" i="2"/>
  <c r="F16" i="2"/>
  <c r="E16" i="2"/>
  <c r="F15" i="2"/>
  <c r="E15" i="2"/>
  <c r="F14" i="2"/>
  <c r="F63" i="2" s="1"/>
  <c r="E14" i="2"/>
  <c r="E63" i="2" s="1"/>
  <c r="C14" i="2"/>
  <c r="C15" i="2"/>
  <c r="C16" i="2"/>
  <c r="B15" i="2"/>
  <c r="B14" i="2"/>
  <c r="B16" i="2"/>
  <c r="C62" i="2" l="1"/>
  <c r="M20" i="2"/>
  <c r="K10" i="10"/>
  <c r="L10" i="10" s="1"/>
  <c r="F62" i="2"/>
  <c r="E20" i="7"/>
  <c r="E21" i="7" s="1"/>
  <c r="B62" i="2"/>
  <c r="H63" i="2"/>
  <c r="H62" i="2"/>
  <c r="E62" i="2"/>
  <c r="B63" i="2"/>
  <c r="C63" i="2"/>
  <c r="I63" i="2"/>
  <c r="I62" i="2"/>
  <c r="E30" i="8"/>
  <c r="E31" i="8" s="1"/>
  <c r="E3" i="9"/>
  <c r="E16" i="7"/>
  <c r="L55" i="2"/>
  <c r="L21" i="2"/>
  <c r="E5" i="9"/>
  <c r="E2" i="9"/>
  <c r="M54" i="2"/>
  <c r="E21" i="8"/>
  <c r="K59" i="2"/>
  <c r="E6" i="9" s="1"/>
  <c r="L9" i="12"/>
  <c r="L8" i="12"/>
  <c r="L7" i="12"/>
  <c r="L6" i="12"/>
  <c r="L5" i="12"/>
  <c r="L4" i="12"/>
  <c r="L3" i="12"/>
  <c r="L2" i="12"/>
  <c r="E27" i="5"/>
  <c r="E26" i="5"/>
  <c r="E13" i="5"/>
  <c r="G15" i="10"/>
  <c r="G13" i="10"/>
  <c r="G12" i="10"/>
  <c r="G11" i="10"/>
  <c r="G8" i="10"/>
  <c r="G7" i="10"/>
  <c r="G6" i="10"/>
  <c r="G4" i="10"/>
  <c r="G3" i="10"/>
  <c r="H21" i="6"/>
  <c r="H10" i="6"/>
  <c r="H29" i="6" s="1"/>
  <c r="G9" i="10" s="1"/>
  <c r="D21" i="6"/>
  <c r="E21" i="6"/>
  <c r="F21" i="6"/>
  <c r="G21" i="6"/>
  <c r="C21" i="6"/>
  <c r="E10" i="6"/>
  <c r="F10" i="6"/>
  <c r="G10" i="6"/>
  <c r="G29" i="6" s="1"/>
  <c r="F9" i="10" s="1"/>
  <c r="M26" i="8"/>
  <c r="M22" i="8"/>
  <c r="M12" i="7"/>
  <c r="R60" i="2"/>
  <c r="I60" i="2"/>
  <c r="F60" i="2"/>
  <c r="C60" i="2"/>
  <c r="B53" i="2"/>
  <c r="C52" i="2"/>
  <c r="B52" i="2"/>
  <c r="C51" i="2"/>
  <c r="B51" i="2"/>
  <c r="C50" i="2"/>
  <c r="B50" i="2"/>
  <c r="C49" i="2"/>
  <c r="C57" i="2" s="1"/>
  <c r="B49" i="2"/>
  <c r="B57" i="2" s="1"/>
  <c r="B3" i="9" s="1"/>
  <c r="C48" i="2"/>
  <c r="C56" i="2" s="1"/>
  <c r="B48" i="2"/>
  <c r="B56" i="2" s="1"/>
  <c r="B2" i="9" s="1"/>
  <c r="E53" i="2"/>
  <c r="F52" i="2"/>
  <c r="E52" i="2"/>
  <c r="F51" i="2"/>
  <c r="E51" i="2"/>
  <c r="F50" i="2"/>
  <c r="E50" i="2"/>
  <c r="F49" i="2"/>
  <c r="F57" i="2" s="1"/>
  <c r="E49" i="2"/>
  <c r="E57" i="2" s="1"/>
  <c r="C3" i="9" s="1"/>
  <c r="F48" i="2"/>
  <c r="E48" i="2"/>
  <c r="H53" i="2"/>
  <c r="I52" i="2"/>
  <c r="H52" i="2"/>
  <c r="I51" i="2"/>
  <c r="H51" i="2"/>
  <c r="I50" i="2"/>
  <c r="H50" i="2"/>
  <c r="I49" i="2"/>
  <c r="I57" i="2" s="1"/>
  <c r="H49" i="2"/>
  <c r="H57" i="2" s="1"/>
  <c r="D3" i="9" s="1"/>
  <c r="I48" i="2"/>
  <c r="H48" i="2"/>
  <c r="G4" i="9"/>
  <c r="R57" i="2"/>
  <c r="Q57" i="2"/>
  <c r="R54" i="2"/>
  <c r="Q54" i="2"/>
  <c r="C20" i="2"/>
  <c r="C21" i="2" s="1"/>
  <c r="B20" i="2"/>
  <c r="B21" i="2" s="1"/>
  <c r="F20" i="2"/>
  <c r="F21" i="2" s="1"/>
  <c r="E20" i="2"/>
  <c r="E21" i="2" s="1"/>
  <c r="I20" i="2"/>
  <c r="I21" i="2" s="1"/>
  <c r="H20" i="2"/>
  <c r="H21" i="2" s="1"/>
  <c r="E28" i="6" l="1"/>
  <c r="E29" i="6"/>
  <c r="D9" i="10" s="1"/>
  <c r="F28" i="6"/>
  <c r="F29" i="6"/>
  <c r="E9" i="10" s="1"/>
  <c r="G3" i="9"/>
  <c r="M14" i="8"/>
  <c r="M17" i="8"/>
  <c r="K14" i="10"/>
  <c r="L14" i="10" s="1"/>
  <c r="E28" i="5"/>
  <c r="M7" i="8"/>
  <c r="M23" i="8"/>
  <c r="M18" i="7"/>
  <c r="R55" i="2"/>
  <c r="M16" i="8"/>
  <c r="Q55" i="2"/>
  <c r="H58" i="2"/>
  <c r="D5" i="9" s="1"/>
  <c r="M9" i="8"/>
  <c r="L59" i="2"/>
  <c r="G5" i="10"/>
  <c r="M5" i="8"/>
  <c r="G2" i="10"/>
  <c r="I58" i="2"/>
  <c r="H56" i="2"/>
  <c r="D2" i="9" s="1"/>
  <c r="M21" i="2"/>
  <c r="M55" i="2"/>
  <c r="M4" i="8"/>
  <c r="M8" i="8"/>
  <c r="M24" i="8"/>
  <c r="M8" i="7"/>
  <c r="M13" i="7"/>
  <c r="M17" i="7"/>
  <c r="M2" i="7"/>
  <c r="M7" i="7"/>
  <c r="M4" i="7"/>
  <c r="M2" i="8"/>
  <c r="M6" i="8"/>
  <c r="M11" i="8"/>
  <c r="M6" i="7"/>
  <c r="M10" i="7"/>
  <c r="C58" i="2"/>
  <c r="M9" i="7"/>
  <c r="M3" i="8"/>
  <c r="M12" i="8"/>
  <c r="M19" i="7"/>
  <c r="E58" i="2"/>
  <c r="C5" i="9" s="1"/>
  <c r="I56" i="2"/>
  <c r="M14" i="7"/>
  <c r="I5" i="7"/>
  <c r="K5" i="7" s="1"/>
  <c r="F61" i="2"/>
  <c r="H28" i="6"/>
  <c r="M28" i="8"/>
  <c r="C61" i="2"/>
  <c r="I61" i="2"/>
  <c r="B58" i="2"/>
  <c r="B5" i="9" s="1"/>
  <c r="B54" i="2"/>
  <c r="B55" i="2" s="1"/>
  <c r="B59" i="2" s="1"/>
  <c r="B6" i="9" s="1"/>
  <c r="F56" i="2"/>
  <c r="F58" i="2"/>
  <c r="R56" i="2"/>
  <c r="R58" i="2"/>
  <c r="R61" i="2"/>
  <c r="M3" i="7"/>
  <c r="M13" i="8"/>
  <c r="M19" i="8"/>
  <c r="M25" i="8"/>
  <c r="E56" i="2"/>
  <c r="C2" i="9" s="1"/>
  <c r="Q56" i="2"/>
  <c r="Q58" i="2"/>
  <c r="I27" i="8"/>
  <c r="K27" i="8" s="1"/>
  <c r="M18" i="8"/>
  <c r="M29" i="8"/>
  <c r="I10" i="8"/>
  <c r="K10" i="8" s="1"/>
  <c r="I15" i="8"/>
  <c r="K15" i="8" s="1"/>
  <c r="I20" i="8"/>
  <c r="K20" i="8" s="1"/>
  <c r="I11" i="7"/>
  <c r="K11" i="7" s="1"/>
  <c r="I15" i="7"/>
  <c r="K15" i="7" s="1"/>
  <c r="F54" i="2"/>
  <c r="F55" i="2" s="1"/>
  <c r="F59" i="2" s="1"/>
  <c r="C54" i="2"/>
  <c r="C55" i="2" s="1"/>
  <c r="C59" i="2" s="1"/>
  <c r="I54" i="2"/>
  <c r="I55" i="2" s="1"/>
  <c r="I59" i="2" s="1"/>
  <c r="E54" i="2"/>
  <c r="E55" i="2" s="1"/>
  <c r="E59" i="2" s="1"/>
  <c r="C6" i="9" s="1"/>
  <c r="H54" i="2"/>
  <c r="H55" i="2" s="1"/>
  <c r="H59" i="2" s="1"/>
  <c r="D6" i="9" s="1"/>
  <c r="K16" i="10" l="1"/>
  <c r="L16" i="10" s="1"/>
  <c r="R59" i="2"/>
  <c r="Q59" i="2"/>
  <c r="G6" i="9" s="1"/>
  <c r="G2" i="9"/>
  <c r="G10" i="10"/>
  <c r="G5" i="9"/>
  <c r="I21" i="8"/>
  <c r="K21" i="8" s="1"/>
  <c r="I30" i="8"/>
  <c r="K30" i="8" s="1"/>
  <c r="I16" i="7"/>
  <c r="K16" i="7" s="1"/>
  <c r="I20" i="7"/>
  <c r="K20" i="7" s="1"/>
  <c r="I31" i="8" l="1"/>
  <c r="K31" i="8" s="1"/>
  <c r="G14" i="10"/>
  <c r="I21" i="7"/>
  <c r="K21" i="7" s="1"/>
  <c r="J6" i="8" l="1"/>
  <c r="J23" i="8"/>
  <c r="J10" i="8"/>
  <c r="J19" i="8"/>
  <c r="J26" i="8"/>
  <c r="J13" i="8"/>
  <c r="J31" i="8"/>
  <c r="J20" i="8"/>
  <c r="J4" i="8"/>
  <c r="J17" i="8"/>
  <c r="J16" i="8"/>
  <c r="J24" i="8"/>
  <c r="J28" i="8"/>
  <c r="J7" i="8"/>
  <c r="J11" i="8"/>
  <c r="J18" i="8"/>
  <c r="J22" i="8"/>
  <c r="J2" i="8"/>
  <c r="J15" i="8"/>
  <c r="J9" i="8"/>
  <c r="J14" i="8"/>
  <c r="J8" i="8"/>
  <c r="J21" i="8"/>
  <c r="J27" i="8"/>
  <c r="J5" i="8"/>
  <c r="J3" i="8"/>
  <c r="J16" i="7"/>
  <c r="G16" i="10"/>
  <c r="J12" i="8"/>
  <c r="J25" i="8"/>
  <c r="J10" i="7"/>
  <c r="J6" i="7"/>
  <c r="J4" i="7"/>
  <c r="J21" i="7"/>
  <c r="J17" i="7"/>
  <c r="J9" i="7"/>
  <c r="J5" i="7"/>
  <c r="J12" i="7"/>
  <c r="J18" i="7"/>
  <c r="J14" i="7"/>
  <c r="J8" i="7"/>
  <c r="J7" i="7"/>
  <c r="J13" i="7"/>
  <c r="J2" i="7"/>
  <c r="J3" i="7"/>
  <c r="J11" i="7"/>
  <c r="J15" i="7"/>
  <c r="S55" i="2" l="1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C19" i="1"/>
  <c r="D19" i="1"/>
  <c r="E19" i="1"/>
  <c r="F19" i="1"/>
  <c r="G19" i="1"/>
  <c r="B19" i="1"/>
  <c r="C13" i="1"/>
  <c r="D13" i="1"/>
  <c r="E13" i="1"/>
  <c r="F13" i="1"/>
  <c r="G13" i="1"/>
  <c r="B13" i="1"/>
  <c r="D7" i="1"/>
  <c r="E7" i="1"/>
  <c r="F7" i="1"/>
  <c r="G7" i="1"/>
  <c r="C7" i="1"/>
  <c r="G23" i="1"/>
  <c r="G21" i="1" l="1"/>
  <c r="B23" i="1"/>
  <c r="C23" i="1"/>
  <c r="D23" i="1"/>
  <c r="E23" i="1"/>
  <c r="F23" i="1"/>
  <c r="B15" i="10"/>
  <c r="B13" i="10"/>
  <c r="B12" i="10"/>
  <c r="B11" i="10"/>
  <c r="B8" i="10"/>
  <c r="B7" i="10"/>
  <c r="B6" i="10"/>
  <c r="B4" i="10"/>
  <c r="B3" i="10"/>
  <c r="C9" i="6"/>
  <c r="D9" i="6"/>
  <c r="D10" i="6" s="1"/>
  <c r="B5" i="10"/>
  <c r="D28" i="6" l="1"/>
  <c r="D29" i="6"/>
  <c r="C9" i="10" s="1"/>
  <c r="C10" i="6"/>
  <c r="D27" i="5"/>
  <c r="C27" i="5"/>
  <c r="B27" i="5"/>
  <c r="D26" i="5"/>
  <c r="C26" i="5"/>
  <c r="B26" i="5"/>
  <c r="D13" i="5"/>
  <c r="C13" i="5"/>
  <c r="B13" i="5"/>
  <c r="G28" i="6"/>
  <c r="B21" i="1"/>
  <c r="C28" i="6" l="1"/>
  <c r="C29" i="6"/>
  <c r="B9" i="10" s="1"/>
  <c r="B28" i="5"/>
  <c r="D28" i="5"/>
  <c r="C28" i="5"/>
  <c r="B2" i="10"/>
  <c r="B10" i="10" s="1"/>
  <c r="B14" i="10" s="1"/>
  <c r="B16" i="10" s="1"/>
  <c r="C21" i="1"/>
  <c r="D21" i="1"/>
  <c r="E21" i="1"/>
  <c r="F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C4" i="9" l="1"/>
  <c r="B4" i="9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L20" i="8" l="1"/>
  <c r="M20" i="8" s="1"/>
  <c r="L11" i="7"/>
  <c r="M11" i="7" s="1"/>
  <c r="D15" i="8"/>
  <c r="B5" i="7"/>
  <c r="L15" i="7"/>
  <c r="M15" i="7" s="1"/>
  <c r="B11" i="7"/>
  <c r="B27" i="8"/>
  <c r="B15" i="7"/>
  <c r="D27" i="8"/>
  <c r="L27" i="8"/>
  <c r="M27" i="8" s="1"/>
  <c r="L15" i="8"/>
  <c r="M15" i="8" s="1"/>
  <c r="C27" i="8"/>
  <c r="L10" i="8"/>
  <c r="M10" i="8" s="1"/>
  <c r="D10" i="8"/>
  <c r="D20" i="8"/>
  <c r="C10" i="8"/>
  <c r="C15" i="8"/>
  <c r="C20" i="8"/>
  <c r="B20" i="8"/>
  <c r="B15" i="8"/>
  <c r="B10" i="8"/>
  <c r="L5" i="7"/>
  <c r="M5" i="7" s="1"/>
  <c r="C15" i="7"/>
  <c r="C11" i="7"/>
  <c r="D11" i="7"/>
  <c r="D5" i="7"/>
  <c r="D15" i="7"/>
  <c r="C5" i="7"/>
  <c r="D21" i="8" l="1"/>
  <c r="B21" i="8"/>
  <c r="C21" i="8"/>
  <c r="L21" i="8"/>
  <c r="M21" i="8" s="1"/>
  <c r="C16" i="7"/>
  <c r="L16" i="7"/>
  <c r="M16" i="7" s="1"/>
  <c r="D16" i="7"/>
  <c r="B16" i="7"/>
  <c r="B20" i="7"/>
  <c r="B21" i="7" s="1"/>
  <c r="L20" i="7"/>
  <c r="C30" i="8"/>
  <c r="C31" i="8" s="1"/>
  <c r="B30" i="8"/>
  <c r="B31" i="8" s="1"/>
  <c r="C20" i="7"/>
  <c r="C21" i="7" s="1"/>
  <c r="D20" i="7"/>
  <c r="L21" i="7" l="1"/>
  <c r="M21" i="7" s="1"/>
  <c r="M20" i="7"/>
  <c r="D21" i="7"/>
  <c r="L30" i="8"/>
  <c r="L31" i="8" l="1"/>
  <c r="M31" i="8" s="1"/>
  <c r="M30" i="8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F14" i="10" l="1"/>
  <c r="F16" i="10" l="1"/>
  <c r="J47" i="2" l="1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J13" i="2"/>
  <c r="J12" i="2"/>
  <c r="J11" i="2"/>
  <c r="J10" i="2"/>
  <c r="J9" i="2"/>
  <c r="J8" i="2"/>
  <c r="J7" i="2"/>
  <c r="J6" i="2"/>
  <c r="J5" i="2"/>
  <c r="J4" i="2"/>
  <c r="J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D28" i="8" l="1"/>
  <c r="D4" i="9" l="1"/>
  <c r="J53" i="2"/>
  <c r="D29" i="8"/>
  <c r="J49" i="2"/>
  <c r="J52" i="2"/>
  <c r="J51" i="2"/>
  <c r="J50" i="2"/>
  <c r="J48" i="2"/>
  <c r="J16" i="2"/>
  <c r="J14" i="2"/>
  <c r="J15" i="2"/>
  <c r="D30" i="8" l="1"/>
  <c r="J21" i="2"/>
  <c r="J20" i="2"/>
  <c r="J55" i="2"/>
  <c r="J54" i="2"/>
  <c r="G12" i="2"/>
  <c r="D53" i="2"/>
  <c r="D52" i="2"/>
  <c r="D31" i="8" l="1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G20" i="2" l="1"/>
  <c r="G54" i="2"/>
  <c r="G16" i="2"/>
  <c r="D21" i="2"/>
  <c r="D20" i="2"/>
  <c r="D55" i="2"/>
  <c r="D54" i="2"/>
  <c r="G21" i="2" l="1"/>
  <c r="G55" i="2"/>
</calcChain>
</file>

<file path=xl/sharedStrings.xml><?xml version="1.0" encoding="utf-8"?>
<sst xmlns="http://schemas.openxmlformats.org/spreadsheetml/2006/main" count="641" uniqueCount="396">
  <si>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</si>
  <si>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</si>
  <si>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</si>
  <si>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</si>
  <si>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</si>
  <si>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</si>
  <si>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</si>
  <si>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</si>
  <si>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</si>
  <si>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</si>
  <si>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</si>
  <si>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</si>
  <si>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</si>
  <si>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</si>
  <si>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</si>
  <si>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</si>
  <si>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</si>
  <si>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</si>
  <si>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</si>
  <si>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</si>
  <si>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</si>
  <si>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</si>
  <si>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</si>
  <si>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</si>
  <si>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</si>
  <si>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</si>
  <si>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</si>
  <si>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</si>
  <si>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</si>
  <si>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</si>
  <si>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</si>
  <si>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</si>
  <si>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</si>
  <si>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</si>
  <si>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</si>
  <si>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</si>
  <si>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</si>
  <si>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</si>
  <si>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</si>
  <si>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</si>
  <si>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</si>
  <si>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</si>
  <si>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</si>
  <si>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</si>
  <si>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</si>
  <si>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</si>
  <si>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</si>
  <si>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</si>
  <si>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</si>
  <si>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</si>
  <si>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</si>
  <si>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</si>
  <si>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</si>
  <si>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</si>
  <si>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</si>
  <si>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</si>
  <si>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</si>
  <si>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</si>
  <si>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</si>
  <si>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</si>
  <si>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</si>
  <si>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</si>
  <si>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</si>
  <si>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</si>
  <si>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</si>
  <si>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</si>
  <si>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</si>
  <si>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</si>
  <si>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</si>
  <si>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</si>
  <si>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</si>
  <si>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</si>
  <si>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</si>
  <si>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</si>
  <si>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</si>
  <si>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</si>
  <si>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</si>
  <si>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</si>
  <si>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</si>
  <si>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</si>
  <si>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</si>
  <si>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</si>
  <si>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</si>
  <si>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</si>
  <si>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</si>
  <si>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</si>
  <si>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</si>
  <si>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</si>
  <si>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</si>
  <si>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</si>
  <si>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</si>
  <si>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</si>
  <si>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</si>
  <si>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</si>
  <si>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</si>
  <si>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</si>
  <si>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</si>
  <si>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</si>
  <si>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</si>
  <si>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</si>
  <si>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</si>
  <si>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</si>
  <si>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</si>
  <si>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</si>
  <si>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</si>
  <si>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</si>
  <si>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</si>
  <si>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</si>
  <si>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</si>
  <si>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</si>
  <si>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</si>
  <si>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</si>
  <si>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</si>
  <si>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</si>
  <si>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</si>
  <si>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</si>
  <si>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</si>
  <si>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</si>
  <si>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</si>
  <si>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</si>
  <si>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</si>
  <si>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</si>
  <si>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</si>
  <si>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</si>
  <si>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</si>
  <si>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</si>
  <si>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</si>
  <si>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</si>
  <si>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</si>
  <si>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</si>
  <si>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</si>
  <si>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</si>
  <si>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</si>
  <si>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</si>
  <si>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</si>
  <si>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</si>
  <si>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</si>
  <si>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</si>
  <si>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</si>
  <si>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</si>
  <si>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</si>
  <si>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</si>
  <si>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</si>
  <si>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</si>
  <si>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</si>
  <si>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</si>
  <si>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</si>
  <si>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</si>
  <si>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</si>
  <si>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</si>
  <si>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</si>
  <si>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</si>
  <si>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</si>
  <si>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</si>
  <si>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</si>
  <si>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</si>
  <si>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</si>
  <si>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</si>
  <si>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</si>
  <si>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</si>
  <si>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</si>
  <si>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</si>
  <si>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</si>
  <si>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</si>
  <si>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</si>
  <si>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</si>
  <si>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</si>
  <si>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</si>
  <si>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</si>
  <si>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</si>
  <si>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</si>
  <si>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</si>
  <si>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</si>
  <si>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</si>
  <si>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</si>
  <si>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</si>
  <si>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</si>
  <si>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</si>
  <si>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</si>
  <si>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</si>
  <si>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</si>
  <si>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</si>
  <si>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</si>
  <si>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</si>
  <si>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</si>
  <si>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</si>
  <si>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</si>
  <si>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</si>
  <si>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</si>
  <si>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</si>
  <si>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</si>
  <si>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</si>
  <si>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</si>
  <si>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</si>
  <si>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</si>
  <si>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</si>
  <si>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</si>
  <si>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</si>
  <si>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</si>
  <si>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</si>
  <si>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</si>
  <si>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</si>
  <si>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</si>
  <si>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</si>
  <si>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</si>
  <si>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</si>
  <si>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</si>
  <si>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</si>
  <si>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</si>
  <si>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</si>
  <si>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</si>
  <si>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</si>
  <si>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</si>
  <si>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</si>
  <si>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</si>
  <si>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</si>
  <si>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</si>
  <si>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</si>
  <si>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</si>
  <si>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</si>
  <si>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</si>
  <si>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</si>
  <si>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</si>
  <si>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</si>
  <si>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</si>
  <si>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</si>
  <si>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</si>
  <si>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</si>
  <si>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</si>
  <si>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</si>
  <si>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</si>
  <si>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</si>
  <si>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</si>
  <si>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</si>
  <si>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</si>
  <si>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</si>
  <si>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</si>
  <si>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</si>
  <si>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</si>
  <si>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</si>
  <si>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</si>
  <si>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</si>
  <si>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</si>
  <si>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</si>
  <si>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</si>
  <si>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</si>
  <si>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</si>
  <si>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</si>
  <si>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</si>
  <si>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</si>
  <si>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</si>
  <si>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</si>
  <si>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</si>
  <si>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</si>
  <si>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</si>
  <si>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</si>
  <si>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</si>
  <si>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</si>
  <si>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</si>
  <si>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</si>
  <si>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</si>
  <si>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</si>
  <si>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</si>
  <si>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</si>
  <si>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</si>
  <si>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</si>
  <si>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</si>
  <si>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</si>
  <si>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</si>
  <si>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</si>
  <si>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</si>
  <si>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</si>
  <si>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</si>
  <si>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</si>
  <si>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</si>
  <si>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</si>
  <si>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</si>
  <si>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</si>
  <si>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</si>
  <si>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</si>
  <si>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</si>
  <si>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</si>
  <si>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</si>
  <si>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</si>
  <si>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</si>
  <si>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</si>
  <si>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</si>
  <si>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</si>
  <si>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</si>
  <si>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</si>
  <si>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</si>
  <si>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</si>
  <si>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</si>
  <si>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</si>
  <si>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</si>
  <si>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</si>
  <si>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</si>
  <si>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</si>
  <si>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</si>
  <si>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</si>
  <si>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</si>
  <si>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</si>
  <si>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</si>
  <si>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</si>
  <si>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</si>
  <si>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</si>
  <si>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</si>
  <si>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</si>
  <si>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</si>
  <si>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</si>
  <si>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</si>
  <si>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</si>
  <si>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</si>
  <si>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</si>
  <si>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</si>
  <si>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</si>
  <si>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</si>
  <si>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</si>
  <si>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</si>
  <si>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</si>
  <si>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</si>
  <si>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</si>
  <si>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</si>
  <si>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</si>
  <si>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</si>
  <si>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</si>
  <si>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</si>
  <si>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</si>
  <si>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</si>
  <si>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</si>
  <si>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</si>
  <si>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</si>
  <si>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</si>
  <si>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</si>
  <si>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</si>
  <si>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</si>
  <si>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</si>
  <si>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</si>
  <si>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</si>
  <si>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</si>
  <si>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</si>
  <si>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</si>
  <si>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</si>
  <si>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</si>
  <si>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</si>
  <si>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</si>
  <si>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</si>
  <si>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</si>
  <si>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/>
  </si>
  <si>
    <t>Incidenza spese rigide (ripiano disavanzo,personale e debito) su entrate correnti (*)</t>
  </si>
  <si>
    <t>Incidenza degli interessi passivi sulla spesa corrente (*)</t>
  </si>
  <si>
    <t>Indebitamento procapite (**)</t>
  </si>
  <si>
    <t>(*)</t>
  </si>
  <si>
    <t>Include i 200 milioni annui che sono trasferiti alla gestione commissariale</t>
  </si>
  <si>
    <t>(**)</t>
  </si>
  <si>
    <t>Include la quota capitale del debito finanziario della gestione commissariale</t>
  </si>
  <si>
    <t>Città metro-politana</t>
  </si>
  <si>
    <t>Saldo naturale</t>
  </si>
  <si>
    <t>Saldo migratorio</t>
  </si>
  <si>
    <t>Verifica</t>
  </si>
  <si>
    <t>Rapporto Fcde/Residui attivi (scala dx)</t>
  </si>
  <si>
    <t>Riaccertamento residui attivi</t>
  </si>
  <si>
    <t>Saldo entrate/uscite finali</t>
  </si>
  <si>
    <t>Saldo entrate/uscite nette</t>
  </si>
  <si>
    <t>Capacità riscossione entrate finali</t>
  </si>
  <si>
    <t>Capacità pagamento uscite finali</t>
  </si>
  <si>
    <t>Sviluppo sostenibile, tutela territ. e ambiente</t>
  </si>
  <si>
    <t>Entrate proprie su Entrate finali %</t>
  </si>
  <si>
    <t>Entrate da trasferimenti su Entrate finali %</t>
  </si>
  <si>
    <t>%Pag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</si>
  <si>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</si>
  <si>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</si>
  <si>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</si>
  <si>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</si>
  <si>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</si>
  <si>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</si>
  <si>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</si>
  <si>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</si>
  <si>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</si>
  <si>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</si>
  <si>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</si>
  <si>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</si>
  <si>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</si>
  <si>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</si>
  <si>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</si>
  <si>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</si>
  <si>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</si>
  <si>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</si>
  <si>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</si>
  <si>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</si>
  <si>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</si>
  <si>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</si>
  <si>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</si>
  <si>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</si>
  <si>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</si>
  <si>
    <t>Voci del 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</si>
</sst>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  <numFmt numFmtId="168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53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4" xfId="1" applyNumberFormat="1" applyFon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0" fillId="0" borderId="0" xfId="0" applyBorder="1" applyAlignment="1">
      <alignment horizontal="center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166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7" fontId="9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11" fillId="4" borderId="0" xfId="0" applyFont="1" applyFill="1" applyAlignment="1">
      <alignment vertical="center"/>
    </xf>
    <xf numFmtId="166" fontId="11" fillId="4" borderId="0" xfId="0" applyNumberFormat="1" applyFont="1" applyFill="1" applyAlignment="1">
      <alignment vertical="center"/>
    </xf>
    <xf numFmtId="166" fontId="11" fillId="4" borderId="0" xfId="1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  <xf numFmtId="166" fontId="13" fillId="0" borderId="1" xfId="0" applyNumberFormat="1" applyFont="1" applyBorder="1" applyAlignment="1">
      <alignment vertical="center"/>
    </xf>
    <xf numFmtId="168" fontId="0" fillId="0" borderId="0" xfId="0" applyNumberForma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165" fontId="2" fillId="0" borderId="0" xfId="0" applyNumberFormat="1" applyFont="1"/>
    <xf numFmtId="0" fontId="0" fillId="0" borderId="0" xfId="0" applyAlignment="1">
      <alignment vertical="center"/>
    </xf>
    <xf numFmtId="0" fontId="14" fillId="0" borderId="0" xfId="2" applyFont="1" applyFill="1" applyBorder="1" applyAlignment="1" applyProtection="1">
      <alignment vertical="center" readingOrder="1"/>
    </xf>
    <xf numFmtId="0" fontId="15" fillId="0" borderId="0" xfId="2" applyFont="1" applyFill="1" applyBorder="1" applyAlignment="1" applyProtection="1">
      <alignment vertical="center" readingOrder="1"/>
    </xf>
    <xf numFmtId="165" fontId="16" fillId="0" borderId="0" xfId="0" applyNumberFormat="1" applyFont="1"/>
    <xf numFmtId="4" fontId="0" fillId="0" borderId="0" xfId="0" applyNumberFormat="1"/>
    <xf numFmtId="1" fontId="0" fillId="0" borderId="0" xfId="0" applyNumberForma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3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360116429587997E-2"/>
          <c:y val="5.2090612906515517E-2"/>
          <c:w val="0.57606499218828122"/>
          <c:h val="0.922280052493438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4C-48BB-97A8-56CEAA5716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4C-48BB-97A8-56CEAA5716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4C-48BB-97A8-56CEAA5716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04C-48BB-97A8-56CEAA5716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04C-48BB-97A8-56CEAA5716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04C-48BB-97A8-56CEAA5716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04C-48BB-97A8-56CEAA5716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04C-48BB-97A8-56CEAA571622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04C-48BB-97A8-56CEAA571622}"/>
              </c:ext>
            </c:extLst>
          </c:dPt>
          <c:dLbls>
            <c:dLbl>
              <c:idx val="0"/>
              <c:layout>
                <c:manualLayout>
                  <c:x val="-0.20497194747795494"/>
                  <c:y val="0.10174188671409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4C-48BB-97A8-56CEAA5716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854650631357648E-3"/>
                  <c:y val="-9.238573333673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04C-48BB-97A8-56CEAA5716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026018202948515E-2"/>
                  <c:y val="-8.4424212598425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04C-48BB-97A8-56CEAA5716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619533565766965E-2"/>
                  <c:y val="-6.0433070866141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04C-48BB-97A8-56CEAA5716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04C-48BB-97A8-56CEAA5716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524451234640446E-2"/>
                  <c:y val="9.792623578302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04C-48BB-97A8-56CEAA5716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04C-48BB-97A8-56CEAA57162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04C-48BB-97A8-56CEAA57162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842294433345082E-2"/>
                  <c:y val="7.7324475065616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04C-48BB-97A8-56CEAA5716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Missione12_Programmi!$A$2:$A$10</c:f>
              <c:strCache>
                <c:ptCount val="9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Famiglie</c:v>
                </c:pt>
                <c:pt idx="5">
                  <c:v>Diritto alla casa</c:v>
                </c:pt>
                <c:pt idx="6">
                  <c:v>Rete dei servizi sociosanitari e sociali</c:v>
                </c:pt>
                <c:pt idx="7">
                  <c:v>Cooperazione e associazionismo</c:v>
                </c:pt>
                <c:pt idx="8">
                  <c:v>Servizio necroscopico e cimiteriale</c:v>
                </c:pt>
              </c:strCache>
            </c:strRef>
          </c:cat>
          <c:val>
            <c:numRef>
              <c:f>Missione12_Programmi!$B$2:$B$10</c:f>
              <c:numCache>
                <c:formatCode>#,##0</c:formatCode>
                <c:ptCount val="9"/>
                <c:pt idx="0">
                  <c:v>318102193.88</c:v>
                </c:pt>
                <c:pt idx="1">
                  <c:v>123380056.38</c:v>
                </c:pt>
                <c:pt idx="2">
                  <c:v>54601562.920000002</c:v>
                </c:pt>
                <c:pt idx="3">
                  <c:v>191390965.00999999</c:v>
                </c:pt>
                <c:pt idx="4">
                  <c:v>804382.13</c:v>
                </c:pt>
                <c:pt idx="5">
                  <c:v>47379443.130000003</c:v>
                </c:pt>
                <c:pt idx="6">
                  <c:v>0</c:v>
                </c:pt>
                <c:pt idx="7">
                  <c:v>0</c:v>
                </c:pt>
                <c:pt idx="8">
                  <c:v>33591408.420000002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04C-48BB-97A8-56CEAA571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05368777131741"/>
          <c:y val="3.1215427490599516E-2"/>
          <c:w val="0.37732233402704773"/>
          <c:h val="0.92108789244360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2E-2"/>
          <c:w val="0.9122665336936"/>
          <c:h val="0.71561177193276349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70.62</c:v>
                </c:pt>
                <c:pt idx="1">
                  <c:v>71.540000000000006</c:v>
                </c:pt>
                <c:pt idx="2">
                  <c:v>70.03</c:v>
                </c:pt>
                <c:pt idx="3">
                  <c:v>67.37</c:v>
                </c:pt>
                <c:pt idx="4">
                  <c:v>65.493737253593594</c:v>
                </c:pt>
                <c:pt idx="5">
                  <c:v>70.84610688108647</c:v>
                </c:pt>
                <c:pt idx="6">
                  <c:v>65.68991982264491</c:v>
                </c:pt>
                <c:pt idx="7">
                  <c:v>68.927678923737034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28.09</c:v>
                </c:pt>
                <c:pt idx="1">
                  <c:v>88.23</c:v>
                </c:pt>
                <c:pt idx="2">
                  <c:v>75.95</c:v>
                </c:pt>
                <c:pt idx="3">
                  <c:v>74.73</c:v>
                </c:pt>
                <c:pt idx="4">
                  <c:v>90.637902410405175</c:v>
                </c:pt>
                <c:pt idx="5">
                  <c:v>89.163038698951496</c:v>
                </c:pt>
                <c:pt idx="6">
                  <c:v>80.975245556135562</c:v>
                </c:pt>
                <c:pt idx="7">
                  <c:v>81.116570278068835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63.09</c:v>
                </c:pt>
                <c:pt idx="1">
                  <c:v>66.430000000000007</c:v>
                </c:pt>
                <c:pt idx="2">
                  <c:v>58.11</c:v>
                </c:pt>
                <c:pt idx="3">
                  <c:v>58.64</c:v>
                </c:pt>
                <c:pt idx="4">
                  <c:v>59.933003340013158</c:v>
                </c:pt>
                <c:pt idx="5">
                  <c:v>64.087453792971388</c:v>
                </c:pt>
                <c:pt idx="6">
                  <c:v>57.095861823247006</c:v>
                </c:pt>
                <c:pt idx="7">
                  <c:v>65.029558391985603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58.81</c:v>
                </c:pt>
                <c:pt idx="1">
                  <c:v>59.99</c:v>
                </c:pt>
                <c:pt idx="2">
                  <c:v>55.26</c:v>
                </c:pt>
                <c:pt idx="3">
                  <c:v>56.73</c:v>
                </c:pt>
                <c:pt idx="4">
                  <c:v>53.533804328530707</c:v>
                </c:pt>
                <c:pt idx="5">
                  <c:v>53.641421840692438</c:v>
                </c:pt>
                <c:pt idx="6">
                  <c:v>52.213559657315756</c:v>
                </c:pt>
                <c:pt idx="7">
                  <c:v>56.335393032904136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648608"/>
        <c:axId val="1188648064"/>
      </c:lineChart>
      <c:catAx>
        <c:axId val="11886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88648064"/>
        <c:crosses val="autoZero"/>
        <c:auto val="1"/>
        <c:lblAlgn val="ctr"/>
        <c:lblOffset val="100"/>
        <c:noMultiLvlLbl val="0"/>
      </c:catAx>
      <c:valAx>
        <c:axId val="1188648064"/>
        <c:scaling>
          <c:orientation val="minMax"/>
          <c:max val="95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18864860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7716954263695768"/>
          <c:w val="0.93529700540009864"/>
          <c:h val="9.543307086614168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06E-2"/>
          <c:y val="6.655386615863132E-2"/>
          <c:w val="0.956799214531183"/>
          <c:h val="0.73593319983768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0"/>
                  <c:y val="1.5387574533564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77-4AB1-93F6-926BB4081C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880516191202133E-16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77-4AB1-93F6-926BB4081C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366.39</c:v>
                </c:pt>
                <c:pt idx="1">
                  <c:v>352.13</c:v>
                </c:pt>
                <c:pt idx="2">
                  <c:v>378.1</c:v>
                </c:pt>
                <c:pt idx="3">
                  <c:v>383.65</c:v>
                </c:pt>
                <c:pt idx="4">
                  <c:v>402.25</c:v>
                </c:pt>
                <c:pt idx="5">
                  <c:v>413.9</c:v>
                </c:pt>
                <c:pt idx="6">
                  <c:v>438.04</c:v>
                </c:pt>
                <c:pt idx="7">
                  <c:v>423.83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47520"/>
        <c:axId val="1188646976"/>
      </c:barChart>
      <c:catAx>
        <c:axId val="11886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8646976"/>
        <c:crosses val="autoZero"/>
        <c:auto val="1"/>
        <c:lblAlgn val="ctr"/>
        <c:lblOffset val="100"/>
        <c:noMultiLvlLbl val="0"/>
      </c:catAx>
      <c:valAx>
        <c:axId val="1188646976"/>
        <c:scaling>
          <c:orientation val="minMax"/>
          <c:max val="44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864752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491779982951699E-3"/>
          <c:y val="6.0126835496914235E-2"/>
          <c:w val="0.99323819217009068"/>
          <c:h val="0.74983698659289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132.72</c:v>
                </c:pt>
                <c:pt idx="1">
                  <c:v>98.11</c:v>
                </c:pt>
                <c:pt idx="2">
                  <c:v>66.650000000000006</c:v>
                </c:pt>
                <c:pt idx="3">
                  <c:v>105.51</c:v>
                </c:pt>
                <c:pt idx="4">
                  <c:v>137.12</c:v>
                </c:pt>
                <c:pt idx="5">
                  <c:v>197.54</c:v>
                </c:pt>
                <c:pt idx="6">
                  <c:v>142.21</c:v>
                </c:pt>
                <c:pt idx="7">
                  <c:v>196.37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2.1621621621621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BF-4E3F-9BAF-393A5345D5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45344"/>
        <c:axId val="1188645888"/>
      </c:barChart>
      <c:catAx>
        <c:axId val="118864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8645888"/>
        <c:crosses val="autoZero"/>
        <c:auto val="1"/>
        <c:lblAlgn val="ctr"/>
        <c:lblOffset val="100"/>
        <c:noMultiLvlLbl val="0"/>
      </c:catAx>
      <c:valAx>
        <c:axId val="1188645888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18864534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262971180971481E-2"/>
          <c:y val="0"/>
          <c:w val="0.956799214531183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57.51</c:v>
                </c:pt>
                <c:pt idx="1">
                  <c:v>50</c:v>
                </c:pt>
                <c:pt idx="2">
                  <c:v>35</c:v>
                </c:pt>
                <c:pt idx="3">
                  <c:v>27.19</c:v>
                </c:pt>
                <c:pt idx="4">
                  <c:v>11.07</c:v>
                </c:pt>
                <c:pt idx="5">
                  <c:v>9.49</c:v>
                </c:pt>
                <c:pt idx="6">
                  <c:v>0.66</c:v>
                </c:pt>
                <c:pt idx="7">
                  <c:v>7.34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46432"/>
        <c:axId val="1732816480"/>
      </c:barChart>
      <c:catAx>
        <c:axId val="11886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2816480"/>
        <c:crosses val="autoZero"/>
        <c:auto val="1"/>
        <c:lblAlgn val="ctr"/>
        <c:lblOffset val="100"/>
        <c:noMultiLvlLbl val="0"/>
      </c:catAx>
      <c:valAx>
        <c:axId val="1732816480"/>
        <c:scaling>
          <c:orientation val="minMax"/>
          <c:max val="7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864643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2E-2"/>
          <c:y val="3.0621576226803157E-2"/>
          <c:w val="0.95679921453118366"/>
          <c:h val="0.77186527390942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 (**)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2171.4120880110559</c:v>
                </c:pt>
                <c:pt idx="1">
                  <c:v>2119.8210847664895</c:v>
                </c:pt>
                <c:pt idx="2">
                  <c:v>2093.3704332393481</c:v>
                </c:pt>
                <c:pt idx="3">
                  <c:v>2149.7113149597722</c:v>
                </c:pt>
                <c:pt idx="4">
                  <c:v>2181.515270091762</c:v>
                </c:pt>
                <c:pt idx="5">
                  <c:v>2194.7441438496353</c:v>
                </c:pt>
                <c:pt idx="6">
                  <c:v>2273.9418041484437</c:v>
                </c:pt>
                <c:pt idx="7">
                  <c:v>2250.0960995300343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9502487562189053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D10-4403-936B-4F4CFF98A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3349917081260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10-4403-936B-4F4CFF98A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7512437810939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D10-4403-936B-4F4CFF98A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2669983416252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D10-4403-936B-4F4CFF98A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334991708124824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D10-4403-936B-4F4CFF98A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925373134328358E-2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D10-4403-936B-4F4CFF98A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58374792703151E-2"/>
                  <c:y val="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2918739635157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815936"/>
        <c:axId val="1732814848"/>
      </c:barChart>
      <c:catAx>
        <c:axId val="173281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2814848"/>
        <c:crosses val="autoZero"/>
        <c:auto val="1"/>
        <c:lblAlgn val="ctr"/>
        <c:lblOffset val="100"/>
        <c:noMultiLvlLbl val="0"/>
      </c:catAx>
      <c:valAx>
        <c:axId val="1732814848"/>
        <c:scaling>
          <c:orientation val="minMax"/>
          <c:max val="2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3281593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3831202846071928"/>
          <c:h val="0.9766763919786377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2754719</c:v>
                </c:pt>
                <c:pt idx="1">
                  <c:v>2755309</c:v>
                </c:pt>
                <c:pt idx="2">
                  <c:v>2749031</c:v>
                </c:pt>
                <c:pt idx="3">
                  <c:v>2770226</c:v>
                </c:pt>
                <c:pt idx="4">
                  <c:v>2808293</c:v>
                </c:pt>
                <c:pt idx="5">
                  <c:v>2820219</c:v>
                </c:pt>
                <c:pt idx="6">
                  <c:v>2815541</c:v>
                </c:pt>
                <c:pt idx="7">
                  <c:v>2810118</c:v>
                </c:pt>
                <c:pt idx="8">
                  <c:v>2794353</c:v>
                </c:pt>
                <c:pt idx="9">
                  <c:v>2776835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813216"/>
        <c:axId val="1732815392"/>
      </c:barChart>
      <c:catAx>
        <c:axId val="173281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732815392"/>
        <c:crosses val="autoZero"/>
        <c:auto val="1"/>
        <c:lblAlgn val="ctr"/>
        <c:lblOffset val="100"/>
        <c:noMultiLvlLbl val="0"/>
      </c:catAx>
      <c:valAx>
        <c:axId val="1732815392"/>
        <c:scaling>
          <c:orientation val="minMax"/>
          <c:max val="2829999.9999999991"/>
        </c:scaling>
        <c:delete val="1"/>
        <c:axPos val="b"/>
        <c:numFmt formatCode="#,##0" sourceLinked="1"/>
        <c:majorTickMark val="none"/>
        <c:minorTickMark val="none"/>
        <c:tickLblPos val="none"/>
        <c:crossAx val="1732813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5340178872625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Missione12_Programmi!$A$106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290329206.16000003</c:v>
                </c:pt>
                <c:pt idx="1">
                  <c:v>304066820.17000002</c:v>
                </c:pt>
                <c:pt idx="2">
                  <c:v>312540769.55000001</c:v>
                </c:pt>
                <c:pt idx="3">
                  <c:v>309102996.48000002</c:v>
                </c:pt>
                <c:pt idx="4">
                  <c:v>268537586.91000003</c:v>
                </c:pt>
                <c:pt idx="5">
                  <c:v>284038325.88999999</c:v>
                </c:pt>
                <c:pt idx="6">
                  <c:v>312824606.07999998</c:v>
                </c:pt>
                <c:pt idx="7">
                  <c:v>318102193.88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2A-4E9A-838B-3A1CDDAD2488}"/>
            </c:ext>
          </c:extLst>
        </c:ser>
        <c:ser>
          <c:idx val="3"/>
          <c:order val="1"/>
          <c:tx>
            <c:strRef>
              <c:f>Missione12_Programmi!$A$107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169459581.03999999</c:v>
                </c:pt>
                <c:pt idx="1">
                  <c:v>165928511.63</c:v>
                </c:pt>
                <c:pt idx="2">
                  <c:v>172930576.06</c:v>
                </c:pt>
                <c:pt idx="3">
                  <c:v>170559166.25</c:v>
                </c:pt>
                <c:pt idx="4">
                  <c:v>190552411.25</c:v>
                </c:pt>
                <c:pt idx="5">
                  <c:v>186634007.59999999</c:v>
                </c:pt>
                <c:pt idx="6">
                  <c:v>181280436.22999999</c:v>
                </c:pt>
                <c:pt idx="7">
                  <c:v>191390965.00999999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2A-4E9A-838B-3A1CDDAD2488}"/>
            </c:ext>
          </c:extLst>
        </c:ser>
        <c:ser>
          <c:idx val="1"/>
          <c:order val="2"/>
          <c:tx>
            <c:strRef>
              <c:f>Missione12_Programmi!$A$108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83945580.629999995</c:v>
                </c:pt>
                <c:pt idx="1">
                  <c:v>67941513.340000004</c:v>
                </c:pt>
                <c:pt idx="2">
                  <c:v>78058641.019999996</c:v>
                </c:pt>
                <c:pt idx="3">
                  <c:v>94372074.310000002</c:v>
                </c:pt>
                <c:pt idx="4">
                  <c:v>95208197.540000007</c:v>
                </c:pt>
                <c:pt idx="5">
                  <c:v>93540385.390000001</c:v>
                </c:pt>
                <c:pt idx="6">
                  <c:v>106426748.33</c:v>
                </c:pt>
                <c:pt idx="7">
                  <c:v>123380056.38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92A-4E9A-838B-3A1CDDAD2488}"/>
            </c:ext>
          </c:extLst>
        </c:ser>
        <c:ser>
          <c:idx val="2"/>
          <c:order val="3"/>
          <c:tx>
            <c:strRef>
              <c:f>Missione12_Programmi!$A$109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50557852.920000002</c:v>
                </c:pt>
                <c:pt idx="1">
                  <c:v>50685455.060000002</c:v>
                </c:pt>
                <c:pt idx="2">
                  <c:v>52979681.009999998</c:v>
                </c:pt>
                <c:pt idx="3">
                  <c:v>52990528.229999997</c:v>
                </c:pt>
                <c:pt idx="4">
                  <c:v>51020219.909999996</c:v>
                </c:pt>
                <c:pt idx="5">
                  <c:v>49401525.780000001</c:v>
                </c:pt>
                <c:pt idx="6">
                  <c:v>51200926.399999999</c:v>
                </c:pt>
                <c:pt idx="7">
                  <c:v>54601562.920000002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2A-4E9A-838B-3A1CDDAD2488}"/>
            </c:ext>
          </c:extLst>
        </c:ser>
        <c:ser>
          <c:idx val="5"/>
          <c:order val="4"/>
          <c:tx>
            <c:strRef>
              <c:f>Missione12_Programmi!$A$110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40661821.390000001</c:v>
                </c:pt>
                <c:pt idx="1">
                  <c:v>40706734.200000003</c:v>
                </c:pt>
                <c:pt idx="2">
                  <c:v>40620084.509999998</c:v>
                </c:pt>
                <c:pt idx="3">
                  <c:v>31884077.359999999</c:v>
                </c:pt>
                <c:pt idx="4">
                  <c:v>70176187.760000005</c:v>
                </c:pt>
                <c:pt idx="5">
                  <c:v>33022678.210000001</c:v>
                </c:pt>
                <c:pt idx="6">
                  <c:v>40139191</c:v>
                </c:pt>
                <c:pt idx="7">
                  <c:v>47379443.130000003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2A-4E9A-838B-3A1CDDAD2488}"/>
            </c:ext>
          </c:extLst>
        </c:ser>
        <c:ser>
          <c:idx val="8"/>
          <c:order val="5"/>
          <c:tx>
            <c:strRef>
              <c:f>Missione12_Programmi!$A$111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15696916.029999999</c:v>
                </c:pt>
                <c:pt idx="1">
                  <c:v>15696916.029999999</c:v>
                </c:pt>
                <c:pt idx="2">
                  <c:v>22829754.359999999</c:v>
                </c:pt>
                <c:pt idx="3">
                  <c:v>29952393.210000001</c:v>
                </c:pt>
                <c:pt idx="4">
                  <c:v>29542189.559999999</c:v>
                </c:pt>
                <c:pt idx="5">
                  <c:v>29867309.440000001</c:v>
                </c:pt>
                <c:pt idx="6">
                  <c:v>32190181.829999998</c:v>
                </c:pt>
                <c:pt idx="7">
                  <c:v>33591408.420000002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92A-4E9A-838B-3A1CDDAD2488}"/>
            </c:ext>
          </c:extLst>
        </c:ser>
        <c:ser>
          <c:idx val="4"/>
          <c:order val="6"/>
          <c:tx>
            <c:strRef>
              <c:f>Missione12_Programmi!$A$112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794.06</c:v>
                </c:pt>
                <c:pt idx="1">
                  <c:v>561295.69999999995</c:v>
                </c:pt>
                <c:pt idx="2">
                  <c:v>564381.26</c:v>
                </c:pt>
                <c:pt idx="3">
                  <c:v>619870.66</c:v>
                </c:pt>
                <c:pt idx="4">
                  <c:v>408442.9</c:v>
                </c:pt>
                <c:pt idx="5">
                  <c:v>573819.80000000005</c:v>
                </c:pt>
                <c:pt idx="6">
                  <c:v>2493421.16</c:v>
                </c:pt>
                <c:pt idx="7">
                  <c:v>804382.13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92A-4E9A-838B-3A1CDDAD2488}"/>
            </c:ext>
          </c:extLst>
        </c:ser>
        <c:ser>
          <c:idx val="6"/>
          <c:order val="7"/>
          <c:tx>
            <c:strRef>
              <c:f>Missione12_Programmi!$A$113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2A-4E9A-838B-3A1CDDAD2488}"/>
            </c:ext>
          </c:extLst>
        </c:ser>
        <c:ser>
          <c:idx val="7"/>
          <c:order val="8"/>
          <c:tx>
            <c:strRef>
              <c:f>Missione12_Programmi!$A$114</c:f>
              <c:strCache>
                <c:ptCount val="1"/>
                <c:pt idx="0">
                  <c:v>Cooperazione e associazionismo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Missione12_Programmi!$B$114:$I$114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2A-4E9A-838B-3A1CDDAD2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4576"/>
        <c:axId val="1064538592"/>
      </c:barChart>
      <c:catAx>
        <c:axId val="10645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592"/>
        <c:crosses val="autoZero"/>
        <c:auto val="1"/>
        <c:lblAlgn val="ctr"/>
        <c:lblOffset val="100"/>
        <c:noMultiLvlLbl val="0"/>
      </c:catAx>
      <c:valAx>
        <c:axId val="1064538592"/>
        <c:scaling>
          <c:orientation val="minMax"/>
          <c:max val="78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6490388280</c:v>
                </c:pt>
                <c:pt idx="1">
                  <c:v>7110470115.7299995</c:v>
                </c:pt>
                <c:pt idx="2">
                  <c:v>7919965421.7799997</c:v>
                </c:pt>
                <c:pt idx="3">
                  <c:v>7553795279.5699997</c:v>
                </c:pt>
                <c:pt idx="4">
                  <c:v>7906809921.4799995</c:v>
                </c:pt>
                <c:pt idx="5">
                  <c:v>8989973864.8299999</c:v>
                </c:pt>
                <c:pt idx="6">
                  <c:v>9044363256.8400002</c:v>
                </c:pt>
                <c:pt idx="7">
                  <c:v>9526177505.5599995</c:v>
                </c:pt>
                <c:pt idx="8">
                  <c:v>10096201295</c:v>
                </c:pt>
                <c:pt idx="9">
                  <c:v>10794459814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5422648660</c:v>
                </c:pt>
                <c:pt idx="1">
                  <c:v>3049336145.02</c:v>
                </c:pt>
                <c:pt idx="2">
                  <c:v>3532578608.1199999</c:v>
                </c:pt>
                <c:pt idx="3">
                  <c:v>2368206896.4099998</c:v>
                </c:pt>
                <c:pt idx="4">
                  <c:v>2711435585.5300002</c:v>
                </c:pt>
                <c:pt idx="5">
                  <c:v>2884822638.9099998</c:v>
                </c:pt>
                <c:pt idx="6">
                  <c:v>2725467505.52</c:v>
                </c:pt>
                <c:pt idx="7">
                  <c:v>2823844484.25</c:v>
                </c:pt>
                <c:pt idx="8">
                  <c:v>3308488294.5999999</c:v>
                </c:pt>
                <c:pt idx="9">
                  <c:v>3069669350.4000001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9680"/>
        <c:axId val="1064544032"/>
      </c:lineChart>
      <c:catAx>
        <c:axId val="10645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4032"/>
        <c:crosses val="autoZero"/>
        <c:auto val="1"/>
        <c:lblAlgn val="ctr"/>
        <c:lblOffset val="100"/>
        <c:noMultiLvlLbl val="0"/>
      </c:catAx>
      <c:valAx>
        <c:axId val="1064544032"/>
        <c:scaling>
          <c:orientation val="minMax"/>
          <c:max val="11000000000"/>
          <c:min val="200000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64539680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6490388280</c:v>
                </c:pt>
                <c:pt idx="1">
                  <c:v>7110470115.7299995</c:v>
                </c:pt>
                <c:pt idx="2">
                  <c:v>7919965421.7799997</c:v>
                </c:pt>
                <c:pt idx="3">
                  <c:v>7553795279.5699997</c:v>
                </c:pt>
                <c:pt idx="4">
                  <c:v>7906809921.4799995</c:v>
                </c:pt>
                <c:pt idx="5">
                  <c:v>8989973864.8299999</c:v>
                </c:pt>
                <c:pt idx="6">
                  <c:v>9044363256.8400002</c:v>
                </c:pt>
                <c:pt idx="7">
                  <c:v>9526177505.5599995</c:v>
                </c:pt>
                <c:pt idx="8">
                  <c:v>10096201295</c:v>
                </c:pt>
                <c:pt idx="9">
                  <c:v>10794459814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1722889993.49</c:v>
                </c:pt>
                <c:pt idx="1">
                  <c:v>2246203755.2600002</c:v>
                </c:pt>
                <c:pt idx="2">
                  <c:v>2552691558.5999999</c:v>
                </c:pt>
                <c:pt idx="3">
                  <c:v>3150432546.9099998</c:v>
                </c:pt>
                <c:pt idx="4">
                  <c:v>3639991061.0300002</c:v>
                </c:pt>
                <c:pt idx="5">
                  <c:v>4392617700.5900002</c:v>
                </c:pt>
                <c:pt idx="6">
                  <c:v>4769602879.6800003</c:v>
                </c:pt>
                <c:pt idx="7">
                  <c:v>4996681868.7399998</c:v>
                </c:pt>
                <c:pt idx="8">
                  <c:v>5689968918.1000004</c:v>
                </c:pt>
                <c:pt idx="9">
                  <c:v>6472589261.5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2400"/>
        <c:axId val="1064540768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26.545253059806157</c:v>
                </c:pt>
                <c:pt idx="1">
                  <c:v>31.590087838086532</c:v>
                </c:pt>
                <c:pt idx="2">
                  <c:v>32.231094741652122</c:v>
                </c:pt>
                <c:pt idx="3">
                  <c:v>41.706618068279688</c:v>
                </c:pt>
                <c:pt idx="4">
                  <c:v>46.036152344340984</c:v>
                </c:pt>
                <c:pt idx="5">
                  <c:v>48.861295556981737</c:v>
                </c:pt>
                <c:pt idx="6">
                  <c:v>52.735640356692691</c:v>
                </c:pt>
                <c:pt idx="7">
                  <c:v>52.452118027652347</c:v>
                </c:pt>
                <c:pt idx="8">
                  <c:v>56.35752251609599</c:v>
                </c:pt>
                <c:pt idx="9">
                  <c:v>59.962141441346603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1856"/>
        <c:axId val="1064540224"/>
      </c:lineChart>
      <c:catAx>
        <c:axId val="106454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768"/>
        <c:crosses val="autoZero"/>
        <c:auto val="1"/>
        <c:lblAlgn val="ctr"/>
        <c:lblOffset val="100"/>
        <c:noMultiLvlLbl val="0"/>
      </c:catAx>
      <c:valAx>
        <c:axId val="10645407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2400"/>
        <c:crosses val="autoZero"/>
        <c:crossBetween val="between"/>
      </c:valAx>
      <c:valAx>
        <c:axId val="1064540224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1856"/>
        <c:crosses val="max"/>
        <c:crossBetween val="between"/>
      </c:valAx>
      <c:catAx>
        <c:axId val="106454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0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923095939975437E-2"/>
          <c:y val="3.7682680969226669E-3"/>
          <c:w val="0.93398245182562523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EEA-4B62-99C9-5731F931FD6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072-4A13-BE2F-58F16D087C16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BB-422A-8135-1A0EFB13861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1A-4AE7-9F0B-C0EF015693CD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A4E-400C-A3A2-7AED283A0AA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857051405159852E-2"/>
                  <c:y val="3.86473429951697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72-4A13-BE2F-58F16D087C1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032882800636972E-2"/>
                  <c:y val="-5.9055744068012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EEA-4B62-99C9-5731F931FD6A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64124547.810000166</c:v>
                </c:pt>
                <c:pt idx="1">
                  <c:v>518249071.12999964</c:v>
                </c:pt>
                <c:pt idx="2">
                  <c:v>277100887.06999987</c:v>
                </c:pt>
                <c:pt idx="3">
                  <c:v>110213320.39999831</c:v>
                </c:pt>
                <c:pt idx="4">
                  <c:v>-41632846.860000096</c:v>
                </c:pt>
                <c:pt idx="5">
                  <c:v>-62429289.500000447</c:v>
                </c:pt>
                <c:pt idx="6">
                  <c:v>-122614921.3500008</c:v>
                </c:pt>
                <c:pt idx="7">
                  <c:v>-221605538.91000104</c:v>
                </c:pt>
                <c:pt idx="8">
                  <c:v>-288130520.57000041</c:v>
                </c:pt>
                <c:pt idx="9">
                  <c:v>8782709.900001362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42944"/>
        <c:axId val="1064539136"/>
      </c:barChart>
      <c:catAx>
        <c:axId val="106454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39136"/>
        <c:crosses val="autoZero"/>
        <c:auto val="1"/>
        <c:lblAlgn val="ctr"/>
        <c:lblOffset val="100"/>
        <c:noMultiLvlLbl val="0"/>
      </c:catAx>
      <c:valAx>
        <c:axId val="1064539136"/>
        <c:scaling>
          <c:orientation val="minMax"/>
          <c:max val="600000000"/>
        </c:scaling>
        <c:delete val="0"/>
        <c:axPos val="b"/>
        <c:numFmt formatCode="#,##0" sourceLinked="1"/>
        <c:majorTickMark val="none"/>
        <c:minorTickMark val="none"/>
        <c:tickLblPos val="none"/>
        <c:spPr>
          <a:noFill/>
          <a:ln>
            <a:noFill/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1064542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Stato_patrimoniale!$B$21:$I$21</c:f>
              <c:numCache>
                <c:formatCode>#,##0</c:formatCode>
                <c:ptCount val="8"/>
                <c:pt idx="0">
                  <c:v>1202982500.3</c:v>
                </c:pt>
                <c:pt idx="1">
                  <c:v>1073764146.1500001</c:v>
                </c:pt>
                <c:pt idx="2">
                  <c:v>950333941.58000004</c:v>
                </c:pt>
                <c:pt idx="3">
                  <c:v>1076360788.0999999</c:v>
                </c:pt>
                <c:pt idx="4">
                  <c:v>1126182445.29</c:v>
                </c:pt>
                <c:pt idx="5">
                  <c:v>1379937290.6400001</c:v>
                </c:pt>
                <c:pt idx="6">
                  <c:v>1551136511.8</c:v>
                </c:pt>
                <c:pt idx="7">
                  <c:v>1672636232.7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Stato_patrimoniale!$B$22:$I$22</c:f>
              <c:numCache>
                <c:formatCode>#,##0</c:formatCode>
                <c:ptCount val="8"/>
                <c:pt idx="0">
                  <c:v>2496948362.8899999</c:v>
                </c:pt>
                <c:pt idx="1">
                  <c:v>1439792815.1300001</c:v>
                </c:pt>
                <c:pt idx="2">
                  <c:v>1634271055.71</c:v>
                </c:pt>
                <c:pt idx="3">
                  <c:v>1821016988.1099999</c:v>
                </c:pt>
                <c:pt idx="4">
                  <c:v>1669257824.74</c:v>
                </c:pt>
                <c:pt idx="5">
                  <c:v>1624510179.49</c:v>
                </c:pt>
                <c:pt idx="6">
                  <c:v>1943202546.0999999</c:v>
                </c:pt>
                <c:pt idx="7">
                  <c:v>1856020302.8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Stato_patrimoniale!$B$23:$I$23</c:f>
              <c:numCache>
                <c:formatCode>#,##0</c:formatCode>
                <c:ptCount val="8"/>
                <c:pt idx="0">
                  <c:v>665127070.28999996</c:v>
                </c:pt>
                <c:pt idx="1">
                  <c:v>534588109.82999998</c:v>
                </c:pt>
                <c:pt idx="2">
                  <c:v>543681580.92999995</c:v>
                </c:pt>
                <c:pt idx="3">
                  <c:v>566913644.28999996</c:v>
                </c:pt>
                <c:pt idx="4">
                  <c:v>524943604.33999997</c:v>
                </c:pt>
                <c:pt idx="5">
                  <c:v>631822066</c:v>
                </c:pt>
                <c:pt idx="6">
                  <c:v>605285811.25999999</c:v>
                </c:pt>
                <c:pt idx="7">
                  <c:v>570192210.82000005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Stato_patrimoniale!$B$24:$I$24</c:f>
              <c:numCache>
                <c:formatCode>#,##0</c:formatCode>
                <c:ptCount val="8"/>
                <c:pt idx="0">
                  <c:v>700924064.62</c:v>
                </c:pt>
                <c:pt idx="1">
                  <c:v>515224024.60000002</c:v>
                </c:pt>
                <c:pt idx="2">
                  <c:v>670653114.07000005</c:v>
                </c:pt>
                <c:pt idx="3">
                  <c:v>649005971.74000001</c:v>
                </c:pt>
                <c:pt idx="4">
                  <c:v>681876888.87</c:v>
                </c:pt>
                <c:pt idx="5">
                  <c:v>741431076.86000001</c:v>
                </c:pt>
                <c:pt idx="6">
                  <c:v>923191947.27999997</c:v>
                </c:pt>
                <c:pt idx="7">
                  <c:v>798944068.07000005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3488"/>
        <c:axId val="1064541312"/>
      </c:barChart>
      <c:catAx>
        <c:axId val="106454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41312"/>
        <c:crosses val="autoZero"/>
        <c:auto val="1"/>
        <c:lblAlgn val="ctr"/>
        <c:lblOffset val="100"/>
        <c:noMultiLvlLbl val="0"/>
      </c:catAx>
      <c:valAx>
        <c:axId val="1064541312"/>
        <c:scaling>
          <c:orientation val="minMax"/>
          <c:max val="55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3488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385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Stato_patrimoniale!$B$14:$I$14</c:f>
              <c:numCache>
                <c:formatCode>#,##0</c:formatCode>
                <c:ptCount val="8"/>
                <c:pt idx="0">
                  <c:v>7012911511.4200001</c:v>
                </c:pt>
                <c:pt idx="1">
                  <c:v>4054756383.1799998</c:v>
                </c:pt>
                <c:pt idx="2">
                  <c:v>4038807909.6700001</c:v>
                </c:pt>
                <c:pt idx="3">
                  <c:v>4069956198.6700001</c:v>
                </c:pt>
                <c:pt idx="4">
                  <c:v>4069956198.6700001</c:v>
                </c:pt>
                <c:pt idx="5">
                  <c:v>4069956198.6700001</c:v>
                </c:pt>
                <c:pt idx="6">
                  <c:v>4069956198.5999999</c:v>
                </c:pt>
                <c:pt idx="7">
                  <c:v>4069956198.5999999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Stato_patrimoniale!$B$15:$I$15</c:f>
              <c:numCache>
                <c:formatCode>#,##0</c:formatCode>
                <c:ptCount val="8"/>
                <c:pt idx="0">
                  <c:v>1483246754.7</c:v>
                </c:pt>
                <c:pt idx="1">
                  <c:v>4930589347.9200001</c:v>
                </c:pt>
                <c:pt idx="2">
                  <c:v>5197937386.3800001</c:v>
                </c:pt>
                <c:pt idx="3">
                  <c:v>5058490004.5100002</c:v>
                </c:pt>
                <c:pt idx="4">
                  <c:v>5643429557.0299997</c:v>
                </c:pt>
                <c:pt idx="5">
                  <c:v>5794774879.0500002</c:v>
                </c:pt>
                <c:pt idx="6">
                  <c:v>6085428455.0900002</c:v>
                </c:pt>
                <c:pt idx="7">
                  <c:v>6117795848.71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Stato_patrimoniale!$B$17:$I$17</c:f>
              <c:numCache>
                <c:formatCode>#,##0</c:formatCode>
                <c:ptCount val="8"/>
                <c:pt idx="0">
                  <c:v>277100887.06999999</c:v>
                </c:pt>
                <c:pt idx="1">
                  <c:v>110213320.40000001</c:v>
                </c:pt>
                <c:pt idx="2">
                  <c:v>-41632846.859999999</c:v>
                </c:pt>
                <c:pt idx="3">
                  <c:v>-62429289.5</c:v>
                </c:pt>
                <c:pt idx="4">
                  <c:v>-122614921.34999999</c:v>
                </c:pt>
                <c:pt idx="5">
                  <c:v>-221605538.91</c:v>
                </c:pt>
                <c:pt idx="6">
                  <c:v>-288130520.5</c:v>
                </c:pt>
                <c:pt idx="7">
                  <c:v>8782710.0399999991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Stato_patrimoniale!$B$18:$I$18</c:f>
              <c:numCache>
                <c:formatCode>#,##0</c:formatCode>
                <c:ptCount val="8"/>
                <c:pt idx="4">
                  <c:v>0</c:v>
                </c:pt>
                <c:pt idx="5">
                  <c:v>-185044210.84999999</c:v>
                </c:pt>
                <c:pt idx="6">
                  <c:v>-406649749.69999999</c:v>
                </c:pt>
                <c:pt idx="7">
                  <c:v>-694780270.20000005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EE-4418-B58F-59B3B865B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72800"/>
        <c:axId val="1446370624"/>
      </c:barChart>
      <c:catAx>
        <c:axId val="1446372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0624"/>
        <c:crosses val="autoZero"/>
        <c:auto val="1"/>
        <c:lblAlgn val="ctr"/>
        <c:lblOffset val="100"/>
        <c:noMultiLvlLbl val="0"/>
      </c:catAx>
      <c:valAx>
        <c:axId val="1446370624"/>
        <c:scaling>
          <c:orientation val="minMax"/>
          <c:max val="10500000000"/>
          <c:min val="-1000000000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446372800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13E-2"/>
          <c:w val="0.91226637907374619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44.15</c:v>
                </c:pt>
                <c:pt idx="1">
                  <c:v>63.01</c:v>
                </c:pt>
                <c:pt idx="2">
                  <c:v>46.72</c:v>
                </c:pt>
                <c:pt idx="3">
                  <c:v>44.98</c:v>
                </c:pt>
                <c:pt idx="4">
                  <c:v>47.256431387200934</c:v>
                </c:pt>
                <c:pt idx="5">
                  <c:v>45.261272031498088</c:v>
                </c:pt>
                <c:pt idx="6">
                  <c:v>44.600834513769669</c:v>
                </c:pt>
                <c:pt idx="7">
                  <c:v>44.008744988317147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55.946538000553744</c:v>
                </c:pt>
                <c:pt idx="1">
                  <c:v>56.174555682976965</c:v>
                </c:pt>
                <c:pt idx="2">
                  <c:v>40.855477206249184</c:v>
                </c:pt>
                <c:pt idx="3">
                  <c:v>39.378813962037135</c:v>
                </c:pt>
                <c:pt idx="4">
                  <c:v>40.530224889019195</c:v>
                </c:pt>
                <c:pt idx="5">
                  <c:v>41.190285607184926</c:v>
                </c:pt>
                <c:pt idx="6">
                  <c:v>39.189316153636874</c:v>
                </c:pt>
                <c:pt idx="7">
                  <c:v>37.304499177389403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35.767931241975646</c:v>
                </c:pt>
                <c:pt idx="1">
                  <c:v>42.915148401044497</c:v>
                </c:pt>
                <c:pt idx="2">
                  <c:v>36.564353089643262</c:v>
                </c:pt>
                <c:pt idx="3">
                  <c:v>34.403322157449828</c:v>
                </c:pt>
                <c:pt idx="4">
                  <c:v>36.160001810185321</c:v>
                </c:pt>
                <c:pt idx="5">
                  <c:v>35.982097090261973</c:v>
                </c:pt>
                <c:pt idx="6">
                  <c:v>35.599633879702623</c:v>
                </c:pt>
                <c:pt idx="7">
                  <c:v>34.493709839195304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1168"/>
        <c:axId val="1446371712"/>
      </c:lineChart>
      <c:catAx>
        <c:axId val="14463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65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1168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855"/>
          <c:w val="0.96177967444791412"/>
          <c:h val="0.1795680460155255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808E-2"/>
          <c:w val="0.9029842635309353"/>
          <c:h val="0.711992426872872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8.695652173913043</c:v>
                </c:pt>
                <c:pt idx="1">
                  <c:v>9.0398455327365284</c:v>
                </c:pt>
                <c:pt idx="2">
                  <c:v>8.9255601059985548</c:v>
                </c:pt>
                <c:pt idx="3">
                  <c:v>8.8579795021961925</c:v>
                </c:pt>
                <c:pt idx="4">
                  <c:v>9.2450108199086323</c:v>
                </c:pt>
                <c:pt idx="5">
                  <c:v>9.6144460712542692</c:v>
                </c:pt>
                <c:pt idx="6">
                  <c:v>10.922217047042386</c:v>
                </c:pt>
                <c:pt idx="7">
                  <c:v>10.322653429602889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19.055013309671693</c:v>
                </c:pt>
                <c:pt idx="1">
                  <c:v>16.464806038265756</c:v>
                </c:pt>
                <c:pt idx="2">
                  <c:v>16.646591182847509</c:v>
                </c:pt>
                <c:pt idx="3">
                  <c:v>16.105417276720349</c:v>
                </c:pt>
                <c:pt idx="4">
                  <c:v>17.059389276268334</c:v>
                </c:pt>
                <c:pt idx="5">
                  <c:v>16.678867740361149</c:v>
                </c:pt>
                <c:pt idx="6">
                  <c:v>16.604564508616676</c:v>
                </c:pt>
                <c:pt idx="7">
                  <c:v>15.500902527075814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23.447204968944103</c:v>
                </c:pt>
                <c:pt idx="1">
                  <c:v>28.365806564858698</c:v>
                </c:pt>
                <c:pt idx="2">
                  <c:v>27.535533606359913</c:v>
                </c:pt>
                <c:pt idx="3">
                  <c:v>29.270375793069785</c:v>
                </c:pt>
                <c:pt idx="4">
                  <c:v>29.442173599422933</c:v>
                </c:pt>
                <c:pt idx="5">
                  <c:v>23.926305514885307</c:v>
                </c:pt>
                <c:pt idx="6">
                  <c:v>25.791802515137402</c:v>
                </c:pt>
                <c:pt idx="7">
                  <c:v>27.673736462093864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13.84205856255546</c:v>
                </c:pt>
                <c:pt idx="1">
                  <c:v>12.410040372125682</c:v>
                </c:pt>
                <c:pt idx="2">
                  <c:v>12.695735967236811</c:v>
                </c:pt>
                <c:pt idx="3">
                  <c:v>12.33528550512445</c:v>
                </c:pt>
                <c:pt idx="4">
                  <c:v>12.707381582111083</c:v>
                </c:pt>
                <c:pt idx="5">
                  <c:v>11.151781356759393</c:v>
                </c:pt>
                <c:pt idx="6">
                  <c:v>12.144853283651608</c:v>
                </c:pt>
                <c:pt idx="7">
                  <c:v>13.097924187725631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69536"/>
        <c:axId val="1446372256"/>
      </c:barChart>
      <c:catAx>
        <c:axId val="144636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72256"/>
        <c:crosses val="autoZero"/>
        <c:auto val="1"/>
        <c:lblAlgn val="ctr"/>
        <c:lblOffset val="100"/>
        <c:noMultiLvlLbl val="0"/>
      </c:catAx>
      <c:valAx>
        <c:axId val="1446372256"/>
        <c:scaling>
          <c:orientation val="minMax"/>
          <c:max val="7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44636953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905608055479965"/>
          <c:w val="0.95561111111111163"/>
          <c:h val="0.1131664023423203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106680</xdr:rowOff>
    </xdr:from>
    <xdr:to>
      <xdr:col>16</xdr:col>
      <xdr:colOff>403860</xdr:colOff>
      <xdr:row>16</xdr:row>
      <xdr:rowOff>68580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102</xdr:row>
      <xdr:rowOff>118110</xdr:rowOff>
    </xdr:from>
    <xdr:to>
      <xdr:col>20</xdr:col>
      <xdr:colOff>403860</xdr:colOff>
      <xdr:row>122</xdr:row>
      <xdr:rowOff>106680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24</xdr:row>
      <xdr:rowOff>0</xdr:rowOff>
    </xdr:from>
    <xdr:to>
      <xdr:col>12</xdr:col>
      <xdr:colOff>247650</xdr:colOff>
      <xdr:row>49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1304925</xdr:colOff>
      <xdr:row>50</xdr:row>
      <xdr:rowOff>57149</xdr:rowOff>
    </xdr:from>
    <xdr:to>
      <xdr:col>12</xdr:col>
      <xdr:colOff>238125</xdr:colOff>
      <xdr:row>72</xdr:row>
      <xdr:rowOff>104774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29</xdr:row>
      <xdr:rowOff>133349</xdr:rowOff>
    </xdr:from>
    <xdr:to>
      <xdr:col>15</xdr:col>
      <xdr:colOff>514348</xdr:colOff>
      <xdr:row>51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8</xdr:col>
      <xdr:colOff>571501</xdr:colOff>
      <xdr:row>49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9</xdr:col>
      <xdr:colOff>514350</xdr:colOff>
      <xdr:row>74</xdr:row>
      <xdr:rowOff>85725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177</xdr:row>
      <xdr:rowOff>142875</xdr:rowOff>
    </xdr:from>
    <xdr:to>
      <xdr:col>1</xdr:col>
      <xdr:colOff>7610475</xdr:colOff>
      <xdr:row>197</xdr:row>
      <xdr:rowOff>180976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199</xdr:row>
      <xdr:rowOff>123823</xdr:rowOff>
    </xdr:from>
    <xdr:to>
      <xdr:col>1</xdr:col>
      <xdr:colOff>7572375</xdr:colOff>
      <xdr:row>217</xdr:row>
      <xdr:rowOff>104775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219</xdr:row>
      <xdr:rowOff>0</xdr:rowOff>
    </xdr:from>
    <xdr:to>
      <xdr:col>1</xdr:col>
      <xdr:colOff>7458075</xdr:colOff>
      <xdr:row>237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95</xdr:row>
      <xdr:rowOff>161924</xdr:rowOff>
    </xdr:from>
    <xdr:to>
      <xdr:col>1</xdr:col>
      <xdr:colOff>7839075</xdr:colOff>
      <xdr:row>115</xdr:row>
      <xdr:rowOff>121920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121921</xdr:colOff>
      <xdr:row>117</xdr:row>
      <xdr:rowOff>51435</xdr:rowOff>
    </xdr:from>
    <xdr:to>
      <xdr:col>1</xdr:col>
      <xdr:colOff>7789545</xdr:colOff>
      <xdr:row>136</xdr:row>
      <xdr:rowOff>100965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137</xdr:row>
      <xdr:rowOff>91440</xdr:rowOff>
    </xdr:from>
    <xdr:to>
      <xdr:col>1</xdr:col>
      <xdr:colOff>7639050</xdr:colOff>
      <xdr:row>155</xdr:row>
      <xdr:rowOff>100965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158</xdr:row>
      <xdr:rowOff>0</xdr:rowOff>
    </xdr:from>
    <xdr:to>
      <xdr:col>1</xdr:col>
      <xdr:colOff>7658100</xdr:colOff>
      <xdr:row>176</xdr:row>
      <xdr:rowOff>9525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10</xdr:col>
      <xdr:colOff>670560</xdr:colOff>
      <xdr:row>29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pane xSplit="1" ySplit="2" topLeftCell="S40" activePane="bottomRight" state="frozen"/>
      <selection pane="topRight" activeCell="B1" sqref="B1"/>
      <selection pane="bottomLeft" activeCell="A3" sqref="A3"/>
      <selection pane="bottomRight" activeCell="Z1" sqref="Z1:AA59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46">
        <v>2016</v>
      </c>
      <c r="C1" s="146"/>
      <c r="D1" s="147"/>
      <c r="E1" s="148">
        <v>2017</v>
      </c>
      <c r="F1" s="149"/>
      <c r="G1" s="150"/>
      <c r="H1" s="148">
        <v>2018</v>
      </c>
      <c r="I1" s="149"/>
      <c r="J1" s="150"/>
      <c r="K1" s="148">
        <v>2019</v>
      </c>
      <c r="L1" s="149"/>
      <c r="M1" s="150"/>
      <c r="N1" s="148">
        <v>2020</v>
      </c>
      <c r="O1" s="149"/>
      <c r="P1" s="150"/>
      <c r="Q1" s="148">
        <v>2021</v>
      </c>
      <c r="R1" s="149"/>
      <c r="S1" s="150"/>
      <c r="T1" s="148">
        <v>2022</v>
      </c>
      <c r="U1" s="149"/>
      <c r="V1" s="150"/>
      <c r="W1" s="148">
        <v>2023</v>
      </c>
      <c r="X1" s="149"/>
      <c r="Y1" s="150"/>
      <c r="Z1" s="145" t="s">
        <v>231</v>
      </c>
      <c r="AA1" s="145"/>
    </row>
    <row r="2" spans="1:27" x14ac:dyDescent="0.3">
      <c r="B2" s="17" t="s">
        <v>73</v>
      </c>
      <c r="C2" s="17" t="s">
        <v>74</v>
      </c>
      <c r="D2" s="18" t="s">
        <v>232</v>
      </c>
      <c r="E2" s="25" t="s">
        <v>73</v>
      </c>
      <c r="F2" s="17" t="s">
        <v>74</v>
      </c>
      <c r="G2" s="18" t="s">
        <v>232</v>
      </c>
      <c r="H2" s="25" t="s">
        <v>73</v>
      </c>
      <c r="I2" s="17" t="s">
        <v>74</v>
      </c>
      <c r="J2" s="18" t="s">
        <v>232</v>
      </c>
      <c r="K2" s="25" t="s">
        <v>73</v>
      </c>
      <c r="L2" s="107" t="s">
        <v>74</v>
      </c>
      <c r="M2" s="108" t="s">
        <v>232</v>
      </c>
      <c r="N2" s="25" t="s">
        <v>73</v>
      </c>
      <c r="O2" s="121" t="s">
        <v>74</v>
      </c>
      <c r="P2" s="122" t="s">
        <v>232</v>
      </c>
      <c r="Q2" s="25" t="s">
        <v>73</v>
      </c>
      <c r="R2" s="101" t="s">
        <v>74</v>
      </c>
      <c r="S2" s="102" t="s">
        <v>232</v>
      </c>
      <c r="T2" s="25" t="s">
        <v>73</v>
      </c>
      <c r="U2" s="139" t="s">
        <v>74</v>
      </c>
      <c r="V2" s="140" t="s">
        <v>232</v>
      </c>
      <c r="W2" s="25" t="s">
        <v>73</v>
      </c>
      <c r="X2" s="124" t="s">
        <v>74</v>
      </c>
      <c r="Y2" s="125" t="s">
        <v>232</v>
      </c>
      <c r="Z2" s="12" t="s">
        <v>73</v>
      </c>
      <c r="AA2" s="12" t="s">
        <v>74</v>
      </c>
    </row>
    <row r="3" spans="1:27" x14ac:dyDescent="0.3">
      <c r="A3" t="s">
        <v>20</v>
      </c>
      <c r="B3" s="30">
        <v>2772436147.48</v>
      </c>
      <c r="C3" s="30">
        <v>1853803450.98</v>
      </c>
      <c r="D3" s="20">
        <f>IF(B3&gt;0,C3/B3*100,"-")</f>
        <v>66.865505727336966</v>
      </c>
      <c r="E3" s="30">
        <v>2796178123.3400002</v>
      </c>
      <c r="F3" s="30">
        <v>2045444478.6500001</v>
      </c>
      <c r="G3" s="20">
        <f>IF(E3&gt;0,F3/E3*100,"-")</f>
        <v>73.151437012415428</v>
      </c>
      <c r="H3" s="26">
        <v>2947094507.8400002</v>
      </c>
      <c r="I3" s="19">
        <v>1841837267.25</v>
      </c>
      <c r="J3" s="20">
        <f>IF(H3&gt;0,I3/H3*100,"-")</f>
        <v>62.496715403943014</v>
      </c>
      <c r="K3" s="26">
        <v>2979705595.4000001</v>
      </c>
      <c r="L3" s="19">
        <v>1771302507.5899999</v>
      </c>
      <c r="M3" s="20">
        <f>IF(K3&gt;0,L3/K3*100,"-")</f>
        <v>59.445554296521621</v>
      </c>
      <c r="N3" s="19">
        <v>2777657313.6700001</v>
      </c>
      <c r="O3" s="19">
        <v>1812418838.0999999</v>
      </c>
      <c r="P3" s="20">
        <f>IF(N3&gt;0,O3/N3*100,"-")</f>
        <v>65.249907869496255</v>
      </c>
      <c r="Q3" s="19">
        <v>2912214656.52</v>
      </c>
      <c r="R3" s="19">
        <v>1940080092.1600001</v>
      </c>
      <c r="S3" s="20">
        <f>IF(Q3&gt;0,R3/Q3*100,"-")</f>
        <v>66.618718775295619</v>
      </c>
      <c r="T3" s="19">
        <v>3013833473.5</v>
      </c>
      <c r="U3" s="19">
        <v>2134641661.6300001</v>
      </c>
      <c r="V3" s="20">
        <f>IF(T3&gt;0,U3/T3*100,"-")</f>
        <v>70.828122402894934</v>
      </c>
      <c r="W3" s="1">
        <v>3199967398.3899999</v>
      </c>
      <c r="X3" s="1">
        <v>2241951209.0900002</v>
      </c>
      <c r="Y3" s="20">
        <f>IF(W3&gt;0,X3/W3*100,"-")</f>
        <v>70.061689072769724</v>
      </c>
      <c r="Z3" s="13">
        <f>IF(T3&gt;0,W3/T3*100-100,"-")</f>
        <v>6.1759857180775413</v>
      </c>
      <c r="AA3" s="13">
        <f>IF(U3&gt;0,X3/U3*100-100,"-")</f>
        <v>5.0270520522896192</v>
      </c>
    </row>
    <row r="4" spans="1:27" x14ac:dyDescent="0.3">
      <c r="A4" t="s">
        <v>21</v>
      </c>
      <c r="B4" s="30">
        <v>1011848852.45</v>
      </c>
      <c r="C4" s="30">
        <v>714987815.00999999</v>
      </c>
      <c r="D4" s="20">
        <f t="shared" ref="D4:D21" si="0">IF(B4&gt;0,C4/B4*100,"-")</f>
        <v>70.661523534744603</v>
      </c>
      <c r="E4" s="30">
        <v>1023412624.8</v>
      </c>
      <c r="F4" s="30">
        <v>826924870.62</v>
      </c>
      <c r="G4" s="20">
        <f t="shared" ref="G4:G21" si="1">IF(E4&gt;0,F4/E4*100,"-")</f>
        <v>80.800729889530288</v>
      </c>
      <c r="H4" s="26">
        <v>953331440.17999995</v>
      </c>
      <c r="I4" s="19">
        <v>825440919.01999998</v>
      </c>
      <c r="J4" s="20">
        <f t="shared" ref="J4:J21" si="2">IF(H4&gt;0,I4/H4*100,"-")</f>
        <v>86.584883727756562</v>
      </c>
      <c r="K4" s="26">
        <v>1029043567.12</v>
      </c>
      <c r="L4" s="19">
        <v>781817991.25</v>
      </c>
      <c r="M4" s="20">
        <f t="shared" ref="M4:M13" si="3">IF(K4&gt;0,L4/K4*100,"-")</f>
        <v>75.975208069964026</v>
      </c>
      <c r="N4" s="19">
        <v>1506620060.03</v>
      </c>
      <c r="O4" s="19">
        <v>1315592515.49</v>
      </c>
      <c r="P4" s="20">
        <f t="shared" ref="P4:P13" si="4">IF(N4&gt;0,O4/N4*100,"-")</f>
        <v>87.320788458359161</v>
      </c>
      <c r="Q4" s="19">
        <v>1413417631.3099999</v>
      </c>
      <c r="R4" s="19">
        <v>1148880747.78</v>
      </c>
      <c r="S4" s="20">
        <f t="shared" ref="S4:S13" si="5">IF(Q4&gt;0,R4/Q4*100,"-")</f>
        <v>81.283883993663025</v>
      </c>
      <c r="T4" s="19">
        <v>1231644808.79</v>
      </c>
      <c r="U4" s="19">
        <v>1098530190.8</v>
      </c>
      <c r="V4" s="20">
        <f t="shared" ref="V4:V13" si="6">IF(T4&gt;0,U4/T4*100,"-")</f>
        <v>89.192126087002691</v>
      </c>
      <c r="W4" s="1">
        <v>1198557038.4300001</v>
      </c>
      <c r="X4" s="1">
        <v>1028290049.9400001</v>
      </c>
      <c r="Y4" s="20">
        <f t="shared" ref="Y4:Y13" si="7">IF(W4&gt;0,X4/W4*100,"-")</f>
        <v>85.794002034894049</v>
      </c>
      <c r="Z4" s="13">
        <f t="shared" ref="Z4:Z55" si="8">IF(T4&gt;0,W4/T4*100-100,"-")</f>
        <v>-2.6864701676862666</v>
      </c>
      <c r="AA4" s="13">
        <f t="shared" ref="AA4:AA55" si="9">IF(U4&gt;0,X4/U4*100-100,"-")</f>
        <v>-6.3940109655837318</v>
      </c>
    </row>
    <row r="5" spans="1:27" x14ac:dyDescent="0.3">
      <c r="A5" t="s">
        <v>22</v>
      </c>
      <c r="B5" s="30">
        <v>968820143.74000001</v>
      </c>
      <c r="C5" s="30">
        <v>470517442.31</v>
      </c>
      <c r="D5" s="20">
        <f t="shared" si="0"/>
        <v>48.56602593889415</v>
      </c>
      <c r="E5" s="30">
        <v>1242616607.3299999</v>
      </c>
      <c r="F5" s="30">
        <v>524553150.22000003</v>
      </c>
      <c r="G5" s="20">
        <f t="shared" si="1"/>
        <v>42.213595659815226</v>
      </c>
      <c r="H5" s="26">
        <v>944250647.89999998</v>
      </c>
      <c r="I5" s="19">
        <v>505521387.29000002</v>
      </c>
      <c r="J5" s="20">
        <f t="shared" si="2"/>
        <v>53.536779499624643</v>
      </c>
      <c r="K5" s="26">
        <v>1068564619.0700001</v>
      </c>
      <c r="L5" s="19">
        <v>497312534.72000003</v>
      </c>
      <c r="M5" s="20">
        <f t="shared" si="3"/>
        <v>46.540239667753944</v>
      </c>
      <c r="N5" s="19">
        <v>752562852.77999997</v>
      </c>
      <c r="O5" s="19">
        <v>381129921.00999999</v>
      </c>
      <c r="P5" s="20">
        <f t="shared" si="4"/>
        <v>50.64426440955588</v>
      </c>
      <c r="Q5" s="19">
        <v>907332442.38</v>
      </c>
      <c r="R5" s="19">
        <v>420754961.18000001</v>
      </c>
      <c r="S5" s="20">
        <f t="shared" si="5"/>
        <v>46.372745151306248</v>
      </c>
      <c r="T5" s="19">
        <v>1012473791.5700001</v>
      </c>
      <c r="U5" s="19">
        <v>548024474.67999995</v>
      </c>
      <c r="V5" s="20">
        <f t="shared" si="6"/>
        <v>54.127275119902286</v>
      </c>
      <c r="W5" s="1">
        <v>1207505648.5999999</v>
      </c>
      <c r="X5" s="1">
        <v>624510855.58000004</v>
      </c>
      <c r="Y5" s="20">
        <f t="shared" si="7"/>
        <v>51.71908357563936</v>
      </c>
      <c r="Z5" s="13">
        <f t="shared" si="8"/>
        <v>19.262904250348271</v>
      </c>
      <c r="AA5" s="13">
        <f t="shared" si="9"/>
        <v>13.956745443652267</v>
      </c>
    </row>
    <row r="6" spans="1:27" x14ac:dyDescent="0.3">
      <c r="A6" t="s">
        <v>23</v>
      </c>
      <c r="B6" s="30">
        <v>19620957.43</v>
      </c>
      <c r="C6" s="30">
        <v>19620957.43</v>
      </c>
      <c r="D6" s="20">
        <f t="shared" si="0"/>
        <v>100</v>
      </c>
      <c r="E6" s="30">
        <v>12017925.01</v>
      </c>
      <c r="F6" s="30">
        <v>12017925.01</v>
      </c>
      <c r="G6" s="20">
        <f t="shared" si="1"/>
        <v>100</v>
      </c>
      <c r="H6" s="26">
        <v>14998641.369999999</v>
      </c>
      <c r="I6" s="19">
        <v>14998641.369999999</v>
      </c>
      <c r="J6" s="43">
        <f t="shared" si="2"/>
        <v>100</v>
      </c>
      <c r="K6" s="26">
        <v>8775551.4900000002</v>
      </c>
      <c r="L6" s="19">
        <v>8775551.4900000002</v>
      </c>
      <c r="M6" s="20">
        <f t="shared" si="3"/>
        <v>100</v>
      </c>
      <c r="N6" s="19">
        <v>4762592.42</v>
      </c>
      <c r="O6" s="19">
        <v>4762592.42</v>
      </c>
      <c r="P6" s="20">
        <f t="shared" si="4"/>
        <v>100</v>
      </c>
      <c r="Q6" s="19">
        <v>5939601.9900000002</v>
      </c>
      <c r="R6" s="19">
        <v>5939601.9900000002</v>
      </c>
      <c r="S6" s="20">
        <f t="shared" si="5"/>
        <v>100</v>
      </c>
      <c r="T6" s="19">
        <v>5173469.7699999996</v>
      </c>
      <c r="U6" s="19">
        <v>5173469.7699999996</v>
      </c>
      <c r="V6" s="20">
        <f t="shared" si="6"/>
        <v>100</v>
      </c>
      <c r="W6" s="1">
        <v>6537066.6799999997</v>
      </c>
      <c r="X6" s="1">
        <v>6277783.6500000004</v>
      </c>
      <c r="Y6" s="20">
        <f t="shared" si="7"/>
        <v>96.033648688435903</v>
      </c>
      <c r="Z6" s="13">
        <f t="shared" si="8"/>
        <v>26.357492565381307</v>
      </c>
      <c r="AA6" s="13">
        <f t="shared" si="9"/>
        <v>21.345710501754823</v>
      </c>
    </row>
    <row r="7" spans="1:27" x14ac:dyDescent="0.3">
      <c r="A7" t="s">
        <v>24</v>
      </c>
      <c r="B7" s="30">
        <v>123250426.78</v>
      </c>
      <c r="C7" s="30">
        <v>29482841.309999999</v>
      </c>
      <c r="D7" s="20">
        <f t="shared" si="0"/>
        <v>23.921086587899925</v>
      </c>
      <c r="E7" s="30">
        <v>138214456.50999999</v>
      </c>
      <c r="F7" s="30">
        <v>16974017.920000002</v>
      </c>
      <c r="G7" s="20">
        <f t="shared" si="1"/>
        <v>12.280928022006085</v>
      </c>
      <c r="H7" s="26">
        <v>17109240.289999999</v>
      </c>
      <c r="I7" s="19">
        <v>12148476.710000001</v>
      </c>
      <c r="J7" s="20">
        <f t="shared" si="2"/>
        <v>71.00535444055069</v>
      </c>
      <c r="K7" s="26">
        <v>135551927.90000001</v>
      </c>
      <c r="L7" s="19">
        <v>94387373.599999994</v>
      </c>
      <c r="M7" s="20">
        <f t="shared" si="3"/>
        <v>69.631893151406814</v>
      </c>
      <c r="N7" s="19">
        <v>94557079.049999997</v>
      </c>
      <c r="O7" s="19">
        <v>49998013.549999997</v>
      </c>
      <c r="P7" s="20">
        <f t="shared" si="4"/>
        <v>52.876013147108736</v>
      </c>
      <c r="Q7" s="19">
        <v>113133016.81</v>
      </c>
      <c r="R7" s="19">
        <v>47746985.649999999</v>
      </c>
      <c r="S7" s="20">
        <f t="shared" si="5"/>
        <v>42.204289248458871</v>
      </c>
      <c r="T7" s="19">
        <v>181483614.61000001</v>
      </c>
      <c r="U7" s="19">
        <v>139620453.34</v>
      </c>
      <c r="V7" s="20">
        <f t="shared" si="6"/>
        <v>76.93281492108143</v>
      </c>
      <c r="W7" s="1">
        <v>365230545.31</v>
      </c>
      <c r="X7" s="1">
        <v>285177262.86000001</v>
      </c>
      <c r="Y7" s="20">
        <f t="shared" si="7"/>
        <v>78.081438292064959</v>
      </c>
      <c r="Z7" s="13">
        <f t="shared" si="8"/>
        <v>101.24711869711419</v>
      </c>
      <c r="AA7" s="13">
        <f t="shared" si="9"/>
        <v>104.25178119536969</v>
      </c>
    </row>
    <row r="8" spans="1:27" x14ac:dyDescent="0.3">
      <c r="A8" t="s">
        <v>25</v>
      </c>
      <c r="B8" s="30">
        <v>1361500</v>
      </c>
      <c r="C8" s="30">
        <v>0</v>
      </c>
      <c r="D8" s="20">
        <f t="shared" si="0"/>
        <v>0</v>
      </c>
      <c r="E8" s="30">
        <v>24926.720000000001</v>
      </c>
      <c r="F8" s="30">
        <v>0</v>
      </c>
      <c r="G8" s="20">
        <f t="shared" si="1"/>
        <v>0</v>
      </c>
      <c r="H8" s="26">
        <v>677170.33</v>
      </c>
      <c r="I8" s="19">
        <v>0</v>
      </c>
      <c r="J8" s="20">
        <f t="shared" si="2"/>
        <v>0</v>
      </c>
      <c r="K8" s="26">
        <v>1691708.31</v>
      </c>
      <c r="L8" s="19">
        <v>1048737.3700000001</v>
      </c>
      <c r="M8" s="20">
        <f t="shared" si="3"/>
        <v>61.992801229427073</v>
      </c>
      <c r="N8" s="19">
        <v>3776680.79</v>
      </c>
      <c r="O8" s="19">
        <v>1006155.44</v>
      </c>
      <c r="P8" s="20">
        <f t="shared" si="4"/>
        <v>26.641262419215472</v>
      </c>
      <c r="Q8" s="19">
        <v>758618.26</v>
      </c>
      <c r="R8" s="19">
        <v>44459.92</v>
      </c>
      <c r="S8" s="20">
        <f t="shared" si="5"/>
        <v>5.8606445882280767</v>
      </c>
      <c r="T8" s="19">
        <v>21808737.620000001</v>
      </c>
      <c r="U8" s="19">
        <v>10998216.699999999</v>
      </c>
      <c r="V8" s="20">
        <f t="shared" si="6"/>
        <v>50.430322431473215</v>
      </c>
      <c r="W8" s="1">
        <v>46997303.979999997</v>
      </c>
      <c r="X8" s="1">
        <v>1995908.68</v>
      </c>
      <c r="Y8" s="20">
        <f t="shared" si="7"/>
        <v>4.2468578215664703</v>
      </c>
      <c r="Z8" s="13">
        <f t="shared" si="8"/>
        <v>115.49758999760022</v>
      </c>
      <c r="AA8" s="13">
        <f t="shared" si="9"/>
        <v>-81.852433585892157</v>
      </c>
    </row>
    <row r="9" spans="1:27" x14ac:dyDescent="0.3">
      <c r="A9" t="s">
        <v>26</v>
      </c>
      <c r="B9" s="30">
        <v>4679064.38</v>
      </c>
      <c r="C9" s="30">
        <v>4679064.38</v>
      </c>
      <c r="D9" s="20">
        <f t="shared" si="0"/>
        <v>100</v>
      </c>
      <c r="E9" s="30">
        <v>13203398.16</v>
      </c>
      <c r="F9" s="30">
        <v>13153811.960000001</v>
      </c>
      <c r="G9" s="20">
        <f t="shared" si="1"/>
        <v>99.624443651557655</v>
      </c>
      <c r="H9" s="26">
        <v>31208588.489999998</v>
      </c>
      <c r="I9" s="19">
        <v>30439754.260000002</v>
      </c>
      <c r="J9" s="20">
        <f t="shared" si="2"/>
        <v>97.536465866611195</v>
      </c>
      <c r="K9" s="26">
        <v>8505677.5</v>
      </c>
      <c r="L9" s="19">
        <v>8412918.0399999991</v>
      </c>
      <c r="M9" s="20">
        <f t="shared" si="3"/>
        <v>98.909440664779481</v>
      </c>
      <c r="N9" s="19">
        <v>13022032.68</v>
      </c>
      <c r="O9" s="19">
        <v>12924592.68</v>
      </c>
      <c r="P9" s="20">
        <f t="shared" si="4"/>
        <v>99.25172972304351</v>
      </c>
      <c r="Q9" s="19">
        <v>12131625.99</v>
      </c>
      <c r="R9" s="19">
        <v>12124206.82</v>
      </c>
      <c r="S9" s="20">
        <f t="shared" si="5"/>
        <v>99.938844388986965</v>
      </c>
      <c r="T9" s="19">
        <v>8325941.1299999999</v>
      </c>
      <c r="U9" s="19">
        <v>8300754.9199999999</v>
      </c>
      <c r="V9" s="20">
        <f t="shared" si="6"/>
        <v>99.697497140482426</v>
      </c>
      <c r="W9" s="1">
        <v>9771061.3699999992</v>
      </c>
      <c r="X9" s="1">
        <v>9545433.3399999999</v>
      </c>
      <c r="Y9" s="20">
        <f t="shared" si="7"/>
        <v>97.690854437853162</v>
      </c>
      <c r="Z9" s="13">
        <f t="shared" si="8"/>
        <v>17.356839514429751</v>
      </c>
      <c r="AA9" s="13">
        <f t="shared" si="9"/>
        <v>14.994761705360645</v>
      </c>
    </row>
    <row r="10" spans="1:27" x14ac:dyDescent="0.3">
      <c r="A10" t="s">
        <v>27</v>
      </c>
      <c r="B10" s="30">
        <v>218373806.13999999</v>
      </c>
      <c r="C10" s="30">
        <v>195958896.09999999</v>
      </c>
      <c r="D10" s="20">
        <f t="shared" si="0"/>
        <v>89.735531730564006</v>
      </c>
      <c r="E10" s="30">
        <v>182449082.61000001</v>
      </c>
      <c r="F10" s="30">
        <v>161827863.11000001</v>
      </c>
      <c r="G10" s="20">
        <f t="shared" si="1"/>
        <v>88.697548266614433</v>
      </c>
      <c r="H10" s="26">
        <v>139134663.72999999</v>
      </c>
      <c r="I10" s="19">
        <v>125382194.75</v>
      </c>
      <c r="J10" s="20">
        <f t="shared" si="2"/>
        <v>90.115713359046481</v>
      </c>
      <c r="K10" s="26">
        <v>110498394.18000001</v>
      </c>
      <c r="L10" s="19">
        <v>103204428.29000001</v>
      </c>
      <c r="M10" s="20">
        <f t="shared" si="3"/>
        <v>93.399029964075083</v>
      </c>
      <c r="N10" s="19">
        <v>77192739.299999997</v>
      </c>
      <c r="O10" s="19">
        <v>70087137.579999998</v>
      </c>
      <c r="P10" s="20">
        <f t="shared" si="4"/>
        <v>90.794986958054494</v>
      </c>
      <c r="Q10" s="19">
        <v>97705926.739999995</v>
      </c>
      <c r="R10" s="19">
        <v>90252352.599999994</v>
      </c>
      <c r="S10" s="20">
        <f t="shared" si="5"/>
        <v>92.371420661272367</v>
      </c>
      <c r="T10" s="19">
        <v>114310816.06</v>
      </c>
      <c r="U10" s="19">
        <v>110341338.94</v>
      </c>
      <c r="V10" s="20">
        <f t="shared" si="6"/>
        <v>96.527470228262132</v>
      </c>
      <c r="W10" s="1">
        <v>100763800.37</v>
      </c>
      <c r="X10" s="1">
        <v>96507904.969999999</v>
      </c>
      <c r="Y10" s="20">
        <f t="shared" si="7"/>
        <v>95.77636474173012</v>
      </c>
      <c r="Z10" s="13">
        <f t="shared" si="8"/>
        <v>-11.851035761033643</v>
      </c>
      <c r="AA10" s="13">
        <f t="shared" si="9"/>
        <v>-12.536945901591935</v>
      </c>
    </row>
    <row r="11" spans="1:27" x14ac:dyDescent="0.3">
      <c r="A11" t="s">
        <v>28</v>
      </c>
      <c r="B11" s="30">
        <v>0</v>
      </c>
      <c r="C11" s="30">
        <v>0</v>
      </c>
      <c r="D11" s="20" t="str">
        <f t="shared" si="0"/>
        <v>-</v>
      </c>
      <c r="E11" s="30">
        <v>48125000</v>
      </c>
      <c r="F11" s="30">
        <v>48125000</v>
      </c>
      <c r="G11" s="20">
        <f t="shared" si="1"/>
        <v>100</v>
      </c>
      <c r="H11" s="26">
        <v>0</v>
      </c>
      <c r="I11" s="19">
        <v>0</v>
      </c>
      <c r="J11" s="20" t="str">
        <f t="shared" si="2"/>
        <v>-</v>
      </c>
      <c r="K11" s="26">
        <v>0</v>
      </c>
      <c r="L11" s="19">
        <v>0</v>
      </c>
      <c r="M11" s="20" t="str">
        <f t="shared" si="3"/>
        <v>-</v>
      </c>
      <c r="N11" s="19">
        <v>0</v>
      </c>
      <c r="O11" s="19">
        <v>0</v>
      </c>
      <c r="P11" s="20" t="str">
        <f t="shared" si="4"/>
        <v>-</v>
      </c>
      <c r="Q11" s="19">
        <v>0</v>
      </c>
      <c r="R11" s="19">
        <v>0</v>
      </c>
      <c r="S11" s="20" t="str">
        <f t="shared" si="5"/>
        <v>-</v>
      </c>
      <c r="T11" s="19">
        <v>0</v>
      </c>
      <c r="U11" s="19">
        <v>0</v>
      </c>
      <c r="V11" s="20" t="str">
        <f t="shared" si="6"/>
        <v>-</v>
      </c>
      <c r="W11" s="1">
        <v>0</v>
      </c>
      <c r="X11" s="1">
        <v>0</v>
      </c>
      <c r="Y11" s="20" t="str">
        <f t="shared" si="7"/>
        <v>-</v>
      </c>
      <c r="Z11" s="13" t="str">
        <f t="shared" si="8"/>
        <v>-</v>
      </c>
      <c r="AA11" s="13" t="str">
        <f t="shared" si="9"/>
        <v>-</v>
      </c>
    </row>
    <row r="12" spans="1:27" x14ac:dyDescent="0.3">
      <c r="A12" t="s">
        <v>29</v>
      </c>
      <c r="B12" s="30">
        <v>9029794.6999999993</v>
      </c>
      <c r="C12" s="30">
        <v>0</v>
      </c>
      <c r="D12" s="20">
        <f t="shared" si="0"/>
        <v>0</v>
      </c>
      <c r="E12" s="30">
        <v>14930048.85</v>
      </c>
      <c r="F12" s="30">
        <v>15536.24</v>
      </c>
      <c r="G12" s="20">
        <f t="shared" si="1"/>
        <v>0.10406020875142682</v>
      </c>
      <c r="H12" s="26">
        <v>0</v>
      </c>
      <c r="I12" s="19">
        <v>0</v>
      </c>
      <c r="J12" s="20" t="str">
        <f t="shared" si="2"/>
        <v>-</v>
      </c>
      <c r="K12" s="26">
        <v>0</v>
      </c>
      <c r="L12" s="19">
        <v>0</v>
      </c>
      <c r="M12" s="20" t="str">
        <f t="shared" si="3"/>
        <v>-</v>
      </c>
      <c r="N12" s="19">
        <v>7149.25</v>
      </c>
      <c r="O12" s="19">
        <v>7149.25</v>
      </c>
      <c r="P12" s="20">
        <f t="shared" si="4"/>
        <v>100</v>
      </c>
      <c r="Q12" s="19">
        <v>40000000</v>
      </c>
      <c r="R12" s="19">
        <v>0</v>
      </c>
      <c r="S12" s="20">
        <f t="shared" si="5"/>
        <v>0</v>
      </c>
      <c r="T12" s="19">
        <v>110005123.48</v>
      </c>
      <c r="U12" s="19">
        <v>0</v>
      </c>
      <c r="V12" s="20">
        <f t="shared" si="6"/>
        <v>0</v>
      </c>
      <c r="W12" s="1">
        <v>0</v>
      </c>
      <c r="X12" s="1">
        <v>0</v>
      </c>
      <c r="Y12" s="20" t="str">
        <f t="shared" si="7"/>
        <v>-</v>
      </c>
      <c r="Z12" s="13">
        <f t="shared" si="8"/>
        <v>-100</v>
      </c>
      <c r="AA12" s="13" t="str">
        <f t="shared" si="9"/>
        <v>-</v>
      </c>
    </row>
    <row r="13" spans="1:27" x14ac:dyDescent="0.3">
      <c r="A13" t="s">
        <v>30</v>
      </c>
      <c r="B13" s="30">
        <v>44437612.719999999</v>
      </c>
      <c r="C13" s="30">
        <v>0</v>
      </c>
      <c r="D13" s="20">
        <f t="shared" si="0"/>
        <v>0</v>
      </c>
      <c r="E13" s="30">
        <v>1967000</v>
      </c>
      <c r="F13" s="30">
        <v>0</v>
      </c>
      <c r="G13" s="20">
        <f t="shared" si="1"/>
        <v>0</v>
      </c>
      <c r="H13" s="26">
        <v>0</v>
      </c>
      <c r="I13" s="19">
        <v>0</v>
      </c>
      <c r="J13" s="20" t="str">
        <f t="shared" si="2"/>
        <v>-</v>
      </c>
      <c r="K13" s="26">
        <v>172810919.59999999</v>
      </c>
      <c r="L13" s="19">
        <v>665097.9</v>
      </c>
      <c r="M13" s="20">
        <f t="shared" si="3"/>
        <v>0.38487029728183919</v>
      </c>
      <c r="N13" s="19">
        <v>70159426.189999998</v>
      </c>
      <c r="O13" s="19">
        <v>41188.160000000003</v>
      </c>
      <c r="P13" s="20">
        <f t="shared" si="4"/>
        <v>5.8706523466223355E-2</v>
      </c>
      <c r="Q13" s="19">
        <v>267696025.75999999</v>
      </c>
      <c r="R13" s="19">
        <v>113886177.59</v>
      </c>
      <c r="S13" s="20">
        <f t="shared" si="5"/>
        <v>42.543096135503873</v>
      </c>
      <c r="T13" s="19">
        <v>191142450.11000001</v>
      </c>
      <c r="U13" s="19">
        <v>1254695.5900000001</v>
      </c>
      <c r="V13" s="20">
        <f t="shared" si="6"/>
        <v>0.65641912054488105</v>
      </c>
      <c r="W13" s="1">
        <v>111523408.58</v>
      </c>
      <c r="X13" s="1">
        <v>977803.2</v>
      </c>
      <c r="Y13" s="20">
        <f t="shared" si="7"/>
        <v>0.87676947149493234</v>
      </c>
      <c r="Z13" s="13">
        <f t="shared" si="8"/>
        <v>-41.654295780021798</v>
      </c>
      <c r="AA13" s="13">
        <f t="shared" si="9"/>
        <v>-22.068491529487261</v>
      </c>
    </row>
    <row r="14" spans="1:27" x14ac:dyDescent="0.3">
      <c r="A14" t="s">
        <v>31</v>
      </c>
      <c r="B14" s="31">
        <f>SUM(B3:B5)</f>
        <v>4753105143.6700001</v>
      </c>
      <c r="C14" s="31">
        <f>SUM(C3:C5)</f>
        <v>3039308708.2999997</v>
      </c>
      <c r="D14" s="20">
        <f>IF(B14&gt;0,C14/B14*100,"-")</f>
        <v>63.943645604971152</v>
      </c>
      <c r="E14" s="31">
        <f>SUM(E3:E5)</f>
        <v>5062207355.4700003</v>
      </c>
      <c r="F14" s="31">
        <f>SUM(F3:F5)</f>
        <v>3396922499.4899998</v>
      </c>
      <c r="G14" s="20">
        <f>IF(E14&gt;0,F14/E14*100,"-")</f>
        <v>67.103582705268551</v>
      </c>
      <c r="H14" s="31">
        <f>SUM(H3:H5)</f>
        <v>4844676595.9200001</v>
      </c>
      <c r="I14" s="31">
        <f>SUM(I3:I5)</f>
        <v>3172799573.5599999</v>
      </c>
      <c r="J14" s="20">
        <f>IF(H14&gt;0,I14/H14*100,"-")</f>
        <v>65.4904308005205</v>
      </c>
      <c r="K14" s="31">
        <f>SUM(K3:K5)</f>
        <v>5077313781.5900002</v>
      </c>
      <c r="L14" s="31">
        <f>SUM(L3:L5)</f>
        <v>3050433033.5600004</v>
      </c>
      <c r="M14" s="20">
        <f>IF(K14&gt;0,L14/K14*100,"-")</f>
        <v>60.079663475215305</v>
      </c>
      <c r="N14" s="31">
        <f>SUM(N3:N5)</f>
        <v>5036840226.4799995</v>
      </c>
      <c r="O14" s="31">
        <f>SUM(O3:O5)</f>
        <v>3509141274.6000004</v>
      </c>
      <c r="P14" s="20">
        <f>IF(N14&gt;0,O14/N14*100,"-")</f>
        <v>69.669497478826457</v>
      </c>
      <c r="Q14" s="31">
        <f>SUM(Q3:Q5)</f>
        <v>5232964730.21</v>
      </c>
      <c r="R14" s="31">
        <f>SUM(R3:R5)</f>
        <v>3509715801.1199999</v>
      </c>
      <c r="S14" s="20">
        <f>IF(Q14&gt;0,R14/Q14*100,"-")</f>
        <v>67.069357086592746</v>
      </c>
      <c r="T14" s="31">
        <f>SUM(T3:T5)</f>
        <v>5257952073.8599997</v>
      </c>
      <c r="U14" s="31">
        <f>SUM(U3:U5)</f>
        <v>3781196327.1100001</v>
      </c>
      <c r="V14" s="20">
        <f>IF(T14&gt;0,U14/T14*100,"-")</f>
        <v>71.913860643733969</v>
      </c>
      <c r="W14" s="31">
        <f>SUM(W3:W5)</f>
        <v>5606030085.4200001</v>
      </c>
      <c r="X14" s="31">
        <f>SUM(X3:X5)</f>
        <v>3894752114.6100001</v>
      </c>
      <c r="Y14" s="20">
        <f>IF(W14&gt;0,X14/W14*100,"-")</f>
        <v>69.474334872717819</v>
      </c>
      <c r="Z14" s="13">
        <f t="shared" si="8"/>
        <v>6.6200301309415863</v>
      </c>
      <c r="AA14" s="13">
        <f t="shared" si="9"/>
        <v>3.0031708929219292</v>
      </c>
    </row>
    <row r="15" spans="1:27" x14ac:dyDescent="0.3">
      <c r="A15" t="s">
        <v>32</v>
      </c>
      <c r="B15" s="30">
        <f>SUM(B6:B10)</f>
        <v>367285754.73000002</v>
      </c>
      <c r="C15" s="30">
        <f>SUM(C6:C10)</f>
        <v>249741759.22</v>
      </c>
      <c r="D15" s="20">
        <f>IF(B15&gt;0,C15/B15*100,"-")</f>
        <v>67.996581953904183</v>
      </c>
      <c r="E15" s="30">
        <f>SUM(E6:E10)</f>
        <v>345909789.00999999</v>
      </c>
      <c r="F15" s="30">
        <f>SUM(F6:F10)</f>
        <v>203973618</v>
      </c>
      <c r="G15" s="20">
        <f>IF(E15&gt;0,F15/E15*100,"-")</f>
        <v>58.967286986522161</v>
      </c>
      <c r="H15" s="30">
        <f>SUM(H6:H10)</f>
        <v>203128304.20999998</v>
      </c>
      <c r="I15" s="30">
        <f>SUM(I6:I10)</f>
        <v>182969067.09</v>
      </c>
      <c r="J15" s="20">
        <f>IF(H15&gt;0,I15/H15*100,"-")</f>
        <v>90.075613933566459</v>
      </c>
      <c r="K15" s="30">
        <f>SUM(K6:K10)</f>
        <v>265023259.38000003</v>
      </c>
      <c r="L15" s="30">
        <f>SUM(L6:L10)</f>
        <v>215829008.79000002</v>
      </c>
      <c r="M15" s="20">
        <f>IF(K15&gt;0,L15/K15*100,"-")</f>
        <v>81.437761083655118</v>
      </c>
      <c r="N15" s="30">
        <f>SUM(N6:N10)</f>
        <v>193311124.24000001</v>
      </c>
      <c r="O15" s="30">
        <f>SUM(O6:O10)</f>
        <v>138778491.67000002</v>
      </c>
      <c r="P15" s="20">
        <f>IF(N15&gt;0,O15/N15*100,"-")</f>
        <v>71.790225324903417</v>
      </c>
      <c r="Q15" s="30">
        <f>SUM(Q6:Q10)</f>
        <v>229668789.78999999</v>
      </c>
      <c r="R15" s="30">
        <f>SUM(R6:R10)</f>
        <v>156107606.97999999</v>
      </c>
      <c r="S15" s="20">
        <f>IF(Q15&gt;0,R15/Q15*100,"-")</f>
        <v>67.970753502353801</v>
      </c>
      <c r="T15" s="30">
        <f>SUM(T6:T10)</f>
        <v>331102579.19000006</v>
      </c>
      <c r="U15" s="30">
        <f>SUM(U6:U10)</f>
        <v>274434233.66999996</v>
      </c>
      <c r="V15" s="20">
        <f>IF(T15&gt;0,U15/T15*100,"-")</f>
        <v>82.884957991377789</v>
      </c>
      <c r="W15" s="30">
        <f>SUM(W6:W10)</f>
        <v>529299777.71000004</v>
      </c>
      <c r="X15" s="30">
        <f>SUM(X6:X10)</f>
        <v>399504293.5</v>
      </c>
      <c r="Y15" s="20">
        <f>IF(W15&gt;0,X15/W15*100,"-")</f>
        <v>75.477888018098866</v>
      </c>
      <c r="Z15" s="13">
        <f t="shared" si="8"/>
        <v>59.859756757215251</v>
      </c>
      <c r="AA15" s="13">
        <f t="shared" si="9"/>
        <v>45.573782161737711</v>
      </c>
    </row>
    <row r="16" spans="1:27" x14ac:dyDescent="0.3">
      <c r="A16" t="s">
        <v>33</v>
      </c>
      <c r="B16" s="31">
        <f>SUM(B11:B13)</f>
        <v>53467407.420000002</v>
      </c>
      <c r="C16" s="31">
        <f>SUM(C11:C13)</f>
        <v>0</v>
      </c>
      <c r="D16" s="20">
        <f t="shared" si="0"/>
        <v>0</v>
      </c>
      <c r="E16" s="31">
        <f>SUM(E11:E13)</f>
        <v>65022048.850000001</v>
      </c>
      <c r="F16" s="31">
        <f>SUM(F11:F13)</f>
        <v>48140536.240000002</v>
      </c>
      <c r="G16" s="20">
        <f t="shared" si="1"/>
        <v>74.037249043099024</v>
      </c>
      <c r="H16" s="31">
        <f>SUM(H11:H13)</f>
        <v>0</v>
      </c>
      <c r="I16" s="31">
        <f>SUM(I11:I13)</f>
        <v>0</v>
      </c>
      <c r="J16" s="20" t="str">
        <f t="shared" si="2"/>
        <v>-</v>
      </c>
      <c r="K16" s="31">
        <f>SUM(K11:K13)</f>
        <v>172810919.59999999</v>
      </c>
      <c r="L16" s="31">
        <f>SUM(L11:L13)</f>
        <v>665097.9</v>
      </c>
      <c r="M16" s="20">
        <f t="shared" ref="M16:M21" si="10">IF(K16&gt;0,L16/K16*100,"-")</f>
        <v>0.38487029728183919</v>
      </c>
      <c r="N16" s="31">
        <f>SUM(N11:N13)</f>
        <v>70166575.439999998</v>
      </c>
      <c r="O16" s="31">
        <f>SUM(O11:O13)</f>
        <v>48337.41</v>
      </c>
      <c r="P16" s="20">
        <f t="shared" ref="P16:P21" si="11">IF(N16&gt;0,O16/N16*100,"-")</f>
        <v>6.888950999373443E-2</v>
      </c>
      <c r="Q16" s="31">
        <f>SUM(Q11:Q13)</f>
        <v>307696025.75999999</v>
      </c>
      <c r="R16" s="31">
        <f>SUM(R11:R13)</f>
        <v>113886177.59</v>
      </c>
      <c r="S16" s="20">
        <f t="shared" ref="S16:S21" si="12">IF(Q16&gt;0,R16/Q16*100,"-")</f>
        <v>37.012560467332833</v>
      </c>
      <c r="T16" s="31">
        <f>SUM(T11:T13)</f>
        <v>301147573.59000003</v>
      </c>
      <c r="U16" s="31">
        <f>SUM(U11:U13)</f>
        <v>1254695.5900000001</v>
      </c>
      <c r="V16" s="20">
        <f t="shared" ref="V16:V21" si="13">IF(T16&gt;0,U16/T16*100,"-")</f>
        <v>0.41663812032177161</v>
      </c>
      <c r="W16" s="31">
        <f>SUM(W11:W13)</f>
        <v>111523408.58</v>
      </c>
      <c r="X16" s="31">
        <f>SUM(X11:X13)</f>
        <v>977803.2</v>
      </c>
      <c r="Y16" s="20">
        <f t="shared" ref="Y16:Y21" si="14">IF(W16&gt;0,X16/W16*100,"-")</f>
        <v>0.87676947149493234</v>
      </c>
      <c r="Z16" s="13">
        <f t="shared" si="8"/>
        <v>-62.967190055519254</v>
      </c>
      <c r="AA16" s="13">
        <f t="shared" si="9"/>
        <v>-22.068491529487261</v>
      </c>
    </row>
    <row r="17" spans="1:27" x14ac:dyDescent="0.3">
      <c r="A17" t="s">
        <v>34</v>
      </c>
      <c r="B17" s="30">
        <v>44437612.719999999</v>
      </c>
      <c r="C17" s="30">
        <v>44437612.719999999</v>
      </c>
      <c r="D17" s="20">
        <f t="shared" si="0"/>
        <v>100</v>
      </c>
      <c r="E17" s="30">
        <v>1967000</v>
      </c>
      <c r="F17" s="30">
        <v>1967000</v>
      </c>
      <c r="G17" s="20">
        <f t="shared" si="1"/>
        <v>100</v>
      </c>
      <c r="H17" s="26">
        <v>0</v>
      </c>
      <c r="I17" s="19">
        <v>0</v>
      </c>
      <c r="J17" s="20" t="str">
        <f t="shared" si="2"/>
        <v>-</v>
      </c>
      <c r="K17" s="26">
        <v>172810919.59999999</v>
      </c>
      <c r="L17" s="19">
        <v>172810919.59999999</v>
      </c>
      <c r="M17" s="20">
        <f t="shared" si="10"/>
        <v>100</v>
      </c>
      <c r="N17" s="19">
        <v>70159426.189999998</v>
      </c>
      <c r="O17" s="19">
        <v>70159426.189999998</v>
      </c>
      <c r="P17" s="20">
        <f t="shared" si="11"/>
        <v>100</v>
      </c>
      <c r="Q17" s="19">
        <v>267696025.75999999</v>
      </c>
      <c r="R17" s="19">
        <v>267696025.75999999</v>
      </c>
      <c r="S17" s="20">
        <f t="shared" si="12"/>
        <v>100</v>
      </c>
      <c r="T17" s="19">
        <v>187516008.11000001</v>
      </c>
      <c r="U17" s="19">
        <v>187516008.11000001</v>
      </c>
      <c r="V17" s="20">
        <f t="shared" si="13"/>
        <v>100</v>
      </c>
      <c r="W17" s="1">
        <v>111523408.58</v>
      </c>
      <c r="X17" s="1">
        <v>111523408.58</v>
      </c>
      <c r="Y17" s="20">
        <f t="shared" si="14"/>
        <v>100</v>
      </c>
      <c r="Z17" s="13">
        <f t="shared" si="8"/>
        <v>-40.525926450728136</v>
      </c>
      <c r="AA17" s="13">
        <f t="shared" si="9"/>
        <v>-40.525926450728136</v>
      </c>
    </row>
    <row r="18" spans="1:27" x14ac:dyDescent="0.3">
      <c r="A18" t="s">
        <v>35</v>
      </c>
      <c r="B18" s="30">
        <v>0</v>
      </c>
      <c r="C18" s="30">
        <v>0</v>
      </c>
      <c r="D18" s="20" t="str">
        <f t="shared" si="0"/>
        <v>-</v>
      </c>
      <c r="E18" s="30">
        <v>0</v>
      </c>
      <c r="F18" s="30">
        <v>0</v>
      </c>
      <c r="G18" s="20" t="str">
        <f t="shared" si="1"/>
        <v>-</v>
      </c>
      <c r="H18" s="26">
        <v>0</v>
      </c>
      <c r="I18" s="19">
        <v>0</v>
      </c>
      <c r="J18" s="20" t="str">
        <f t="shared" si="2"/>
        <v>-</v>
      </c>
      <c r="K18" s="26">
        <v>0</v>
      </c>
      <c r="L18" s="19">
        <v>0</v>
      </c>
      <c r="M18" s="20" t="str">
        <f t="shared" si="10"/>
        <v>-</v>
      </c>
      <c r="N18" s="19">
        <v>0</v>
      </c>
      <c r="O18" s="19">
        <v>0</v>
      </c>
      <c r="P18" s="20" t="str">
        <f t="shared" si="11"/>
        <v>-</v>
      </c>
      <c r="Q18" s="19">
        <v>0</v>
      </c>
      <c r="R18" s="19">
        <v>0</v>
      </c>
      <c r="S18" s="20" t="str">
        <f t="shared" si="12"/>
        <v>-</v>
      </c>
      <c r="T18" s="19">
        <v>0</v>
      </c>
      <c r="U18" s="19">
        <v>0</v>
      </c>
      <c r="V18" s="20" t="str">
        <f t="shared" si="13"/>
        <v>-</v>
      </c>
      <c r="W18" s="19">
        <v>0</v>
      </c>
      <c r="X18" s="19">
        <v>0</v>
      </c>
      <c r="Y18" s="20" t="str">
        <f t="shared" si="14"/>
        <v>-</v>
      </c>
      <c r="Z18" s="13" t="str">
        <f t="shared" si="8"/>
        <v>-</v>
      </c>
      <c r="AA18" s="13" t="str">
        <f t="shared" si="9"/>
        <v>-</v>
      </c>
    </row>
    <row r="19" spans="1:27" x14ac:dyDescent="0.3">
      <c r="A19" t="s">
        <v>36</v>
      </c>
      <c r="B19" s="30">
        <v>5723315506.8000002</v>
      </c>
      <c r="C19" s="30">
        <v>5685261786.3000002</v>
      </c>
      <c r="D19" s="20">
        <f t="shared" si="0"/>
        <v>99.335110558647571</v>
      </c>
      <c r="E19" s="30">
        <v>4057217155.5100002</v>
      </c>
      <c r="F19" s="30">
        <v>4052564957.25</v>
      </c>
      <c r="G19" s="20">
        <f t="shared" si="1"/>
        <v>99.885335241332058</v>
      </c>
      <c r="H19" s="26">
        <v>1125390102.99</v>
      </c>
      <c r="I19" s="19">
        <v>1005323278.59</v>
      </c>
      <c r="J19" s="20">
        <f t="shared" si="2"/>
        <v>89.331092917824705</v>
      </c>
      <c r="K19" s="26">
        <v>1272836366.4200001</v>
      </c>
      <c r="L19" s="19">
        <v>1222634840.8900001</v>
      </c>
      <c r="M19" s="20">
        <f t="shared" si="10"/>
        <v>96.055932494198174</v>
      </c>
      <c r="N19" s="19">
        <v>1189975569.6099999</v>
      </c>
      <c r="O19" s="19">
        <v>1156225437.79</v>
      </c>
      <c r="P19" s="20">
        <f t="shared" si="11"/>
        <v>97.16379624238327</v>
      </c>
      <c r="Q19" s="19">
        <v>1443544950.02</v>
      </c>
      <c r="R19" s="19">
        <v>1433004534.1099999</v>
      </c>
      <c r="S19" s="20">
        <f t="shared" si="12"/>
        <v>99.269824198418348</v>
      </c>
      <c r="T19" s="19">
        <v>1093393850.9300001</v>
      </c>
      <c r="U19" s="19">
        <v>1053452649.0599999</v>
      </c>
      <c r="V19" s="20">
        <f t="shared" si="13"/>
        <v>96.347043488855576</v>
      </c>
      <c r="W19" s="1">
        <v>861589777.88</v>
      </c>
      <c r="X19" s="1">
        <v>847650581.38999999</v>
      </c>
      <c r="Y19" s="20">
        <f t="shared" si="14"/>
        <v>98.382153915022258</v>
      </c>
      <c r="Z19" s="13">
        <f t="shared" si="8"/>
        <v>-21.200418573127706</v>
      </c>
      <c r="AA19" s="13">
        <f t="shared" si="9"/>
        <v>-19.535958056931932</v>
      </c>
    </row>
    <row r="20" spans="1:27" x14ac:dyDescent="0.3">
      <c r="A20" t="s">
        <v>37</v>
      </c>
      <c r="B20" s="19">
        <f>B14+B15+B16+B17+B18+B19</f>
        <v>10941611425.34</v>
      </c>
      <c r="C20" s="19">
        <f>C14+C15+C16+C17+C18+C19</f>
        <v>9018749866.539999</v>
      </c>
      <c r="D20" s="20">
        <f t="shared" si="0"/>
        <v>82.426157500468449</v>
      </c>
      <c r="E20" s="19">
        <f>E14+E15+E16+E17+E18+E19</f>
        <v>9532323348.8400002</v>
      </c>
      <c r="F20" s="19">
        <f>F14+F15+F16+F17+F18+F19</f>
        <v>7703568610.9799995</v>
      </c>
      <c r="G20" s="20">
        <f t="shared" si="1"/>
        <v>80.815225512859428</v>
      </c>
      <c r="H20" s="19">
        <f>H14+H15+H16+H17+H18+H19</f>
        <v>6173195003.1199999</v>
      </c>
      <c r="I20" s="19">
        <f>I14+I15+I16+I17+I18+I19</f>
        <v>4361091919.2399998</v>
      </c>
      <c r="J20" s="20">
        <f t="shared" si="2"/>
        <v>70.645620574691975</v>
      </c>
      <c r="K20" s="19">
        <f>K14+K15+K16+K17+K18+K19</f>
        <v>6960795246.5900011</v>
      </c>
      <c r="L20" s="19">
        <f>L14+L15+L16+L17+L18+L19</f>
        <v>4662372900.7400007</v>
      </c>
      <c r="M20" s="20">
        <f t="shared" si="10"/>
        <v>66.980463231180863</v>
      </c>
      <c r="N20" s="19">
        <f>N14+N15+N16+N17+N18+N19</f>
        <v>6560452921.9599981</v>
      </c>
      <c r="O20" s="19">
        <f>O14+O15+O16+O17+O18+O19</f>
        <v>4874352967.6599998</v>
      </c>
      <c r="P20" s="20">
        <f t="shared" si="11"/>
        <v>74.29903126572151</v>
      </c>
      <c r="Q20" s="19">
        <f>Q14+Q15+Q16+Q17+Q18+Q19</f>
        <v>7481570521.5400009</v>
      </c>
      <c r="R20" s="19">
        <f>R14+R15+R16+R17+R18+R19</f>
        <v>5480410145.5599995</v>
      </c>
      <c r="S20" s="20">
        <f t="shared" si="12"/>
        <v>73.252135093580804</v>
      </c>
      <c r="T20" s="19">
        <f t="shared" ref="T20:U20" si="15">T14+T15+T16+T17+T18+T19</f>
        <v>7171112085.6799994</v>
      </c>
      <c r="U20" s="19">
        <f t="shared" si="15"/>
        <v>5297853913.5400009</v>
      </c>
      <c r="V20" s="20">
        <f t="shared" si="13"/>
        <v>73.877717294633982</v>
      </c>
      <c r="W20" s="19">
        <f t="shared" ref="W20:X20" si="16">W14+W15+W16+W17+W18+W19</f>
        <v>7219966458.1700001</v>
      </c>
      <c r="X20" s="19">
        <f t="shared" si="16"/>
        <v>5254408201.2800007</v>
      </c>
      <c r="Y20" s="20">
        <f t="shared" si="14"/>
        <v>72.776074954395327</v>
      </c>
      <c r="Z20" s="13">
        <f t="shared" si="8"/>
        <v>0.68126633507176848</v>
      </c>
      <c r="AA20" s="13">
        <f t="shared" si="9"/>
        <v>-0.82006248131840209</v>
      </c>
    </row>
    <row r="21" spans="1:27" x14ac:dyDescent="0.3">
      <c r="A21" t="s">
        <v>38</v>
      </c>
      <c r="B21" s="19">
        <f>B20-B19</f>
        <v>5218295918.54</v>
      </c>
      <c r="C21" s="19">
        <f>C20-C19</f>
        <v>3333488080.2399988</v>
      </c>
      <c r="D21" s="20">
        <f t="shared" si="0"/>
        <v>63.880778941579422</v>
      </c>
      <c r="E21" s="19">
        <f>E20-E19</f>
        <v>5475106193.3299999</v>
      </c>
      <c r="F21" s="19">
        <f>F20-F19</f>
        <v>3651003653.7299995</v>
      </c>
      <c r="G21" s="20">
        <f t="shared" si="1"/>
        <v>66.683704841703388</v>
      </c>
      <c r="H21" s="19">
        <f>H20-H19</f>
        <v>5047804900.1300001</v>
      </c>
      <c r="I21" s="19">
        <f>I20-I19</f>
        <v>3355768640.6499996</v>
      </c>
      <c r="J21" s="20">
        <f t="shared" si="2"/>
        <v>66.479761144563568</v>
      </c>
      <c r="K21" s="19">
        <f>K20-K19</f>
        <v>5687958880.170001</v>
      </c>
      <c r="L21" s="19">
        <f>L20-L19</f>
        <v>3439738059.8500004</v>
      </c>
      <c r="M21" s="20">
        <f t="shared" si="10"/>
        <v>60.474031762817418</v>
      </c>
      <c r="N21" s="19">
        <f>N20-N19</f>
        <v>5370477352.3499985</v>
      </c>
      <c r="O21" s="19">
        <f>O20-O19</f>
        <v>3718127529.8699999</v>
      </c>
      <c r="P21" s="20">
        <f t="shared" si="11"/>
        <v>69.232719662117788</v>
      </c>
      <c r="Q21" s="19">
        <f>Q20-Q19</f>
        <v>6038025571.5200005</v>
      </c>
      <c r="R21" s="19">
        <f>R20-R19</f>
        <v>4047405611.4499998</v>
      </c>
      <c r="S21" s="20">
        <f t="shared" si="12"/>
        <v>67.031938893082796</v>
      </c>
      <c r="T21" s="19">
        <f t="shared" ref="T21:U21" si="17">T20-T19</f>
        <v>6077718234.749999</v>
      </c>
      <c r="U21" s="19">
        <f t="shared" si="17"/>
        <v>4244401264.480001</v>
      </c>
      <c r="V21" s="20">
        <f t="shared" si="13"/>
        <v>69.835439889466841</v>
      </c>
      <c r="W21" s="19">
        <f t="shared" ref="W21:X21" si="18">W20-W19</f>
        <v>6358376680.29</v>
      </c>
      <c r="X21" s="19">
        <f t="shared" si="18"/>
        <v>4406757619.8900003</v>
      </c>
      <c r="Y21" s="20">
        <f t="shared" si="14"/>
        <v>69.30633149731878</v>
      </c>
      <c r="Z21" s="13">
        <f t="shared" si="8"/>
        <v>4.6178258797077092</v>
      </c>
      <c r="AA21" s="13">
        <f t="shared" si="9"/>
        <v>3.8251886495442022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25" t="s">
        <v>75</v>
      </c>
      <c r="I22" s="94" t="s">
        <v>76</v>
      </c>
      <c r="J22" s="18"/>
      <c r="K22" s="25" t="s">
        <v>75</v>
      </c>
      <c r="L22" s="107" t="s">
        <v>76</v>
      </c>
      <c r="M22" s="108"/>
      <c r="N22" s="121" t="s">
        <v>75</v>
      </c>
      <c r="O22" s="121" t="s">
        <v>76</v>
      </c>
      <c r="P22" s="122"/>
      <c r="Q22" s="121" t="s">
        <v>75</v>
      </c>
      <c r="R22" s="121" t="s">
        <v>76</v>
      </c>
      <c r="S22" s="122" t="s">
        <v>369</v>
      </c>
      <c r="T22" s="139" t="s">
        <v>75</v>
      </c>
      <c r="U22" s="139" t="s">
        <v>76</v>
      </c>
      <c r="V22" s="140" t="s">
        <v>369</v>
      </c>
      <c r="W22" s="139" t="s">
        <v>75</v>
      </c>
      <c r="X22" s="139" t="s">
        <v>76</v>
      </c>
      <c r="Y22" s="125" t="s">
        <v>369</v>
      </c>
    </row>
    <row r="23" spans="1:27" x14ac:dyDescent="0.3">
      <c r="A23" s="5" t="s">
        <v>39</v>
      </c>
      <c r="B23" s="31">
        <v>923411347.47000003</v>
      </c>
      <c r="C23" s="31">
        <v>873942529.88</v>
      </c>
      <c r="D23" s="20">
        <f>IF(B23&gt;0,C23/B23*100,"-")</f>
        <v>94.642818964101238</v>
      </c>
      <c r="E23" s="31">
        <v>981632313.00999999</v>
      </c>
      <c r="F23" s="31">
        <v>889548288.53999996</v>
      </c>
      <c r="G23" s="20">
        <f>IF(E23&gt;0,F23/E23*100,"-")</f>
        <v>90.619295712908951</v>
      </c>
      <c r="H23" s="27">
        <v>1088556017.8299999</v>
      </c>
      <c r="I23" s="21">
        <v>928097581.72000003</v>
      </c>
      <c r="J23" s="20">
        <f>IF(H23&gt;0,I23/H23*100,"-")</f>
        <v>85.259515038108148</v>
      </c>
      <c r="K23" s="27">
        <v>1032033403.55</v>
      </c>
      <c r="L23" s="21">
        <v>914052820.61000001</v>
      </c>
      <c r="M23" s="20">
        <f>IF(K23&gt;0,L23/K23*100,"-")</f>
        <v>88.568142994774291</v>
      </c>
      <c r="N23" s="21">
        <v>1041289447.95</v>
      </c>
      <c r="O23" s="21">
        <v>896204594.40999997</v>
      </c>
      <c r="P23" s="20">
        <f>IF(N23&gt;0,O23/N23*100,"-")</f>
        <v>86.066808433944047</v>
      </c>
      <c r="Q23" s="1">
        <v>1050703423.11</v>
      </c>
      <c r="R23" s="1">
        <v>923335098.74000001</v>
      </c>
      <c r="S23" s="20">
        <f>IF(Q23&gt;0,R23/Q23*100,"-")</f>
        <v>87.877804376709861</v>
      </c>
      <c r="T23" s="1">
        <v>1120924691.8900001</v>
      </c>
      <c r="U23" s="1">
        <v>916771559.92999995</v>
      </c>
      <c r="V23" s="20">
        <f>IF(T23&gt;0,U23/T23*100,"-")</f>
        <v>81.787078700552499</v>
      </c>
      <c r="W23" s="1">
        <v>1062739684.95</v>
      </c>
      <c r="X23" s="1">
        <v>952675359.20000005</v>
      </c>
      <c r="Y23" s="20">
        <f>IF(W23&gt;0,X23/W23*100,"-")</f>
        <v>89.643340950876578</v>
      </c>
      <c r="Z23" s="13">
        <f t="shared" si="8"/>
        <v>-5.1908042851562044</v>
      </c>
      <c r="AA23" s="13">
        <f t="shared" si="9"/>
        <v>3.9163299604038286</v>
      </c>
    </row>
    <row r="24" spans="1:27" x14ac:dyDescent="0.3">
      <c r="A24" s="5" t="s">
        <v>40</v>
      </c>
      <c r="B24" s="31">
        <v>84109776.989999995</v>
      </c>
      <c r="C24" s="31">
        <v>76467850.280000001</v>
      </c>
      <c r="D24" s="20">
        <f t="shared" ref="D24:D55" si="19">IF(B24&gt;0,C24/B24*100,"-")</f>
        <v>90.914341966560485</v>
      </c>
      <c r="E24" s="31">
        <v>60361392.710000001</v>
      </c>
      <c r="F24" s="31">
        <v>53264950.310000002</v>
      </c>
      <c r="G24" s="20">
        <f t="shared" ref="G24:G55" si="20">IF(E24&gt;0,F24/E24*100,"-")</f>
        <v>88.243408441395459</v>
      </c>
      <c r="H24" s="27">
        <v>70886041.469999999</v>
      </c>
      <c r="I24" s="21">
        <v>54739056.310000002</v>
      </c>
      <c r="J24" s="20">
        <f t="shared" ref="J24:J55" si="21">IF(H24&gt;0,I24/H24*100,"-")</f>
        <v>77.22120628384414</v>
      </c>
      <c r="K24" s="27">
        <v>66562269.969999999</v>
      </c>
      <c r="L24" s="21">
        <v>52107662.670000002</v>
      </c>
      <c r="M24" s="20">
        <f t="shared" ref="M24:M55" si="22">IF(K24&gt;0,L24/K24*100,"-")</f>
        <v>78.284083000001687</v>
      </c>
      <c r="N24" s="21">
        <v>68801511.219999999</v>
      </c>
      <c r="O24" s="21">
        <v>52975334.630000003</v>
      </c>
      <c r="P24" s="20">
        <f t="shared" ref="P24:P55" si="23">IF(N24&gt;0,O24/N24*100,"-")</f>
        <v>76.997341614497174</v>
      </c>
      <c r="Q24" s="1">
        <v>71230667.290000007</v>
      </c>
      <c r="R24" s="1">
        <v>51535594.450000003</v>
      </c>
      <c r="S24" s="20">
        <f t="shared" ref="S24:S55" si="24">IF(Q24&gt;0,R24/Q24*100,"-")</f>
        <v>72.350290135826128</v>
      </c>
      <c r="T24" s="1">
        <v>76230152.5</v>
      </c>
      <c r="U24" s="1">
        <v>53390225.560000002</v>
      </c>
      <c r="V24" s="20">
        <f t="shared" ref="V24:V55" si="25">IF(T24&gt;0,U24/T24*100,"-")</f>
        <v>70.03819854617241</v>
      </c>
      <c r="W24" s="1">
        <v>84306326.310000002</v>
      </c>
      <c r="X24" s="1">
        <v>50240285.560000002</v>
      </c>
      <c r="Y24" s="20">
        <f t="shared" ref="Y24:Y55" si="26">IF(W24&gt;0,X24/W24*100,"-")</f>
        <v>59.592545137435017</v>
      </c>
      <c r="Z24" s="13">
        <f t="shared" si="8"/>
        <v>10.594461043482767</v>
      </c>
      <c r="AA24" s="13">
        <f t="shared" si="9"/>
        <v>-5.8998439638732947</v>
      </c>
    </row>
    <row r="25" spans="1:27" x14ac:dyDescent="0.3">
      <c r="A25" s="5" t="s">
        <v>41</v>
      </c>
      <c r="B25" s="31">
        <v>2786376239.5</v>
      </c>
      <c r="C25" s="31">
        <v>1672031920.01</v>
      </c>
      <c r="D25" s="20">
        <f t="shared" si="19"/>
        <v>60.00739944258342</v>
      </c>
      <c r="E25" s="31">
        <v>2694223231.6599998</v>
      </c>
      <c r="F25" s="31">
        <v>1974044014.8599999</v>
      </c>
      <c r="G25" s="20">
        <f t="shared" si="20"/>
        <v>73.2695046075943</v>
      </c>
      <c r="H25" s="27">
        <v>2716348241.04</v>
      </c>
      <c r="I25" s="21">
        <v>1952323780.2</v>
      </c>
      <c r="J25" s="20">
        <f t="shared" si="21"/>
        <v>71.873103407850238</v>
      </c>
      <c r="K25" s="27">
        <v>2771675754.7600002</v>
      </c>
      <c r="L25" s="21">
        <v>1912853589.6700001</v>
      </c>
      <c r="M25" s="20">
        <f t="shared" si="22"/>
        <v>69.014334969915495</v>
      </c>
      <c r="N25" s="21">
        <v>2804491551.8899999</v>
      </c>
      <c r="O25" s="21">
        <v>2150566188.9899998</v>
      </c>
      <c r="P25" s="20">
        <f t="shared" si="23"/>
        <v>76.682926270207247</v>
      </c>
      <c r="Q25" s="1">
        <v>2985022340.1500001</v>
      </c>
      <c r="R25" s="1">
        <v>2372489881.4299998</v>
      </c>
      <c r="S25" s="20">
        <f t="shared" si="24"/>
        <v>79.479803200091965</v>
      </c>
      <c r="T25" s="1">
        <v>3165154397.1100001</v>
      </c>
      <c r="U25" s="1">
        <v>2378021049.3499999</v>
      </c>
      <c r="V25" s="20">
        <f t="shared" si="25"/>
        <v>75.131281163449529</v>
      </c>
      <c r="W25" s="1">
        <v>3176788075.8600001</v>
      </c>
      <c r="X25" s="1">
        <v>2349978860.2600002</v>
      </c>
      <c r="Y25" s="20">
        <f t="shared" si="26"/>
        <v>73.973422341804422</v>
      </c>
      <c r="Z25" s="13">
        <f t="shared" si="8"/>
        <v>0.36755485800699716</v>
      </c>
      <c r="AA25" s="13">
        <f t="shared" si="9"/>
        <v>-1.179223754039711</v>
      </c>
    </row>
    <row r="26" spans="1:27" x14ac:dyDescent="0.3">
      <c r="A26" s="5" t="s">
        <v>42</v>
      </c>
      <c r="B26" s="31">
        <v>342019342.5</v>
      </c>
      <c r="C26" s="31">
        <v>281791301.63</v>
      </c>
      <c r="D26" s="20">
        <f t="shared" si="19"/>
        <v>82.390457677112224</v>
      </c>
      <c r="E26" s="31">
        <v>381617073.25999999</v>
      </c>
      <c r="F26" s="31">
        <v>294373572.62</v>
      </c>
      <c r="G26" s="20">
        <f t="shared" si="20"/>
        <v>77.13847027474057</v>
      </c>
      <c r="H26" s="27">
        <v>389398340.47000003</v>
      </c>
      <c r="I26" s="21">
        <v>306218241.5</v>
      </c>
      <c r="J26" s="20">
        <f t="shared" si="21"/>
        <v>78.63881523747574</v>
      </c>
      <c r="K26" s="27">
        <v>413001041.25999999</v>
      </c>
      <c r="L26" s="21">
        <v>306905228.68000001</v>
      </c>
      <c r="M26" s="20">
        <f t="shared" si="22"/>
        <v>74.311006031287803</v>
      </c>
      <c r="N26" s="21">
        <v>478746995.67000002</v>
      </c>
      <c r="O26" s="21">
        <v>332078601.91000003</v>
      </c>
      <c r="P26" s="20">
        <f t="shared" si="23"/>
        <v>69.36411192414073</v>
      </c>
      <c r="Q26" s="1">
        <v>486053502.06</v>
      </c>
      <c r="R26" s="1">
        <v>340171862.18000001</v>
      </c>
      <c r="S26" s="20">
        <f t="shared" si="24"/>
        <v>69.98650575261324</v>
      </c>
      <c r="T26" s="1">
        <v>423753405.47000003</v>
      </c>
      <c r="U26" s="1">
        <v>313188148.36000001</v>
      </c>
      <c r="V26" s="20">
        <f t="shared" si="25"/>
        <v>73.90811361448101</v>
      </c>
      <c r="W26" s="1">
        <v>332978432.17000002</v>
      </c>
      <c r="X26" s="1">
        <v>229759442.77000001</v>
      </c>
      <c r="Y26" s="20">
        <f t="shared" si="26"/>
        <v>69.001298754598551</v>
      </c>
      <c r="Z26" s="13">
        <f t="shared" si="8"/>
        <v>-21.421650452417779</v>
      </c>
      <c r="AA26" s="13">
        <f t="shared" si="9"/>
        <v>-26.638525763785069</v>
      </c>
    </row>
    <row r="27" spans="1:27" x14ac:dyDescent="0.3">
      <c r="A27" s="5" t="s">
        <v>43</v>
      </c>
      <c r="B27" s="31">
        <v>30136538.27</v>
      </c>
      <c r="C27" s="31">
        <v>30077891.960000001</v>
      </c>
      <c r="D27" s="20">
        <f t="shared" si="19"/>
        <v>99.805397987404604</v>
      </c>
      <c r="E27" s="31">
        <v>30217825.5</v>
      </c>
      <c r="F27" s="31">
        <v>29973412.030000001</v>
      </c>
      <c r="G27" s="20">
        <f t="shared" si="20"/>
        <v>99.191161289881705</v>
      </c>
      <c r="H27" s="27">
        <v>29652239.780000001</v>
      </c>
      <c r="I27" s="21">
        <v>28422757.52</v>
      </c>
      <c r="J27" s="20">
        <f t="shared" si="21"/>
        <v>95.853661412689405</v>
      </c>
      <c r="K27" s="27">
        <v>22658683.18</v>
      </c>
      <c r="L27" s="21">
        <v>21906402.489999998</v>
      </c>
      <c r="M27" s="20">
        <f t="shared" si="22"/>
        <v>96.679945237664938</v>
      </c>
      <c r="N27" s="21">
        <v>22273652.18</v>
      </c>
      <c r="O27" s="21">
        <v>20893604.760000002</v>
      </c>
      <c r="P27" s="20">
        <f t="shared" si="23"/>
        <v>93.804126019175371</v>
      </c>
      <c r="Q27" s="1">
        <v>24178197.66</v>
      </c>
      <c r="R27" s="1">
        <v>23720897.469999999</v>
      </c>
      <c r="S27" s="20">
        <f t="shared" si="24"/>
        <v>98.108625810613873</v>
      </c>
      <c r="T27" s="1">
        <v>27228119.370000001</v>
      </c>
      <c r="U27" s="1">
        <v>26982889.559999999</v>
      </c>
      <c r="V27" s="20">
        <f t="shared" si="25"/>
        <v>99.099350907539375</v>
      </c>
      <c r="W27" s="1">
        <v>36092790.539999999</v>
      </c>
      <c r="X27" s="1">
        <v>35799598.189999998</v>
      </c>
      <c r="Y27" s="20">
        <f t="shared" si="26"/>
        <v>99.187670596777295</v>
      </c>
      <c r="Z27" s="13">
        <f t="shared" si="8"/>
        <v>32.557045345434744</v>
      </c>
      <c r="AA27" s="13">
        <f t="shared" si="9"/>
        <v>32.675183324583855</v>
      </c>
    </row>
    <row r="28" spans="1:27" x14ac:dyDescent="0.3">
      <c r="A28" s="5" t="s">
        <v>44</v>
      </c>
      <c r="B28" s="31">
        <v>0</v>
      </c>
      <c r="C28" s="31">
        <v>0</v>
      </c>
      <c r="D28" s="20" t="str">
        <f t="shared" si="19"/>
        <v>-</v>
      </c>
      <c r="E28" s="31">
        <v>15429313.52</v>
      </c>
      <c r="F28" s="31">
        <v>15412584.65</v>
      </c>
      <c r="G28" s="20">
        <f t="shared" si="20"/>
        <v>99.891577353857556</v>
      </c>
      <c r="H28" s="27">
        <v>14772910.76</v>
      </c>
      <c r="I28" s="21">
        <v>14772910.76</v>
      </c>
      <c r="J28" s="20">
        <f t="shared" si="21"/>
        <v>100</v>
      </c>
      <c r="K28" s="27">
        <v>0</v>
      </c>
      <c r="L28" s="21">
        <v>0</v>
      </c>
      <c r="M28" s="20" t="str">
        <f t="shared" si="22"/>
        <v>-</v>
      </c>
      <c r="N28" s="21">
        <v>0</v>
      </c>
      <c r="O28" s="21">
        <v>0</v>
      </c>
      <c r="P28" s="20" t="str">
        <f t="shared" si="23"/>
        <v>-</v>
      </c>
      <c r="Q28" s="21">
        <v>0</v>
      </c>
      <c r="R28" s="21">
        <v>0</v>
      </c>
      <c r="S28" s="20" t="str">
        <f t="shared" si="24"/>
        <v>-</v>
      </c>
      <c r="T28" s="19">
        <v>0</v>
      </c>
      <c r="U28" s="19">
        <v>0</v>
      </c>
      <c r="V28" s="20" t="str">
        <f t="shared" si="25"/>
        <v>-</v>
      </c>
      <c r="W28" s="1">
        <v>0</v>
      </c>
      <c r="X28" s="1">
        <v>0</v>
      </c>
      <c r="Y28" s="20" t="str">
        <f t="shared" si="26"/>
        <v>-</v>
      </c>
      <c r="Z28" s="13" t="str">
        <f t="shared" si="8"/>
        <v>-</v>
      </c>
      <c r="AA28" s="13" t="str">
        <f t="shared" si="9"/>
        <v>-</v>
      </c>
    </row>
    <row r="29" spans="1:27" x14ac:dyDescent="0.3">
      <c r="A29" s="5" t="s">
        <v>45</v>
      </c>
      <c r="B29" s="31">
        <v>5092184.79</v>
      </c>
      <c r="C29" s="31">
        <v>2730931.95</v>
      </c>
      <c r="D29" s="20">
        <f t="shared" si="19"/>
        <v>53.629867387432341</v>
      </c>
      <c r="E29" s="31">
        <v>2674568.5299999998</v>
      </c>
      <c r="F29" s="31">
        <v>1344851.07</v>
      </c>
      <c r="G29" s="20">
        <f t="shared" si="20"/>
        <v>50.282916848647744</v>
      </c>
      <c r="H29" s="27">
        <v>5953411.0899999999</v>
      </c>
      <c r="I29" s="21">
        <v>2490447.52</v>
      </c>
      <c r="J29" s="20">
        <f t="shared" si="21"/>
        <v>41.832278711329508</v>
      </c>
      <c r="K29" s="27">
        <v>5637675.3499999996</v>
      </c>
      <c r="L29" s="21">
        <v>3261158.48</v>
      </c>
      <c r="M29" s="20">
        <f t="shared" si="22"/>
        <v>57.845801284034572</v>
      </c>
      <c r="N29" s="21">
        <v>4919190.7</v>
      </c>
      <c r="O29" s="21">
        <v>3737169.28</v>
      </c>
      <c r="P29" s="20">
        <f t="shared" si="23"/>
        <v>75.971221851594407</v>
      </c>
      <c r="Q29" s="1">
        <v>9915790.7699999996</v>
      </c>
      <c r="R29" s="1">
        <v>4045135.51</v>
      </c>
      <c r="S29" s="20">
        <f t="shared" si="24"/>
        <v>40.79488569119939</v>
      </c>
      <c r="T29" s="1">
        <v>5241612.8</v>
      </c>
      <c r="U29" s="1">
        <v>1182703.03</v>
      </c>
      <c r="V29" s="20">
        <f t="shared" si="25"/>
        <v>22.563723707329164</v>
      </c>
      <c r="W29" s="1">
        <v>6019809.4900000002</v>
      </c>
      <c r="X29" s="1">
        <v>3036150.34</v>
      </c>
      <c r="Y29" s="20">
        <f t="shared" si="26"/>
        <v>50.435987136197561</v>
      </c>
      <c r="Z29" s="13">
        <f t="shared" si="8"/>
        <v>14.846512317735503</v>
      </c>
      <c r="AA29" s="13">
        <f t="shared" si="9"/>
        <v>156.71282333655643</v>
      </c>
    </row>
    <row r="30" spans="1:27" x14ac:dyDescent="0.3">
      <c r="A30" s="5" t="s">
        <v>46</v>
      </c>
      <c r="B30" s="31">
        <v>41647493.920000002</v>
      </c>
      <c r="C30" s="31">
        <v>38410319.420000002</v>
      </c>
      <c r="D30" s="20">
        <f t="shared" si="19"/>
        <v>92.227204579900445</v>
      </c>
      <c r="E30" s="31">
        <v>70333176.579999998</v>
      </c>
      <c r="F30" s="31">
        <v>61563253.68</v>
      </c>
      <c r="G30" s="20">
        <f t="shared" si="20"/>
        <v>87.53088751789177</v>
      </c>
      <c r="H30" s="27">
        <v>106575339.97</v>
      </c>
      <c r="I30" s="21">
        <v>89851851.340000004</v>
      </c>
      <c r="J30" s="20">
        <f t="shared" si="21"/>
        <v>84.308294362741407</v>
      </c>
      <c r="K30" s="27">
        <v>77997631.379999995</v>
      </c>
      <c r="L30" s="21">
        <v>69390772.689999998</v>
      </c>
      <c r="M30" s="20">
        <f t="shared" si="22"/>
        <v>88.96523069006048</v>
      </c>
      <c r="N30" s="21">
        <v>76602303.719999999</v>
      </c>
      <c r="O30" s="21">
        <v>68319752.359999999</v>
      </c>
      <c r="P30" s="20">
        <f t="shared" si="23"/>
        <v>89.187594944566243</v>
      </c>
      <c r="Q30" s="1">
        <v>96388916.849999994</v>
      </c>
      <c r="R30" s="1">
        <v>88779580.239999995</v>
      </c>
      <c r="S30" s="20">
        <f t="shared" si="24"/>
        <v>92.10558966873586</v>
      </c>
      <c r="T30" s="1">
        <v>153092817.77000001</v>
      </c>
      <c r="U30" s="1">
        <v>84172463.739999995</v>
      </c>
      <c r="V30" s="20">
        <f t="shared" si="25"/>
        <v>54.9813276455967</v>
      </c>
      <c r="W30" s="1">
        <v>87244760.079999998</v>
      </c>
      <c r="X30" s="1">
        <v>79940704.959999993</v>
      </c>
      <c r="Y30" s="20">
        <f t="shared" si="26"/>
        <v>91.628087333494321</v>
      </c>
      <c r="Z30" s="13">
        <f t="shared" si="8"/>
        <v>-43.011852972049461</v>
      </c>
      <c r="AA30" s="13">
        <f t="shared" si="9"/>
        <v>-5.027485940142455</v>
      </c>
    </row>
    <row r="31" spans="1:27" x14ac:dyDescent="0.3">
      <c r="A31" s="5" t="s">
        <v>47</v>
      </c>
      <c r="B31" s="31">
        <v>0</v>
      </c>
      <c r="C31" s="31">
        <v>0</v>
      </c>
      <c r="D31" s="20" t="str">
        <f t="shared" si="19"/>
        <v>-</v>
      </c>
      <c r="E31" s="31">
        <v>0</v>
      </c>
      <c r="F31" s="31">
        <v>0</v>
      </c>
      <c r="G31" s="20" t="str">
        <f t="shared" si="20"/>
        <v>-</v>
      </c>
      <c r="H31" s="26">
        <v>0</v>
      </c>
      <c r="I31" s="19">
        <v>0</v>
      </c>
      <c r="J31" s="20" t="str">
        <f t="shared" si="21"/>
        <v>-</v>
      </c>
      <c r="K31" s="26">
        <v>0</v>
      </c>
      <c r="L31" s="19">
        <v>0</v>
      </c>
      <c r="M31" s="20" t="str">
        <f t="shared" si="22"/>
        <v>-</v>
      </c>
      <c r="N31" s="19">
        <v>0</v>
      </c>
      <c r="O31" s="19">
        <v>0</v>
      </c>
      <c r="P31" s="20" t="str">
        <f t="shared" si="23"/>
        <v>-</v>
      </c>
      <c r="Q31" s="19">
        <v>0</v>
      </c>
      <c r="R31" s="19">
        <v>0</v>
      </c>
      <c r="S31" s="20" t="str">
        <f t="shared" si="24"/>
        <v>-</v>
      </c>
      <c r="T31" s="19">
        <v>0</v>
      </c>
      <c r="U31" s="19">
        <v>0</v>
      </c>
      <c r="V31" s="20" t="str">
        <f t="shared" si="25"/>
        <v>-</v>
      </c>
      <c r="W31" s="1">
        <v>0</v>
      </c>
      <c r="X31" s="1">
        <v>0</v>
      </c>
      <c r="Y31" s="20" t="str">
        <f t="shared" si="26"/>
        <v>-</v>
      </c>
      <c r="Z31" s="13" t="str">
        <f t="shared" si="8"/>
        <v>-</v>
      </c>
      <c r="AA31" s="13" t="str">
        <f t="shared" si="9"/>
        <v>-</v>
      </c>
    </row>
    <row r="32" spans="1:27" x14ac:dyDescent="0.3">
      <c r="A32" s="5" t="s">
        <v>48</v>
      </c>
      <c r="B32" s="31">
        <v>360871085.62</v>
      </c>
      <c r="C32" s="31">
        <v>175060256.77000001</v>
      </c>
      <c r="D32" s="20">
        <f t="shared" si="19"/>
        <v>48.510469180215729</v>
      </c>
      <c r="E32" s="31">
        <v>258022328.97999999</v>
      </c>
      <c r="F32" s="31">
        <v>109856235.03</v>
      </c>
      <c r="G32" s="20">
        <f t="shared" si="20"/>
        <v>42.576251235417402</v>
      </c>
      <c r="H32" s="27">
        <v>184896368.12</v>
      </c>
      <c r="I32" s="21">
        <v>76521004.689999998</v>
      </c>
      <c r="J32" s="20">
        <f t="shared" si="21"/>
        <v>41.385888467174716</v>
      </c>
      <c r="K32" s="27">
        <v>292058569.48000002</v>
      </c>
      <c r="L32" s="21">
        <v>167088173.19999999</v>
      </c>
      <c r="M32" s="20">
        <f t="shared" si="22"/>
        <v>57.210501817321976</v>
      </c>
      <c r="N32" s="21">
        <v>359599831.17000002</v>
      </c>
      <c r="O32" s="21">
        <v>153846819.78</v>
      </c>
      <c r="P32" s="20">
        <f t="shared" si="23"/>
        <v>42.782784207501273</v>
      </c>
      <c r="Q32" s="1">
        <v>386830634.81</v>
      </c>
      <c r="R32" s="1">
        <v>203021110.46000001</v>
      </c>
      <c r="S32" s="20">
        <f t="shared" si="24"/>
        <v>52.483203808229426</v>
      </c>
      <c r="T32" s="135">
        <v>352414334.11000001</v>
      </c>
      <c r="U32" s="135">
        <v>115134832.33</v>
      </c>
      <c r="V32" s="20">
        <f t="shared" si="25"/>
        <v>32.670303442896468</v>
      </c>
      <c r="W32" s="1">
        <v>507048643.49000001</v>
      </c>
      <c r="X32" s="1">
        <v>258232058.81</v>
      </c>
      <c r="Y32" s="20">
        <f t="shared" si="26"/>
        <v>50.928458664753897</v>
      </c>
      <c r="Z32" s="13">
        <f t="shared" si="8"/>
        <v>43.878552718497986</v>
      </c>
      <c r="AA32" s="13">
        <f t="shared" si="9"/>
        <v>124.28665034214325</v>
      </c>
    </row>
    <row r="33" spans="1:27" x14ac:dyDescent="0.3">
      <c r="A33" s="5" t="s">
        <v>49</v>
      </c>
      <c r="B33" s="31">
        <v>19324887.390000001</v>
      </c>
      <c r="C33" s="31">
        <v>0</v>
      </c>
      <c r="D33" s="20">
        <f t="shared" si="19"/>
        <v>0</v>
      </c>
      <c r="E33" s="31">
        <v>23901318.66</v>
      </c>
      <c r="F33" s="31">
        <v>494689.05</v>
      </c>
      <c r="G33" s="20">
        <f t="shared" si="20"/>
        <v>2.0697144665406504</v>
      </c>
      <c r="H33" s="27">
        <v>6584996.5499999998</v>
      </c>
      <c r="I33" s="21">
        <v>1731872.32</v>
      </c>
      <c r="J33" s="20">
        <f t="shared" si="21"/>
        <v>26.300276801208046</v>
      </c>
      <c r="K33" s="27">
        <v>8003399.7400000002</v>
      </c>
      <c r="L33" s="21">
        <v>5324735.0599999996</v>
      </c>
      <c r="M33" s="20">
        <f t="shared" si="22"/>
        <v>66.530914773475985</v>
      </c>
      <c r="N33" s="21">
        <v>21830597.710000001</v>
      </c>
      <c r="O33" s="21">
        <v>17425810.18</v>
      </c>
      <c r="P33" s="20">
        <f t="shared" si="23"/>
        <v>79.822872518134076</v>
      </c>
      <c r="Q33" s="1">
        <v>159100622.09999999</v>
      </c>
      <c r="R33" s="1">
        <v>154482751.53999999</v>
      </c>
      <c r="S33" s="20">
        <f t="shared" si="24"/>
        <v>97.097515711096634</v>
      </c>
      <c r="T33" s="135">
        <v>38088270.969999999</v>
      </c>
      <c r="U33" s="135">
        <v>35803616.380000003</v>
      </c>
      <c r="V33" s="20">
        <f t="shared" si="25"/>
        <v>94.001684687132453</v>
      </c>
      <c r="W33" s="1">
        <v>33373478.920000002</v>
      </c>
      <c r="X33" s="1">
        <v>15628662.43</v>
      </c>
      <c r="Y33" s="20">
        <f t="shared" si="26"/>
        <v>46.829587252391839</v>
      </c>
      <c r="Z33" s="13">
        <f t="shared" si="8"/>
        <v>-12.37859301545501</v>
      </c>
      <c r="AA33" s="13">
        <f t="shared" si="9"/>
        <v>-56.34892781744189</v>
      </c>
    </row>
    <row r="34" spans="1:27" x14ac:dyDescent="0.3">
      <c r="A34" s="5" t="s">
        <v>50</v>
      </c>
      <c r="B34" s="31">
        <v>0</v>
      </c>
      <c r="C34" s="31">
        <v>0</v>
      </c>
      <c r="D34" s="20" t="str">
        <f t="shared" si="19"/>
        <v>-</v>
      </c>
      <c r="E34" s="31">
        <v>0</v>
      </c>
      <c r="F34" s="31">
        <v>0</v>
      </c>
      <c r="G34" s="20" t="str">
        <f t="shared" si="20"/>
        <v>-</v>
      </c>
      <c r="H34" s="27">
        <v>0</v>
      </c>
      <c r="I34" s="21">
        <v>0</v>
      </c>
      <c r="J34" s="20" t="str">
        <f t="shared" si="21"/>
        <v>-</v>
      </c>
      <c r="K34" s="27">
        <v>0</v>
      </c>
      <c r="L34" s="21">
        <v>0</v>
      </c>
      <c r="M34" s="20" t="str">
        <f t="shared" si="22"/>
        <v>-</v>
      </c>
      <c r="N34" s="21">
        <v>0</v>
      </c>
      <c r="O34" s="21">
        <v>0</v>
      </c>
      <c r="P34" s="20" t="str">
        <f t="shared" si="23"/>
        <v>-</v>
      </c>
      <c r="Q34" s="19">
        <v>0</v>
      </c>
      <c r="R34" s="19">
        <v>0</v>
      </c>
      <c r="S34" s="20" t="str">
        <f t="shared" si="24"/>
        <v>-</v>
      </c>
      <c r="T34" s="19">
        <v>0</v>
      </c>
      <c r="U34" s="19">
        <v>0</v>
      </c>
      <c r="V34" s="20" t="str">
        <f t="shared" si="25"/>
        <v>-</v>
      </c>
      <c r="W34" s="1">
        <v>0</v>
      </c>
      <c r="X34" s="1">
        <v>0</v>
      </c>
      <c r="Y34" s="20" t="str">
        <f t="shared" si="26"/>
        <v>-</v>
      </c>
      <c r="Z34" s="13" t="str">
        <f t="shared" si="8"/>
        <v>-</v>
      </c>
      <c r="AA34" s="13" t="str">
        <f t="shared" si="9"/>
        <v>-</v>
      </c>
    </row>
    <row r="35" spans="1:27" x14ac:dyDescent="0.3">
      <c r="A35" s="5" t="s">
        <v>51</v>
      </c>
      <c r="B35" s="31">
        <v>0</v>
      </c>
      <c r="C35" s="31">
        <v>0</v>
      </c>
      <c r="D35" s="20" t="str">
        <f t="shared" si="19"/>
        <v>-</v>
      </c>
      <c r="E35" s="31">
        <v>0</v>
      </c>
      <c r="F35" s="31">
        <v>0</v>
      </c>
      <c r="G35" s="20" t="str">
        <f t="shared" si="20"/>
        <v>-</v>
      </c>
      <c r="H35" s="27">
        <v>0</v>
      </c>
      <c r="I35" s="21">
        <v>0</v>
      </c>
      <c r="J35" s="20" t="str">
        <f t="shared" si="21"/>
        <v>-</v>
      </c>
      <c r="K35" s="27">
        <v>0</v>
      </c>
      <c r="L35" s="21">
        <v>0</v>
      </c>
      <c r="M35" s="20" t="str">
        <f t="shared" si="22"/>
        <v>-</v>
      </c>
      <c r="N35" s="21">
        <v>0</v>
      </c>
      <c r="O35" s="21">
        <v>0</v>
      </c>
      <c r="P35" s="20" t="str">
        <f t="shared" si="23"/>
        <v>-</v>
      </c>
      <c r="Q35" s="1">
        <v>3204264.73</v>
      </c>
      <c r="R35" s="1">
        <v>71167.41</v>
      </c>
      <c r="S35" s="20">
        <f t="shared" si="24"/>
        <v>2.2210215446212525</v>
      </c>
      <c r="T35" s="135">
        <v>25890.45</v>
      </c>
      <c r="U35" s="135">
        <v>1490.45</v>
      </c>
      <c r="V35" s="20">
        <f t="shared" si="25"/>
        <v>5.7567558694422072</v>
      </c>
      <c r="W35" s="1">
        <v>606864.4</v>
      </c>
      <c r="X35" s="1">
        <v>106864.4</v>
      </c>
      <c r="Y35" s="20">
        <f t="shared" si="26"/>
        <v>17.609271527543878</v>
      </c>
      <c r="Z35" s="13">
        <f t="shared" si="8"/>
        <v>2243.9700739075606</v>
      </c>
      <c r="AA35" s="13">
        <f t="shared" si="9"/>
        <v>7069.9419638364252</v>
      </c>
    </row>
    <row r="36" spans="1:27" x14ac:dyDescent="0.3">
      <c r="A36" s="5" t="s">
        <v>52</v>
      </c>
      <c r="B36" s="31">
        <v>0</v>
      </c>
      <c r="C36" s="31">
        <v>0</v>
      </c>
      <c r="D36" s="20" t="str">
        <f t="shared" si="19"/>
        <v>-</v>
      </c>
      <c r="E36" s="31">
        <v>0</v>
      </c>
      <c r="F36" s="31">
        <v>0</v>
      </c>
      <c r="G36" s="20" t="str">
        <f t="shared" si="20"/>
        <v>-</v>
      </c>
      <c r="H36" s="27">
        <v>1467861.4</v>
      </c>
      <c r="I36" s="21">
        <v>0</v>
      </c>
      <c r="J36" s="20">
        <f t="shared" si="21"/>
        <v>0</v>
      </c>
      <c r="K36" s="27">
        <v>0</v>
      </c>
      <c r="L36" s="21">
        <v>0</v>
      </c>
      <c r="M36" s="20" t="str">
        <f t="shared" si="22"/>
        <v>-</v>
      </c>
      <c r="N36" s="21">
        <v>0</v>
      </c>
      <c r="O36" s="21">
        <v>0</v>
      </c>
      <c r="P36" s="20" t="str">
        <f t="shared" si="23"/>
        <v>-</v>
      </c>
      <c r="Q36" s="19">
        <v>0</v>
      </c>
      <c r="R36" s="19">
        <v>0</v>
      </c>
      <c r="S36" s="20" t="str">
        <f t="shared" si="24"/>
        <v>-</v>
      </c>
      <c r="T36" s="19">
        <v>0</v>
      </c>
      <c r="U36" s="19">
        <v>0</v>
      </c>
      <c r="V36" s="20" t="str">
        <f t="shared" si="25"/>
        <v>-</v>
      </c>
      <c r="W36" s="1">
        <v>0</v>
      </c>
      <c r="X36" s="1">
        <v>0</v>
      </c>
      <c r="Y36" s="20" t="str">
        <f t="shared" si="26"/>
        <v>-</v>
      </c>
      <c r="Z36" s="13" t="str">
        <f t="shared" si="8"/>
        <v>-</v>
      </c>
      <c r="AA36" s="13" t="str">
        <f t="shared" si="9"/>
        <v>-</v>
      </c>
    </row>
    <row r="37" spans="1:27" x14ac:dyDescent="0.3">
      <c r="A37" s="5" t="s">
        <v>261</v>
      </c>
      <c r="B37" s="31">
        <v>293260.40000000002</v>
      </c>
      <c r="C37" s="31">
        <v>293260.40000000002</v>
      </c>
      <c r="D37" s="20">
        <f t="shared" si="19"/>
        <v>100</v>
      </c>
      <c r="E37" s="31">
        <v>11914512.609999999</v>
      </c>
      <c r="F37" s="31">
        <v>11914512.609999999</v>
      </c>
      <c r="G37" s="20">
        <f t="shared" si="20"/>
        <v>100</v>
      </c>
      <c r="H37" s="27">
        <v>0</v>
      </c>
      <c r="I37" s="21">
        <v>0</v>
      </c>
      <c r="J37" s="20" t="str">
        <f t="shared" si="21"/>
        <v>-</v>
      </c>
      <c r="K37" s="27">
        <v>0</v>
      </c>
      <c r="L37" s="21">
        <v>0</v>
      </c>
      <c r="M37" s="20" t="str">
        <f t="shared" si="22"/>
        <v>-</v>
      </c>
      <c r="N37" s="21">
        <v>0</v>
      </c>
      <c r="O37" s="21">
        <v>0</v>
      </c>
      <c r="P37" s="20" t="str">
        <f t="shared" si="23"/>
        <v>-</v>
      </c>
      <c r="Q37" s="1">
        <v>40000000</v>
      </c>
      <c r="R37" s="1">
        <v>40000000</v>
      </c>
      <c r="S37" s="20">
        <f t="shared" si="24"/>
        <v>100</v>
      </c>
      <c r="T37" s="19">
        <v>0</v>
      </c>
      <c r="U37" s="19">
        <v>0</v>
      </c>
      <c r="V37" s="20" t="str">
        <f t="shared" si="25"/>
        <v>-</v>
      </c>
      <c r="W37" s="1">
        <v>0</v>
      </c>
      <c r="X37" s="1">
        <v>0</v>
      </c>
      <c r="Y37" s="20" t="str">
        <f t="shared" si="26"/>
        <v>-</v>
      </c>
      <c r="Z37" s="13" t="str">
        <f t="shared" si="8"/>
        <v>-</v>
      </c>
      <c r="AA37" s="13" t="str">
        <f t="shared" si="9"/>
        <v>-</v>
      </c>
    </row>
    <row r="38" spans="1:27" x14ac:dyDescent="0.3">
      <c r="A38" s="5" t="s">
        <v>53</v>
      </c>
      <c r="B38" s="31">
        <v>8736534.1600000001</v>
      </c>
      <c r="C38" s="31">
        <v>0</v>
      </c>
      <c r="D38" s="20">
        <f t="shared" si="19"/>
        <v>0</v>
      </c>
      <c r="E38" s="31">
        <v>3000000</v>
      </c>
      <c r="F38" s="31">
        <v>0</v>
      </c>
      <c r="G38" s="20">
        <f t="shared" si="20"/>
        <v>0</v>
      </c>
      <c r="H38" s="27">
        <v>0</v>
      </c>
      <c r="I38" s="21">
        <v>0</v>
      </c>
      <c r="J38" s="20" t="str">
        <f t="shared" si="21"/>
        <v>-</v>
      </c>
      <c r="K38" s="27">
        <v>123752.35</v>
      </c>
      <c r="L38" s="21">
        <v>123752.35</v>
      </c>
      <c r="M38" s="20">
        <f t="shared" si="22"/>
        <v>100</v>
      </c>
      <c r="N38" s="21">
        <v>0</v>
      </c>
      <c r="O38" s="21">
        <v>0</v>
      </c>
      <c r="P38" s="20" t="str">
        <f t="shared" si="23"/>
        <v>-</v>
      </c>
      <c r="Q38" s="19">
        <v>0</v>
      </c>
      <c r="R38" s="19">
        <v>0</v>
      </c>
      <c r="S38" s="20" t="str">
        <f t="shared" si="24"/>
        <v>-</v>
      </c>
      <c r="T38" s="19">
        <v>0</v>
      </c>
      <c r="U38" s="19">
        <v>0</v>
      </c>
      <c r="V38" s="20" t="str">
        <f t="shared" si="25"/>
        <v>-</v>
      </c>
      <c r="W38" s="1">
        <v>0</v>
      </c>
      <c r="X38" s="1">
        <v>0</v>
      </c>
      <c r="Y38" s="20" t="str">
        <f t="shared" si="26"/>
        <v>-</v>
      </c>
      <c r="Z38" s="13" t="str">
        <f t="shared" si="8"/>
        <v>-</v>
      </c>
      <c r="AA38" s="13" t="str">
        <f t="shared" si="9"/>
        <v>-</v>
      </c>
    </row>
    <row r="39" spans="1:27" x14ac:dyDescent="0.3">
      <c r="A39" s="5" t="s">
        <v>54</v>
      </c>
      <c r="B39" s="31">
        <v>44437612.719999999</v>
      </c>
      <c r="C39" s="31">
        <v>44437612.719999999</v>
      </c>
      <c r="D39" s="20">
        <f t="shared" si="19"/>
        <v>100</v>
      </c>
      <c r="E39" s="31">
        <v>1967000</v>
      </c>
      <c r="F39" s="31">
        <v>1967000</v>
      </c>
      <c r="G39" s="20">
        <f t="shared" si="20"/>
        <v>100</v>
      </c>
      <c r="H39" s="27">
        <v>0</v>
      </c>
      <c r="I39" s="21">
        <v>0</v>
      </c>
      <c r="J39" s="20" t="str">
        <f t="shared" si="21"/>
        <v>-</v>
      </c>
      <c r="K39" s="27">
        <v>172810919.59999999</v>
      </c>
      <c r="L39" s="21">
        <v>172810919.59999999</v>
      </c>
      <c r="M39" s="20">
        <f t="shared" si="22"/>
        <v>100</v>
      </c>
      <c r="N39" s="21">
        <v>70159426.189999998</v>
      </c>
      <c r="O39" s="21">
        <v>70159426.189999998</v>
      </c>
      <c r="P39" s="20">
        <f t="shared" si="23"/>
        <v>100</v>
      </c>
      <c r="Q39" s="1">
        <v>267696025.75999999</v>
      </c>
      <c r="R39" s="1">
        <v>267696025.75999999</v>
      </c>
      <c r="S39" s="20">
        <f t="shared" si="24"/>
        <v>100</v>
      </c>
      <c r="T39" s="135">
        <v>191142450.11000001</v>
      </c>
      <c r="U39" s="135">
        <v>191142450.11000001</v>
      </c>
      <c r="V39" s="20">
        <f t="shared" si="25"/>
        <v>100</v>
      </c>
      <c r="W39" s="1">
        <v>111523408.58</v>
      </c>
      <c r="X39" s="1">
        <v>111523408.58</v>
      </c>
      <c r="Y39" s="20">
        <f t="shared" si="26"/>
        <v>100</v>
      </c>
      <c r="Z39" s="13">
        <f t="shared" si="8"/>
        <v>-41.654295780021798</v>
      </c>
      <c r="AA39" s="13">
        <f t="shared" si="9"/>
        <v>-41.654295780021798</v>
      </c>
    </row>
    <row r="40" spans="1:27" x14ac:dyDescent="0.3">
      <c r="A40" s="5" t="s">
        <v>55</v>
      </c>
      <c r="B40" s="31">
        <v>0</v>
      </c>
      <c r="C40" s="31">
        <v>0</v>
      </c>
      <c r="D40" s="20" t="str">
        <f t="shared" si="19"/>
        <v>-</v>
      </c>
      <c r="E40" s="31">
        <v>0</v>
      </c>
      <c r="F40" s="31">
        <v>0</v>
      </c>
      <c r="G40" s="20" t="str">
        <f t="shared" si="20"/>
        <v>-</v>
      </c>
      <c r="H40" s="27">
        <v>0</v>
      </c>
      <c r="I40" s="21">
        <v>0</v>
      </c>
      <c r="J40" s="20" t="str">
        <f t="shared" si="21"/>
        <v>-</v>
      </c>
      <c r="K40" s="27">
        <v>0</v>
      </c>
      <c r="L40" s="21">
        <v>0</v>
      </c>
      <c r="M40" s="20" t="str">
        <f t="shared" si="22"/>
        <v>-</v>
      </c>
      <c r="N40" s="21">
        <v>0</v>
      </c>
      <c r="O40" s="21">
        <v>0</v>
      </c>
      <c r="P40" s="20" t="str">
        <f t="shared" si="23"/>
        <v>-</v>
      </c>
      <c r="Q40" s="21">
        <v>0</v>
      </c>
      <c r="R40" s="21">
        <v>0</v>
      </c>
      <c r="S40" s="20" t="str">
        <f t="shared" si="24"/>
        <v>-</v>
      </c>
      <c r="T40" s="21">
        <v>0</v>
      </c>
      <c r="U40" s="21">
        <v>0</v>
      </c>
      <c r="V40" s="20" t="str">
        <f t="shared" si="25"/>
        <v>-</v>
      </c>
      <c r="W40" s="1">
        <v>0</v>
      </c>
      <c r="X40" s="21">
        <v>0</v>
      </c>
      <c r="Y40" s="20" t="str">
        <f t="shared" si="26"/>
        <v>-</v>
      </c>
      <c r="Z40" s="13" t="str">
        <f t="shared" si="8"/>
        <v>-</v>
      </c>
      <c r="AA40" s="13" t="str">
        <f t="shared" si="9"/>
        <v>-</v>
      </c>
    </row>
    <row r="41" spans="1:27" x14ac:dyDescent="0.3">
      <c r="A41" s="5" t="s">
        <v>56</v>
      </c>
      <c r="B41" s="31">
        <v>0</v>
      </c>
      <c r="C41" s="31">
        <v>0</v>
      </c>
      <c r="D41" s="20" t="str">
        <f t="shared" si="19"/>
        <v>-</v>
      </c>
      <c r="E41" s="31">
        <v>0</v>
      </c>
      <c r="F41" s="31">
        <v>0</v>
      </c>
      <c r="G41" s="20" t="str">
        <f t="shared" si="20"/>
        <v>-</v>
      </c>
      <c r="H41" s="27">
        <v>0</v>
      </c>
      <c r="I41" s="21">
        <v>0</v>
      </c>
      <c r="J41" s="20" t="str">
        <f t="shared" si="21"/>
        <v>-</v>
      </c>
      <c r="K41" s="27">
        <v>0</v>
      </c>
      <c r="L41" s="21">
        <v>0</v>
      </c>
      <c r="M41" s="20" t="str">
        <f t="shared" si="22"/>
        <v>-</v>
      </c>
      <c r="N41" s="21">
        <v>0</v>
      </c>
      <c r="O41" s="21">
        <v>0</v>
      </c>
      <c r="P41" s="20" t="str">
        <f t="shared" si="23"/>
        <v>-</v>
      </c>
      <c r="Q41" s="21">
        <v>0</v>
      </c>
      <c r="R41" s="21">
        <v>0</v>
      </c>
      <c r="S41" s="20" t="str">
        <f t="shared" si="24"/>
        <v>-</v>
      </c>
      <c r="T41" s="21">
        <v>0</v>
      </c>
      <c r="U41" s="21">
        <v>0</v>
      </c>
      <c r="V41" s="20" t="str">
        <f t="shared" si="25"/>
        <v>-</v>
      </c>
      <c r="W41" s="1">
        <v>0</v>
      </c>
      <c r="X41" s="21">
        <v>0</v>
      </c>
      <c r="Y41" s="20" t="str">
        <f t="shared" si="26"/>
        <v>-</v>
      </c>
      <c r="Z41" s="13" t="str">
        <f t="shared" si="8"/>
        <v>-</v>
      </c>
      <c r="AA41" s="13" t="str">
        <f t="shared" si="9"/>
        <v>-</v>
      </c>
    </row>
    <row r="42" spans="1:27" x14ac:dyDescent="0.3">
      <c r="A42" s="5" t="s">
        <v>57</v>
      </c>
      <c r="B42" s="31">
        <v>51583127.390000001</v>
      </c>
      <c r="C42" s="31">
        <v>51583127.390000001</v>
      </c>
      <c r="D42" s="20">
        <f t="shared" si="19"/>
        <v>100</v>
      </c>
      <c r="E42" s="31">
        <v>130633866.55</v>
      </c>
      <c r="F42" s="31">
        <v>130633866.55</v>
      </c>
      <c r="G42" s="20">
        <f t="shared" si="20"/>
        <v>100</v>
      </c>
      <c r="H42" s="27">
        <v>124386612.12</v>
      </c>
      <c r="I42" s="21">
        <v>124386612.12</v>
      </c>
      <c r="J42" s="20">
        <f t="shared" si="21"/>
        <v>100</v>
      </c>
      <c r="K42" s="27">
        <v>47046027.719999999</v>
      </c>
      <c r="L42" s="21">
        <v>47046027.719999999</v>
      </c>
      <c r="M42" s="20">
        <f t="shared" si="22"/>
        <v>100</v>
      </c>
      <c r="N42" s="21">
        <v>20148584.370000001</v>
      </c>
      <c r="O42" s="21">
        <v>20148584.370000001</v>
      </c>
      <c r="P42" s="20">
        <f t="shared" si="23"/>
        <v>100</v>
      </c>
      <c r="Q42" s="21">
        <v>124089817.27</v>
      </c>
      <c r="R42" s="21">
        <v>124089817.27</v>
      </c>
      <c r="S42" s="20">
        <f t="shared" si="24"/>
        <v>100</v>
      </c>
      <c r="T42" s="21">
        <v>50928073.219999999</v>
      </c>
      <c r="U42" s="21">
        <v>50928073.219999999</v>
      </c>
      <c r="V42" s="20">
        <f t="shared" si="25"/>
        <v>100</v>
      </c>
      <c r="W42" s="1">
        <v>42081599.329999998</v>
      </c>
      <c r="X42" s="1">
        <v>40140873.399999999</v>
      </c>
      <c r="Y42" s="20">
        <f t="shared" si="26"/>
        <v>95.388184002273761</v>
      </c>
      <c r="Z42" s="13">
        <f t="shared" si="8"/>
        <v>-17.37052539133937</v>
      </c>
      <c r="AA42" s="13">
        <f t="shared" si="9"/>
        <v>-21.181244720178711</v>
      </c>
    </row>
    <row r="43" spans="1:27" x14ac:dyDescent="0.3">
      <c r="A43" s="5" t="s">
        <v>58</v>
      </c>
      <c r="B43" s="31">
        <v>0</v>
      </c>
      <c r="C43" s="31">
        <v>0</v>
      </c>
      <c r="D43" s="20" t="str">
        <f t="shared" si="19"/>
        <v>-</v>
      </c>
      <c r="E43" s="31">
        <v>0</v>
      </c>
      <c r="F43" s="31">
        <v>0</v>
      </c>
      <c r="G43" s="20" t="str">
        <f t="shared" si="20"/>
        <v>-</v>
      </c>
      <c r="H43" s="27">
        <v>0</v>
      </c>
      <c r="I43" s="21">
        <v>0</v>
      </c>
      <c r="J43" s="20" t="str">
        <f t="shared" si="21"/>
        <v>-</v>
      </c>
      <c r="K43" s="27">
        <v>0</v>
      </c>
      <c r="L43" s="21">
        <v>0</v>
      </c>
      <c r="M43" s="20" t="str">
        <f t="shared" si="22"/>
        <v>-</v>
      </c>
      <c r="N43" s="21">
        <v>0</v>
      </c>
      <c r="O43" s="21">
        <v>0</v>
      </c>
      <c r="P43" s="20" t="str">
        <f t="shared" si="23"/>
        <v>-</v>
      </c>
      <c r="Q43" s="21">
        <v>0</v>
      </c>
      <c r="R43" s="21">
        <v>0</v>
      </c>
      <c r="S43" s="20" t="str">
        <f t="shared" si="24"/>
        <v>-</v>
      </c>
      <c r="T43" s="21">
        <v>0</v>
      </c>
      <c r="U43" s="21">
        <v>0</v>
      </c>
      <c r="V43" s="20" t="str">
        <f t="shared" si="25"/>
        <v>-</v>
      </c>
      <c r="W43" s="1">
        <v>0</v>
      </c>
      <c r="X43" s="21">
        <v>0</v>
      </c>
      <c r="Y43" s="20" t="str">
        <f t="shared" si="26"/>
        <v>-</v>
      </c>
      <c r="Z43" s="13" t="str">
        <f t="shared" si="8"/>
        <v>-</v>
      </c>
      <c r="AA43" s="13" t="str">
        <f t="shared" si="9"/>
        <v>-</v>
      </c>
    </row>
    <row r="44" spans="1:27" x14ac:dyDescent="0.3">
      <c r="A44" s="5" t="s">
        <v>59</v>
      </c>
      <c r="B44" s="31">
        <v>0</v>
      </c>
      <c r="C44" s="31">
        <v>0</v>
      </c>
      <c r="D44" s="20" t="str">
        <f t="shared" si="19"/>
        <v>-</v>
      </c>
      <c r="E44" s="31">
        <v>0</v>
      </c>
      <c r="F44" s="31">
        <v>0</v>
      </c>
      <c r="G44" s="20" t="str">
        <f t="shared" si="20"/>
        <v>-</v>
      </c>
      <c r="H44" s="27">
        <v>0</v>
      </c>
      <c r="I44" s="21">
        <v>0</v>
      </c>
      <c r="J44" s="20" t="str">
        <f t="shared" si="21"/>
        <v>-</v>
      </c>
      <c r="K44" s="27">
        <v>0</v>
      </c>
      <c r="L44" s="21">
        <v>0</v>
      </c>
      <c r="M44" s="20" t="str">
        <f t="shared" si="22"/>
        <v>-</v>
      </c>
      <c r="N44" s="21">
        <v>0</v>
      </c>
      <c r="O44" s="21">
        <v>0</v>
      </c>
      <c r="P44" s="20" t="str">
        <f t="shared" si="23"/>
        <v>-</v>
      </c>
      <c r="Q44" s="21">
        <v>0</v>
      </c>
      <c r="R44" s="21">
        <v>0</v>
      </c>
      <c r="S44" s="20" t="str">
        <f t="shared" si="24"/>
        <v>-</v>
      </c>
      <c r="T44" s="21">
        <v>0</v>
      </c>
      <c r="U44" s="21">
        <v>0</v>
      </c>
      <c r="V44" s="20" t="str">
        <f t="shared" si="25"/>
        <v>-</v>
      </c>
      <c r="W44" s="1">
        <v>0</v>
      </c>
      <c r="X44" s="21">
        <v>0</v>
      </c>
      <c r="Y44" s="20" t="str">
        <f t="shared" si="26"/>
        <v>-</v>
      </c>
      <c r="Z44" s="13" t="str">
        <f t="shared" si="8"/>
        <v>-</v>
      </c>
      <c r="AA44" s="13" t="str">
        <f t="shared" si="9"/>
        <v>-</v>
      </c>
    </row>
    <row r="45" spans="1:27" x14ac:dyDescent="0.3">
      <c r="A45" s="5" t="s">
        <v>60</v>
      </c>
      <c r="B45" s="30">
        <v>0</v>
      </c>
      <c r="C45" s="30">
        <v>0</v>
      </c>
      <c r="D45" s="20" t="str">
        <f t="shared" si="19"/>
        <v>-</v>
      </c>
      <c r="E45" s="30">
        <v>0</v>
      </c>
      <c r="F45" s="30">
        <v>0</v>
      </c>
      <c r="G45" s="20" t="str">
        <f t="shared" si="20"/>
        <v>-</v>
      </c>
      <c r="H45" s="27">
        <v>0</v>
      </c>
      <c r="I45" s="21">
        <v>0</v>
      </c>
      <c r="J45" s="20" t="str">
        <f t="shared" si="21"/>
        <v>-</v>
      </c>
      <c r="K45" s="27">
        <v>0</v>
      </c>
      <c r="L45" s="21">
        <v>0</v>
      </c>
      <c r="M45" s="20" t="str">
        <f t="shared" si="22"/>
        <v>-</v>
      </c>
      <c r="N45" s="21">
        <v>0</v>
      </c>
      <c r="O45" s="21">
        <v>0</v>
      </c>
      <c r="P45" s="20" t="str">
        <f t="shared" si="23"/>
        <v>-</v>
      </c>
      <c r="Q45" s="21">
        <v>0</v>
      </c>
      <c r="R45" s="21">
        <v>0</v>
      </c>
      <c r="S45" s="20" t="str">
        <f t="shared" si="24"/>
        <v>-</v>
      </c>
      <c r="T45" s="21">
        <v>0</v>
      </c>
      <c r="U45" s="21">
        <v>0</v>
      </c>
      <c r="V45" s="20" t="str">
        <f t="shared" si="25"/>
        <v>-</v>
      </c>
      <c r="W45" s="21">
        <v>0</v>
      </c>
      <c r="X45" s="21">
        <v>0</v>
      </c>
      <c r="Y45" s="20" t="str">
        <f t="shared" si="26"/>
        <v>-</v>
      </c>
      <c r="Z45" s="13" t="str">
        <f t="shared" si="8"/>
        <v>-</v>
      </c>
      <c r="AA45" s="13" t="str">
        <f t="shared" si="9"/>
        <v>-</v>
      </c>
    </row>
    <row r="46" spans="1:27" x14ac:dyDescent="0.3">
      <c r="A46" s="5" t="s">
        <v>61</v>
      </c>
      <c r="B46" s="31">
        <v>5565964322.7299995</v>
      </c>
      <c r="C46" s="31">
        <v>0</v>
      </c>
      <c r="D46" s="20">
        <f t="shared" si="19"/>
        <v>0</v>
      </c>
      <c r="E46" s="31">
        <v>3937387541.73</v>
      </c>
      <c r="F46" s="31">
        <v>0</v>
      </c>
      <c r="G46" s="20">
        <f t="shared" si="20"/>
        <v>0</v>
      </c>
      <c r="H46" s="27">
        <v>967648444.86000001</v>
      </c>
      <c r="I46" s="21">
        <v>0</v>
      </c>
      <c r="J46" s="20">
        <f t="shared" si="21"/>
        <v>0</v>
      </c>
      <c r="K46" s="27">
        <v>973725411.80999994</v>
      </c>
      <c r="L46" s="21">
        <v>0</v>
      </c>
      <c r="M46" s="20">
        <f t="shared" si="22"/>
        <v>0</v>
      </c>
      <c r="N46" s="21">
        <v>1114920677.29</v>
      </c>
      <c r="O46" s="21">
        <v>0</v>
      </c>
      <c r="P46" s="20">
        <f t="shared" si="23"/>
        <v>0</v>
      </c>
      <c r="Q46" s="21">
        <v>1327053518.3099999</v>
      </c>
      <c r="R46" s="21">
        <v>0</v>
      </c>
      <c r="S46" s="20">
        <f t="shared" si="24"/>
        <v>0</v>
      </c>
      <c r="T46" s="21">
        <v>989344674.59000003</v>
      </c>
      <c r="U46" s="21">
        <v>0</v>
      </c>
      <c r="V46" s="20">
        <f t="shared" si="25"/>
        <v>0</v>
      </c>
      <c r="W46" s="1">
        <v>759093704</v>
      </c>
      <c r="X46" s="21">
        <v>0</v>
      </c>
      <c r="Y46" s="20">
        <f t="shared" si="26"/>
        <v>0</v>
      </c>
      <c r="Z46" s="13">
        <f t="shared" si="8"/>
        <v>-23.273079292150598</v>
      </c>
      <c r="AA46" s="13" t="str">
        <f t="shared" si="9"/>
        <v>-</v>
      </c>
    </row>
    <row r="47" spans="1:27" x14ac:dyDescent="0.3">
      <c r="A47" s="5" t="s">
        <v>62</v>
      </c>
      <c r="B47" s="31">
        <v>157351184.06999999</v>
      </c>
      <c r="C47" s="31">
        <v>0</v>
      </c>
      <c r="D47" s="20">
        <f t="shared" si="19"/>
        <v>0</v>
      </c>
      <c r="E47" s="31">
        <v>119829613.78</v>
      </c>
      <c r="F47" s="31">
        <v>0</v>
      </c>
      <c r="G47" s="20">
        <f t="shared" si="20"/>
        <v>0</v>
      </c>
      <c r="H47" s="27">
        <v>157741658.13</v>
      </c>
      <c r="I47" s="21">
        <v>0</v>
      </c>
      <c r="J47" s="20">
        <f t="shared" si="21"/>
        <v>0</v>
      </c>
      <c r="K47" s="27">
        <v>299110954.61000001</v>
      </c>
      <c r="L47" s="21">
        <v>0</v>
      </c>
      <c r="M47" s="20">
        <f t="shared" si="22"/>
        <v>0</v>
      </c>
      <c r="N47" s="21">
        <v>75054892.319999993</v>
      </c>
      <c r="O47" s="21">
        <v>0</v>
      </c>
      <c r="P47" s="20">
        <f t="shared" si="23"/>
        <v>0</v>
      </c>
      <c r="Q47" s="21">
        <v>116491431.70999999</v>
      </c>
      <c r="R47" s="21">
        <v>0</v>
      </c>
      <c r="S47" s="20">
        <f t="shared" si="24"/>
        <v>0</v>
      </c>
      <c r="T47" s="21">
        <v>104049176.34</v>
      </c>
      <c r="U47" s="21">
        <v>0</v>
      </c>
      <c r="V47" s="20">
        <f t="shared" si="25"/>
        <v>0</v>
      </c>
      <c r="W47" s="1">
        <v>102496073.8</v>
      </c>
      <c r="X47" s="21">
        <v>0</v>
      </c>
      <c r="Y47" s="20">
        <f t="shared" si="26"/>
        <v>0</v>
      </c>
      <c r="Z47" s="13">
        <f t="shared" si="8"/>
        <v>-1.492662022546881</v>
      </c>
      <c r="AA47" s="13" t="str">
        <f t="shared" si="9"/>
        <v>-</v>
      </c>
    </row>
    <row r="48" spans="1:27" x14ac:dyDescent="0.3">
      <c r="A48" s="5" t="s">
        <v>63</v>
      </c>
      <c r="B48" s="21">
        <f>SUM(B23:B30)</f>
        <v>4212792923.4400001</v>
      </c>
      <c r="C48" s="21">
        <f>SUM(C23:C30)</f>
        <v>2975452745.1300001</v>
      </c>
      <c r="D48" s="20">
        <f t="shared" si="19"/>
        <v>70.628981751620572</v>
      </c>
      <c r="E48" s="21">
        <f>SUM(E23:E30)</f>
        <v>4236488894.7700005</v>
      </c>
      <c r="F48" s="21">
        <f>SUM(F23:F30)</f>
        <v>3319524927.7600002</v>
      </c>
      <c r="G48" s="20">
        <f t="shared" si="20"/>
        <v>78.355567787702597</v>
      </c>
      <c r="H48" s="21">
        <f>SUM(H23:H30)</f>
        <v>4422142542.4100008</v>
      </c>
      <c r="I48" s="21">
        <f>SUM(I23:I30)</f>
        <v>3376916626.8700004</v>
      </c>
      <c r="J48" s="20">
        <f t="shared" si="21"/>
        <v>76.36381221283817</v>
      </c>
      <c r="K48" s="21">
        <f>SUM(K23:K30)</f>
        <v>4389566459.4500008</v>
      </c>
      <c r="L48" s="21">
        <f>SUM(L23:L30)</f>
        <v>3280477635.2899995</v>
      </c>
      <c r="M48" s="20">
        <f t="shared" si="22"/>
        <v>74.733522446793827</v>
      </c>
      <c r="N48" s="21">
        <f>SUM(N23:N30)</f>
        <v>4497124653.3299999</v>
      </c>
      <c r="O48" s="21">
        <f>SUM(O23:O30)</f>
        <v>3524775246.3400002</v>
      </c>
      <c r="P48" s="20">
        <f t="shared" si="23"/>
        <v>78.378419947287853</v>
      </c>
      <c r="Q48" s="21">
        <f>SUM(Q23:Q30)</f>
        <v>4723492837.8900013</v>
      </c>
      <c r="R48" s="21">
        <f>SUM(R23:R30)</f>
        <v>3804078050.0199995</v>
      </c>
      <c r="S48" s="20">
        <f t="shared" si="24"/>
        <v>80.535277189481093</v>
      </c>
      <c r="T48" s="21">
        <f>SUM(T23:T30)</f>
        <v>4971625196.9100008</v>
      </c>
      <c r="U48" s="21">
        <f>SUM(U23:U30)</f>
        <v>3773709039.5300002</v>
      </c>
      <c r="V48" s="20">
        <f t="shared" si="25"/>
        <v>75.904938326313541</v>
      </c>
      <c r="W48" s="21">
        <f>SUM(W23:W30)</f>
        <v>4786169879.3999996</v>
      </c>
      <c r="X48" s="21">
        <f>SUM(X23:X30)</f>
        <v>3701430401.2800007</v>
      </c>
      <c r="Y48" s="20">
        <f t="shared" si="26"/>
        <v>77.335959536480487</v>
      </c>
      <c r="Z48" s="13">
        <f t="shared" si="8"/>
        <v>-3.7302755168524584</v>
      </c>
      <c r="AA48" s="13">
        <f t="shared" si="9"/>
        <v>-1.9153209082330704</v>
      </c>
    </row>
    <row r="49" spans="1:27" x14ac:dyDescent="0.3">
      <c r="A49" s="5" t="s">
        <v>64</v>
      </c>
      <c r="B49" s="21">
        <f>SUM(B31:B35)</f>
        <v>380195973.00999999</v>
      </c>
      <c r="C49" s="21">
        <f>SUM(C31:C35)</f>
        <v>175060256.77000001</v>
      </c>
      <c r="D49" s="20">
        <f t="shared" si="19"/>
        <v>46.04474250057234</v>
      </c>
      <c r="E49" s="21">
        <f>SUM(E31:E35)</f>
        <v>281923647.63999999</v>
      </c>
      <c r="F49" s="21">
        <f>SUM(F31:F35)</f>
        <v>110350924.08</v>
      </c>
      <c r="G49" s="20">
        <f t="shared" si="20"/>
        <v>39.142131213097699</v>
      </c>
      <c r="H49" s="21">
        <f>SUM(H31:H35)</f>
        <v>191481364.67000002</v>
      </c>
      <c r="I49" s="21">
        <f>SUM(I31:I35)</f>
        <v>78252877.00999999</v>
      </c>
      <c r="J49" s="20">
        <f t="shared" si="21"/>
        <v>40.867098030589773</v>
      </c>
      <c r="K49" s="21">
        <f>SUM(K31:K35)</f>
        <v>300061969.22000003</v>
      </c>
      <c r="L49" s="21">
        <f>SUM(L31:L35)</f>
        <v>172412908.25999999</v>
      </c>
      <c r="M49" s="20">
        <f t="shared" si="22"/>
        <v>57.459100434547224</v>
      </c>
      <c r="N49" s="21">
        <f>SUM(N31:N35)</f>
        <v>381430428.88</v>
      </c>
      <c r="O49" s="21">
        <f>SUM(O31:O35)</f>
        <v>171272629.96000001</v>
      </c>
      <c r="P49" s="20">
        <f t="shared" si="23"/>
        <v>44.902718029841104</v>
      </c>
      <c r="Q49" s="21">
        <f>SUM(Q31:Q35)</f>
        <v>549135521.63999999</v>
      </c>
      <c r="R49" s="21">
        <f>SUM(R31:R35)</f>
        <v>357575029.41000003</v>
      </c>
      <c r="S49" s="20">
        <f t="shared" si="24"/>
        <v>65.115989645342523</v>
      </c>
      <c r="T49" s="21">
        <f>SUM(T31:T35)</f>
        <v>390528495.53000003</v>
      </c>
      <c r="U49" s="21">
        <f>SUM(U31:U35)</f>
        <v>150939939.16</v>
      </c>
      <c r="V49" s="20">
        <f t="shared" si="25"/>
        <v>38.650173005981053</v>
      </c>
      <c r="W49" s="21">
        <f>SUM(W31:W35)</f>
        <v>541028986.80999994</v>
      </c>
      <c r="X49" s="21">
        <f>SUM(X31:X35)</f>
        <v>273967585.63999999</v>
      </c>
      <c r="Y49" s="20">
        <f t="shared" si="26"/>
        <v>50.638245328657902</v>
      </c>
      <c r="Z49" s="13">
        <f t="shared" si="8"/>
        <v>38.537646548877404</v>
      </c>
      <c r="AA49" s="13">
        <f t="shared" si="9"/>
        <v>81.507682568751875</v>
      </c>
    </row>
    <row r="50" spans="1:27" x14ac:dyDescent="0.3">
      <c r="A50" s="5" t="s">
        <v>65</v>
      </c>
      <c r="B50" s="21">
        <f>SUM(B36:B39)</f>
        <v>53467407.280000001</v>
      </c>
      <c r="C50" s="21">
        <f>SUM(C36:C39)</f>
        <v>44730873.119999997</v>
      </c>
      <c r="D50" s="20">
        <f t="shared" si="19"/>
        <v>83.660075166450071</v>
      </c>
      <c r="E50" s="21">
        <f>SUM(E36:E39)</f>
        <v>16881512.609999999</v>
      </c>
      <c r="F50" s="21">
        <f>SUM(F36:F39)</f>
        <v>13881512.609999999</v>
      </c>
      <c r="G50" s="20">
        <f t="shared" si="20"/>
        <v>82.229080596587607</v>
      </c>
      <c r="H50" s="21">
        <f>SUM(H36:H39)</f>
        <v>1467861.4</v>
      </c>
      <c r="I50" s="21">
        <f>SUM(I36:I39)</f>
        <v>0</v>
      </c>
      <c r="J50" s="20">
        <f t="shared" si="21"/>
        <v>0</v>
      </c>
      <c r="K50" s="21">
        <f>SUM(K36:K39)</f>
        <v>172934671.94999999</v>
      </c>
      <c r="L50" s="21">
        <f>SUM(L36:L39)</f>
        <v>172934671.94999999</v>
      </c>
      <c r="M50" s="20">
        <f t="shared" si="22"/>
        <v>100</v>
      </c>
      <c r="N50" s="21">
        <f>SUM(N36:N39)</f>
        <v>70159426.189999998</v>
      </c>
      <c r="O50" s="21">
        <f>SUM(O36:O39)</f>
        <v>70159426.189999998</v>
      </c>
      <c r="P50" s="20">
        <f t="shared" si="23"/>
        <v>100</v>
      </c>
      <c r="Q50" s="21">
        <f>SUM(Q36:Q39)</f>
        <v>307696025.75999999</v>
      </c>
      <c r="R50" s="21">
        <f>SUM(R36:R39)</f>
        <v>307696025.75999999</v>
      </c>
      <c r="S50" s="20">
        <f t="shared" si="24"/>
        <v>100</v>
      </c>
      <c r="T50" s="21">
        <f>SUM(T36:T39)</f>
        <v>191142450.11000001</v>
      </c>
      <c r="U50" s="21">
        <f>SUM(U36:U39)</f>
        <v>191142450.11000001</v>
      </c>
      <c r="V50" s="20">
        <f t="shared" si="25"/>
        <v>100</v>
      </c>
      <c r="W50" s="21">
        <f>SUM(W36:W39)</f>
        <v>111523408.58</v>
      </c>
      <c r="X50" s="21">
        <f>SUM(X36:X39)</f>
        <v>111523408.58</v>
      </c>
      <c r="Y50" s="20">
        <f t="shared" si="26"/>
        <v>100</v>
      </c>
      <c r="Z50" s="13">
        <f t="shared" si="8"/>
        <v>-41.654295780021798</v>
      </c>
      <c r="AA50" s="13">
        <f t="shared" si="9"/>
        <v>-41.654295780021798</v>
      </c>
    </row>
    <row r="51" spans="1:27" x14ac:dyDescent="0.3">
      <c r="A51" s="5" t="s">
        <v>66</v>
      </c>
      <c r="B51" s="21">
        <f>SUM(B40:B44)</f>
        <v>51583127.390000001</v>
      </c>
      <c r="C51" s="21">
        <f>SUM(C40:C44)</f>
        <v>51583127.390000001</v>
      </c>
      <c r="D51" s="20">
        <f t="shared" si="19"/>
        <v>100</v>
      </c>
      <c r="E51" s="21">
        <f>SUM(E40:E44)</f>
        <v>130633866.55</v>
      </c>
      <c r="F51" s="21">
        <f>SUM(F40:F44)</f>
        <v>130633866.55</v>
      </c>
      <c r="G51" s="20">
        <f t="shared" si="20"/>
        <v>100</v>
      </c>
      <c r="H51" s="21">
        <f>SUM(H40:H44)</f>
        <v>124386612.12</v>
      </c>
      <c r="I51" s="21">
        <f>SUM(I40:I44)</f>
        <v>124386612.12</v>
      </c>
      <c r="J51" s="20">
        <f t="shared" si="21"/>
        <v>100</v>
      </c>
      <c r="K51" s="21">
        <f>SUM(K40:K44)</f>
        <v>47046027.719999999</v>
      </c>
      <c r="L51" s="21">
        <f>SUM(L40:L44)</f>
        <v>47046027.719999999</v>
      </c>
      <c r="M51" s="20">
        <f t="shared" si="22"/>
        <v>100</v>
      </c>
      <c r="N51" s="21">
        <f>SUM(N40:N44)</f>
        <v>20148584.370000001</v>
      </c>
      <c r="O51" s="21">
        <f>SUM(O40:O44)</f>
        <v>20148584.370000001</v>
      </c>
      <c r="P51" s="20">
        <f t="shared" si="23"/>
        <v>100</v>
      </c>
      <c r="Q51" s="21">
        <f>SUM(Q40:Q44)</f>
        <v>124089817.27</v>
      </c>
      <c r="R51" s="21">
        <f>SUM(R40:R44)</f>
        <v>124089817.27</v>
      </c>
      <c r="S51" s="20">
        <f t="shared" si="24"/>
        <v>100</v>
      </c>
      <c r="T51" s="21">
        <f>SUM(T40:T44)</f>
        <v>50928073.219999999</v>
      </c>
      <c r="U51" s="21">
        <f>SUM(U40:U44)</f>
        <v>50928073.219999999</v>
      </c>
      <c r="V51" s="20">
        <f t="shared" si="25"/>
        <v>100</v>
      </c>
      <c r="W51" s="21">
        <f>SUM(W40:W44)</f>
        <v>42081599.329999998</v>
      </c>
      <c r="X51" s="21">
        <f>SUM(X40:X44)</f>
        <v>40140873.399999999</v>
      </c>
      <c r="Y51" s="20">
        <f t="shared" si="26"/>
        <v>95.388184002273761</v>
      </c>
      <c r="Z51" s="13">
        <f t="shared" si="8"/>
        <v>-17.37052539133937</v>
      </c>
      <c r="AA51" s="13">
        <f t="shared" si="9"/>
        <v>-21.181244720178711</v>
      </c>
    </row>
    <row r="52" spans="1:27" x14ac:dyDescent="0.3">
      <c r="A52" s="5" t="s">
        <v>67</v>
      </c>
      <c r="B52" s="21">
        <f>B45</f>
        <v>0</v>
      </c>
      <c r="C52" s="21">
        <f>C45</f>
        <v>0</v>
      </c>
      <c r="D52" s="20" t="str">
        <f t="shared" si="19"/>
        <v>-</v>
      </c>
      <c r="E52" s="21">
        <f>E45</f>
        <v>0</v>
      </c>
      <c r="F52" s="21">
        <f>F45</f>
        <v>0</v>
      </c>
      <c r="G52" s="20" t="str">
        <f t="shared" si="20"/>
        <v>-</v>
      </c>
      <c r="H52" s="21">
        <f>H45</f>
        <v>0</v>
      </c>
      <c r="I52" s="21">
        <f>I45</f>
        <v>0</v>
      </c>
      <c r="J52" s="20" t="str">
        <f t="shared" si="21"/>
        <v>-</v>
      </c>
      <c r="K52" s="21">
        <f>K45</f>
        <v>0</v>
      </c>
      <c r="L52" s="21">
        <f>L45</f>
        <v>0</v>
      </c>
      <c r="M52" s="20" t="str">
        <f t="shared" si="22"/>
        <v>-</v>
      </c>
      <c r="N52" s="21">
        <f>N45</f>
        <v>0</v>
      </c>
      <c r="O52" s="21">
        <f>O45</f>
        <v>0</v>
      </c>
      <c r="P52" s="20" t="str">
        <f t="shared" si="23"/>
        <v>-</v>
      </c>
      <c r="Q52" s="21">
        <f>Q45</f>
        <v>0</v>
      </c>
      <c r="R52" s="21">
        <f>R45</f>
        <v>0</v>
      </c>
      <c r="S52" s="20" t="str">
        <f t="shared" si="24"/>
        <v>-</v>
      </c>
      <c r="T52" s="21">
        <f t="shared" ref="T52:U52" si="27">T45</f>
        <v>0</v>
      </c>
      <c r="U52" s="21">
        <f t="shared" si="27"/>
        <v>0</v>
      </c>
      <c r="V52" s="20" t="str">
        <f t="shared" si="25"/>
        <v>-</v>
      </c>
      <c r="W52" s="21">
        <f t="shared" ref="W52:X52" si="28">W45</f>
        <v>0</v>
      </c>
      <c r="X52" s="21">
        <f t="shared" si="28"/>
        <v>0</v>
      </c>
      <c r="Y52" s="20" t="str">
        <f t="shared" si="26"/>
        <v>-</v>
      </c>
      <c r="Z52" s="13" t="str">
        <f t="shared" si="8"/>
        <v>-</v>
      </c>
      <c r="AA52" s="13" t="str">
        <f t="shared" si="9"/>
        <v>-</v>
      </c>
    </row>
    <row r="53" spans="1:27" x14ac:dyDescent="0.3">
      <c r="A53" s="5" t="s">
        <v>68</v>
      </c>
      <c r="B53" s="21">
        <f>SUM(B46:B47)</f>
        <v>5723315506.7999992</v>
      </c>
      <c r="C53" s="32">
        <v>5630521590.6800003</v>
      </c>
      <c r="D53" s="20">
        <f t="shared" si="19"/>
        <v>98.378668518103737</v>
      </c>
      <c r="E53" s="21">
        <f>SUM(E46:E47)</f>
        <v>4057217155.5100002</v>
      </c>
      <c r="F53" s="32">
        <v>3953072130.0799999</v>
      </c>
      <c r="G53" s="20">
        <f t="shared" si="20"/>
        <v>97.433092155578521</v>
      </c>
      <c r="H53" s="21">
        <f>SUM(H46:H47)</f>
        <v>1125390102.99</v>
      </c>
      <c r="I53" s="22">
        <v>973760352.61000001</v>
      </c>
      <c r="J53" s="20">
        <f t="shared" si="21"/>
        <v>86.526472022710919</v>
      </c>
      <c r="K53" s="21">
        <f>SUM(K46:K47)</f>
        <v>1272836366.4200001</v>
      </c>
      <c r="L53" s="22">
        <v>1121247430.9000001</v>
      </c>
      <c r="M53" s="20">
        <f t="shared" si="22"/>
        <v>88.090461624194361</v>
      </c>
      <c r="N53" s="21">
        <f>SUM(N46:N47)</f>
        <v>1189975569.6099999</v>
      </c>
      <c r="O53" s="22">
        <v>1077136350.5999999</v>
      </c>
      <c r="P53" s="20">
        <f t="shared" si="23"/>
        <v>90.517518015350376</v>
      </c>
      <c r="Q53" s="21">
        <f>SUM(Q46:Q47)</f>
        <v>1443544950.02</v>
      </c>
      <c r="R53" s="22">
        <v>1286981433.6800001</v>
      </c>
      <c r="S53" s="20">
        <f t="shared" si="24"/>
        <v>89.154233379581925</v>
      </c>
      <c r="T53" s="21">
        <f>SUM(T46:T47)</f>
        <v>1093393850.9300001</v>
      </c>
      <c r="U53" s="22">
        <v>949701060.44000006</v>
      </c>
      <c r="V53" s="20">
        <f t="shared" si="25"/>
        <v>86.85809414715655</v>
      </c>
      <c r="W53" s="21">
        <f>SUM(W46:W47)</f>
        <v>861589777.79999995</v>
      </c>
      <c r="X53" s="22">
        <v>759774170.64999998</v>
      </c>
      <c r="Y53" s="20">
        <f t="shared" si="26"/>
        <v>88.182820899990489</v>
      </c>
      <c r="Z53" s="13">
        <f t="shared" si="8"/>
        <v>-21.200418580444378</v>
      </c>
      <c r="AA53" s="13">
        <f t="shared" si="9"/>
        <v>-19.998597211422108</v>
      </c>
    </row>
    <row r="54" spans="1:27" x14ac:dyDescent="0.3">
      <c r="A54" s="5" t="s">
        <v>69</v>
      </c>
      <c r="B54" s="31">
        <f>SUM(B48:B53)</f>
        <v>10421354937.919998</v>
      </c>
      <c r="C54" s="31">
        <f>SUM(C48:C53)</f>
        <v>8877348593.0900002</v>
      </c>
      <c r="D54" s="20">
        <f t="shared" si="19"/>
        <v>85.184207293316064</v>
      </c>
      <c r="E54" s="31">
        <f>SUM(E48:E53)</f>
        <v>8723145077.0800018</v>
      </c>
      <c r="F54" s="31">
        <f>SUM(F48:F53)</f>
        <v>7527463361.0799999</v>
      </c>
      <c r="G54" s="20">
        <f t="shared" si="20"/>
        <v>86.292997474710745</v>
      </c>
      <c r="H54" s="31">
        <f>SUM(H48:H53)</f>
        <v>5864868483.5900002</v>
      </c>
      <c r="I54" s="31">
        <f>SUM(I48:I53)</f>
        <v>4553316468.6099997</v>
      </c>
      <c r="J54" s="20">
        <f t="shared" si="21"/>
        <v>77.637145340091678</v>
      </c>
      <c r="K54" s="31">
        <f>SUM(K48:K53)</f>
        <v>6182445494.7600012</v>
      </c>
      <c r="L54" s="31">
        <f>SUM(L48:L53)</f>
        <v>4794118674.1199989</v>
      </c>
      <c r="M54" s="20">
        <f t="shared" si="22"/>
        <v>77.544050783517733</v>
      </c>
      <c r="N54" s="31">
        <f>SUM(N48:N53)</f>
        <v>6158838662.3799992</v>
      </c>
      <c r="O54" s="31">
        <f>SUM(O48:O53)</f>
        <v>4863492237.46</v>
      </c>
      <c r="P54" s="20">
        <f t="shared" si="23"/>
        <v>78.967683748035867</v>
      </c>
      <c r="Q54" s="31">
        <f>SUM(Q48:Q53)</f>
        <v>7147959152.5800018</v>
      </c>
      <c r="R54" s="31">
        <f>SUM(R48:R53)</f>
        <v>5880420356.1400003</v>
      </c>
      <c r="S54" s="20">
        <f t="shared" si="24"/>
        <v>82.267123113280633</v>
      </c>
      <c r="T54" s="31">
        <f>SUM(T48:T53)</f>
        <v>6697618066.7000008</v>
      </c>
      <c r="U54" s="31">
        <f>SUM(U48:U53)</f>
        <v>5116420562.46</v>
      </c>
      <c r="V54" s="20">
        <f t="shared" si="25"/>
        <v>76.391644186138606</v>
      </c>
      <c r="W54" s="31">
        <f t="shared" ref="W54:X54" si="29">SUM(W48:W53)</f>
        <v>6342393651.9199991</v>
      </c>
      <c r="X54" s="31">
        <f t="shared" si="29"/>
        <v>4886836439.5500002</v>
      </c>
      <c r="Y54" s="20">
        <f t="shared" si="26"/>
        <v>77.050348933649587</v>
      </c>
      <c r="Z54" s="13">
        <f t="shared" si="8"/>
        <v>-5.3037424834083566</v>
      </c>
      <c r="AA54" s="13">
        <f t="shared" si="9"/>
        <v>-4.4872019433761068</v>
      </c>
    </row>
    <row r="55" spans="1:27" x14ac:dyDescent="0.3">
      <c r="A55" s="14" t="s">
        <v>70</v>
      </c>
      <c r="B55" s="28">
        <f>B54-B53</f>
        <v>4698039431.1199989</v>
      </c>
      <c r="C55" s="15">
        <f>C54-C53</f>
        <v>3246827002.4099998</v>
      </c>
      <c r="D55" s="23">
        <f t="shared" si="19"/>
        <v>69.110254394692589</v>
      </c>
      <c r="E55" s="28">
        <f>E54-E53</f>
        <v>4665927921.5700016</v>
      </c>
      <c r="F55" s="15">
        <f>F54-F53</f>
        <v>3574391231</v>
      </c>
      <c r="G55" s="23">
        <f t="shared" si="20"/>
        <v>76.606224765625626</v>
      </c>
      <c r="H55" s="28">
        <f>H54-H53</f>
        <v>4739478380.6000004</v>
      </c>
      <c r="I55" s="15">
        <f>I54-I53</f>
        <v>3579556115.9999995</v>
      </c>
      <c r="J55" s="23">
        <f t="shared" si="21"/>
        <v>75.526372915891244</v>
      </c>
      <c r="K55" s="28">
        <f>K54-K53</f>
        <v>4909609128.3400011</v>
      </c>
      <c r="L55" s="15">
        <f>L54-L53</f>
        <v>3672871243.2199988</v>
      </c>
      <c r="M55" s="23">
        <f t="shared" si="22"/>
        <v>74.809850381344745</v>
      </c>
      <c r="N55" s="28">
        <f>N54-N53</f>
        <v>4968863092.7699995</v>
      </c>
      <c r="O55" s="15">
        <f>O54-O53</f>
        <v>3786355886.8600001</v>
      </c>
      <c r="P55" s="23">
        <f t="shared" si="23"/>
        <v>76.201654506629097</v>
      </c>
      <c r="Q55" s="28">
        <f>Q54-Q53</f>
        <v>5704414202.5600014</v>
      </c>
      <c r="R55" s="15">
        <f>R54-R53</f>
        <v>4593438922.46</v>
      </c>
      <c r="S55" s="23">
        <f t="shared" si="24"/>
        <v>80.52428802239811</v>
      </c>
      <c r="T55" s="28">
        <f>T54-T53</f>
        <v>5604224215.7700005</v>
      </c>
      <c r="U55" s="15">
        <f>U54-U53</f>
        <v>4166719502.02</v>
      </c>
      <c r="V55" s="23">
        <f t="shared" si="25"/>
        <v>74.34962167100781</v>
      </c>
      <c r="W55" s="28">
        <f t="shared" ref="W55:X55" si="30">W54-W53</f>
        <v>5480803874.1199989</v>
      </c>
      <c r="X55" s="15">
        <f t="shared" si="30"/>
        <v>4127062268.9000001</v>
      </c>
      <c r="Y55" s="23">
        <f t="shared" si="26"/>
        <v>75.300309291994935</v>
      </c>
      <c r="Z55" s="16">
        <f t="shared" si="8"/>
        <v>-2.2022734440692631</v>
      </c>
      <c r="AA55" s="16">
        <f t="shared" si="9"/>
        <v>-0.95176152608243569</v>
      </c>
    </row>
    <row r="56" spans="1:27" x14ac:dyDescent="0.3">
      <c r="A56" s="5" t="s">
        <v>71</v>
      </c>
      <c r="B56" s="31">
        <f>B14-B48</f>
        <v>540312220.23000002</v>
      </c>
      <c r="C56" s="31">
        <f>C14-C48</f>
        <v>63855963.169999599</v>
      </c>
      <c r="D56" s="24"/>
      <c r="E56" s="31">
        <f>E14-E48</f>
        <v>825718460.69999981</v>
      </c>
      <c r="F56" s="31">
        <f>F14-F48</f>
        <v>77397571.729999542</v>
      </c>
      <c r="G56" s="24"/>
      <c r="H56" s="31">
        <f>H14-H48</f>
        <v>422534053.50999928</v>
      </c>
      <c r="I56" s="31">
        <f>I14-I48</f>
        <v>-204117053.31000042</v>
      </c>
      <c r="J56" s="24"/>
      <c r="K56" s="31">
        <f>K14-K48</f>
        <v>687747322.13999939</v>
      </c>
      <c r="L56" s="31">
        <f>L14-L48</f>
        <v>-230044601.72999907</v>
      </c>
      <c r="M56" s="24"/>
      <c r="N56" s="31">
        <f>N14-N48</f>
        <v>539715573.14999962</v>
      </c>
      <c r="O56" s="31">
        <f>O14-O48</f>
        <v>-15633971.739999771</v>
      </c>
      <c r="P56" s="24"/>
      <c r="Q56" s="31">
        <f>Q14-Q48</f>
        <v>509471892.31999874</v>
      </c>
      <c r="R56" s="31">
        <f>R14-R48</f>
        <v>-294362248.89999962</v>
      </c>
      <c r="S56" s="24"/>
      <c r="T56" s="31">
        <f>T14-T48</f>
        <v>286326876.94999886</v>
      </c>
      <c r="U56" s="31">
        <f>U14-U48</f>
        <v>7487287.5799999237</v>
      </c>
      <c r="V56" s="24"/>
      <c r="W56" s="31">
        <f>W14-W48</f>
        <v>819860206.02000046</v>
      </c>
      <c r="X56" s="31">
        <f>X14-X48</f>
        <v>193321713.32999945</v>
      </c>
      <c r="Y56" s="24"/>
      <c r="Z56" s="13">
        <f t="shared" ref="Z56:AA59" si="31">IF(T56&gt;0,W56/T56*100-100,"-")</f>
        <v>186.33714541690483</v>
      </c>
      <c r="AA56" s="13">
        <f t="shared" si="31"/>
        <v>2481.9993056818239</v>
      </c>
    </row>
    <row r="57" spans="1:27" x14ac:dyDescent="0.3">
      <c r="A57" s="5" t="s">
        <v>72</v>
      </c>
      <c r="B57" s="31">
        <f>B15-B49</f>
        <v>-12910218.279999971</v>
      </c>
      <c r="C57" s="31">
        <f>C15-C49</f>
        <v>74681502.449999988</v>
      </c>
      <c r="D57" s="24"/>
      <c r="E57" s="31">
        <f>E15-E49</f>
        <v>63986141.370000005</v>
      </c>
      <c r="F57" s="31">
        <f>F15-F49</f>
        <v>93622693.920000002</v>
      </c>
      <c r="G57" s="24"/>
      <c r="H57" s="31">
        <f>H15-H49</f>
        <v>11646939.539999962</v>
      </c>
      <c r="I57" s="31">
        <f>I15-I49</f>
        <v>104716190.08000001</v>
      </c>
      <c r="J57" s="24"/>
      <c r="K57" s="31">
        <f>K15-K49</f>
        <v>-35038709.840000004</v>
      </c>
      <c r="L57" s="31">
        <f>L15-L49</f>
        <v>43416100.530000031</v>
      </c>
      <c r="M57" s="24"/>
      <c r="N57" s="31">
        <f>N15-N49</f>
        <v>-188119304.63999999</v>
      </c>
      <c r="O57" s="31">
        <f>O15-O49</f>
        <v>-32494138.289999992</v>
      </c>
      <c r="P57" s="24"/>
      <c r="Q57" s="31">
        <f>Q15-Q49</f>
        <v>-319466731.85000002</v>
      </c>
      <c r="R57" s="31">
        <f>R15-R49</f>
        <v>-201467422.43000004</v>
      </c>
      <c r="S57" s="24"/>
      <c r="T57" s="31">
        <f>T15-T49</f>
        <v>-59425916.339999974</v>
      </c>
      <c r="U57" s="31">
        <f>U15-U49</f>
        <v>123494294.50999996</v>
      </c>
      <c r="V57" s="24"/>
      <c r="W57" s="31">
        <f>W15-W49</f>
        <v>-11729209.099999905</v>
      </c>
      <c r="X57" s="31">
        <f>X15-X49</f>
        <v>125536707.86000001</v>
      </c>
      <c r="Y57" s="24"/>
      <c r="Z57" s="13" t="str">
        <f t="shared" si="31"/>
        <v>-</v>
      </c>
      <c r="AA57" s="13">
        <f t="shared" si="31"/>
        <v>1.6538523970714039</v>
      </c>
    </row>
    <row r="58" spans="1:27" x14ac:dyDescent="0.3">
      <c r="A58" s="5" t="s">
        <v>362</v>
      </c>
      <c r="B58" s="31">
        <f>SUM(B14:B16)-SUM(B48:B50)</f>
        <v>527402002.09000015</v>
      </c>
      <c r="C58" s="31">
        <f>SUM(C14:C16)-SUM(C48:C50)</f>
        <v>93806592.499999523</v>
      </c>
      <c r="D58" s="24"/>
      <c r="E58" s="31">
        <f>SUM(E14:E16)-SUM(E48:E50)</f>
        <v>937845138.31000042</v>
      </c>
      <c r="F58" s="31">
        <f>SUM(F14:F16)-SUM(F48:F50)</f>
        <v>205279289.27999926</v>
      </c>
      <c r="G58" s="24"/>
      <c r="H58" s="31">
        <f>SUM(H14:H16)-SUM(H48:H50)</f>
        <v>432713131.64999962</v>
      </c>
      <c r="I58" s="31">
        <f>SUM(I14:I16)-SUM(I48:I50)</f>
        <v>-99400863.230000019</v>
      </c>
      <c r="J58" s="24"/>
      <c r="K58" s="31">
        <f>SUM(K14:K16)-SUM(K48:K50)</f>
        <v>652584859.94999981</v>
      </c>
      <c r="L58" s="31">
        <f>SUM(L14:L16)-SUM(L48:L50)</f>
        <v>-358898075.24999857</v>
      </c>
      <c r="M58" s="24"/>
      <c r="N58" s="31">
        <f>SUM(N14:N16)-SUM(N48:N50)</f>
        <v>351603417.75999928</v>
      </c>
      <c r="O58" s="31">
        <f>SUM(O14:O16)-SUM(O48:O50)</f>
        <v>-118239198.80999994</v>
      </c>
      <c r="P58" s="24"/>
      <c r="Q58" s="31">
        <f>SUM(Q14:Q16)-SUM(Q48:Q50)</f>
        <v>190005160.46999836</v>
      </c>
      <c r="R58" s="31">
        <f>SUM(R14:R16)-SUM(R48:R50)</f>
        <v>-689639519.49999952</v>
      </c>
      <c r="S58" s="24"/>
      <c r="T58" s="31">
        <f>SUM(T14:T16)-SUM(T48:T50)</f>
        <v>336906084.0899992</v>
      </c>
      <c r="U58" s="31">
        <f>SUM(U14:U16)-SUM(U48:U50)</f>
        <v>-58906172.429999828</v>
      </c>
      <c r="V58" s="24"/>
      <c r="W58" s="31">
        <f>SUM(W14:W16)-SUM(W48:W50)</f>
        <v>808130996.92000103</v>
      </c>
      <c r="X58" s="31">
        <f>SUM(X14:X16)-SUM(X48:X50)</f>
        <v>208312815.80999994</v>
      </c>
      <c r="Y58" s="24"/>
      <c r="Z58" s="13">
        <f t="shared" si="31"/>
        <v>139.86832980556133</v>
      </c>
      <c r="AA58" s="13" t="str">
        <f t="shared" si="31"/>
        <v>-</v>
      </c>
    </row>
    <row r="59" spans="1:27" x14ac:dyDescent="0.3">
      <c r="A59" s="5" t="s">
        <v>363</v>
      </c>
      <c r="B59" s="31">
        <f>B21-B55</f>
        <v>520256487.42000103</v>
      </c>
      <c r="C59" s="31">
        <f>C21-C55</f>
        <v>86661077.82999897</v>
      </c>
      <c r="D59" s="103"/>
      <c r="E59" s="31">
        <f>E21-E55</f>
        <v>809178271.75999832</v>
      </c>
      <c r="F59" s="31">
        <f>F21-F55</f>
        <v>76612422.729999542</v>
      </c>
      <c r="G59" s="103"/>
      <c r="H59" s="31">
        <f>H21-H55</f>
        <v>308326519.52999973</v>
      </c>
      <c r="I59" s="31">
        <f>I21-I55</f>
        <v>-223787475.3499999</v>
      </c>
      <c r="J59" s="103"/>
      <c r="K59" s="31">
        <f>K21-K55</f>
        <v>778349751.82999992</v>
      </c>
      <c r="L59" s="31">
        <f>L21-L55</f>
        <v>-233133183.36999846</v>
      </c>
      <c r="M59" s="103"/>
      <c r="N59" s="31">
        <f>N21-N55</f>
        <v>401614259.57999897</v>
      </c>
      <c r="O59" s="31">
        <f>O21-O55</f>
        <v>-68228356.990000248</v>
      </c>
      <c r="P59" s="103"/>
      <c r="Q59" s="31">
        <f>Q21-Q55</f>
        <v>333611368.95999908</v>
      </c>
      <c r="R59" s="31">
        <f>R21-R55</f>
        <v>-546033311.01000023</v>
      </c>
      <c r="S59" s="103"/>
      <c r="T59" s="31">
        <f>T21-T55</f>
        <v>473494018.97999859</v>
      </c>
      <c r="U59" s="31">
        <f>U21-U55</f>
        <v>77681762.460000992</v>
      </c>
      <c r="V59" s="103"/>
      <c r="W59" s="31">
        <f>W21-W55</f>
        <v>877572806.17000103</v>
      </c>
      <c r="X59" s="31">
        <f>X21-X55</f>
        <v>279695350.99000025</v>
      </c>
      <c r="Y59" s="103"/>
      <c r="Z59" s="13">
        <f t="shared" si="31"/>
        <v>85.339786986215671</v>
      </c>
      <c r="AA59" s="13">
        <f t="shared" si="31"/>
        <v>260.05278733733388</v>
      </c>
    </row>
    <row r="60" spans="1:27" x14ac:dyDescent="0.3">
      <c r="A60" s="5" t="s">
        <v>364</v>
      </c>
      <c r="C60" s="6">
        <f>SUM(C14:C16)/SUM(B14:B16)*100</f>
        <v>63.57055553338585</v>
      </c>
      <c r="D60" s="103"/>
      <c r="F60" s="6">
        <f>SUM(F14:F16)/SUM(E14:E16)*100</f>
        <v>66.671731246612609</v>
      </c>
      <c r="G60" s="103"/>
      <c r="I60" s="6">
        <f>SUM(I14:I16)/SUM(H14:H16)*100</f>
        <v>66.479761144563582</v>
      </c>
      <c r="J60" s="103"/>
      <c r="L60" s="6">
        <f>SUM(L14:L16)/SUM(K14:K16)*100</f>
        <v>59.235530281446117</v>
      </c>
      <c r="M60" s="103"/>
      <c r="O60" s="6">
        <f>SUM(O14:O16)/SUM(N14:N16)*100</f>
        <v>68.825458293270685</v>
      </c>
      <c r="P60" s="103"/>
      <c r="R60" s="6">
        <f>SUM(R14:R16)/SUM(Q14:Q16)*100</f>
        <v>65.50249090136117</v>
      </c>
      <c r="S60" s="103"/>
      <c r="U60" s="6">
        <f>SUM(U14:U16)/SUM(T14:T16)*100</f>
        <v>68.875143845175003</v>
      </c>
      <c r="V60" s="103"/>
      <c r="X60" s="6">
        <f>SUM(X14:X16)/SUM(W14:W16)*100</f>
        <v>68.758365604035262</v>
      </c>
      <c r="Y60" s="103"/>
    </row>
    <row r="61" spans="1:27" x14ac:dyDescent="0.3">
      <c r="A61" s="5" t="s">
        <v>365</v>
      </c>
      <c r="C61" s="6">
        <f>SUM(C48:C50)/SUM(B48:B50)*100</f>
        <v>68.76732860814765</v>
      </c>
      <c r="D61" s="103"/>
      <c r="F61" s="6">
        <f>SUM(F48:F50)/SUM(E48:E50)*100</f>
        <v>75.932394298407033</v>
      </c>
      <c r="G61" s="103"/>
      <c r="I61" s="6">
        <f>SUM(I48:I50)/SUM(H48:H50)*100</f>
        <v>74.866756225260815</v>
      </c>
      <c r="J61" s="103"/>
      <c r="L61" s="6">
        <f>SUM(L48:L50)/SUM(K48:K50)*100</f>
        <v>74.566131903515824</v>
      </c>
      <c r="M61" s="103"/>
      <c r="O61" s="6">
        <f>SUM(O48:O50)/SUM(N48:N50)*100</f>
        <v>76.104760056317673</v>
      </c>
      <c r="P61" s="103"/>
      <c r="R61" s="6">
        <f>SUM(R48:R50)/SUM(Q48:Q50)*100</f>
        <v>80.091206112881437</v>
      </c>
      <c r="S61" s="103"/>
      <c r="U61" s="6">
        <f>SUM(U48:U50)/SUM(T48:T50)*100</f>
        <v>74.114387620431913</v>
      </c>
      <c r="V61" s="103"/>
      <c r="X61" s="6">
        <f>SUM(X48:X50)/SUM(W48:W50)*100</f>
        <v>75.144881260880453</v>
      </c>
      <c r="Y61" s="103"/>
    </row>
    <row r="62" spans="1:27" x14ac:dyDescent="0.3">
      <c r="A62" s="5" t="s">
        <v>367</v>
      </c>
      <c r="B62" s="120">
        <f>(B3+B5+B6+B9+B10+B16)/(B14+B15+B16)*100</f>
        <v>78.034559277520003</v>
      </c>
      <c r="C62" s="120">
        <f>(C3+C5+C6+C9+C10+C16)/(C14+C15+C16)*100</f>
        <v>77.365179900041383</v>
      </c>
      <c r="E62" s="120">
        <f>(E3+E5+E6+E9+E10+E16)/(E14+E15+E16)*100</f>
        <v>78.775398048606533</v>
      </c>
      <c r="F62" s="120">
        <f>(F3+F5+F6+F9+F10+F16)/(F14+F15+F16)*100</f>
        <v>76.873378685375044</v>
      </c>
      <c r="H62" s="120">
        <f>(H3+H5+H6+H9+H10+H16)/(H14+H15+H16)*100</f>
        <v>80.761581122618466</v>
      </c>
      <c r="I62" s="120">
        <f>(I3+I5+I6+I9+I10+I16)/(I14+I15+I16)*100</f>
        <v>75.040311611954209</v>
      </c>
      <c r="K62" s="120">
        <f>(K3+K5+K6+K9+K10+K16)/(K14+K15+K16)*100</f>
        <v>78.853020595852456</v>
      </c>
      <c r="L62" s="120">
        <f>(L3+L5+L6+L9+L10+L16)/(L14+L15+L16)*100</f>
        <v>73.147423723907451</v>
      </c>
      <c r="N62" s="120">
        <f>(N3+N5+N6+N9+N10+N16)/(N14+N15+N16)*100</f>
        <v>69.719668853283977</v>
      </c>
      <c r="O62" s="120">
        <f>(O3+O5+O6+O9+O10+O16)/(O14+O15+O16)*100</f>
        <v>62.538140530850463</v>
      </c>
      <c r="Q62" s="120">
        <f>(Q3+Q5+Q6+Q9+Q10+Q16)/(Q14+Q15+Q16)*100</f>
        <v>73.531680395927168</v>
      </c>
      <c r="R62" s="120">
        <f>(R3+R5+R6+R9+R10+R16)/(R14+R15+R16)*100</f>
        <v>68.339573022207659</v>
      </c>
      <c r="T62" s="120">
        <f>(T3+T5+T6+T9+T10+T16)/(T14+T15+T16)*100</f>
        <v>75.638575624277962</v>
      </c>
      <c r="U62" s="120">
        <f>(U3+U5+U6+U9+U10+U16)/(U14+U15+U16)*100</f>
        <v>69.209164620107913</v>
      </c>
      <c r="W62" s="120">
        <f>(W3+W5+W6+W9+W10+W16)/(W14+W15+W16)*100</f>
        <v>74.214459382058322</v>
      </c>
      <c r="X62" s="120">
        <f>(X3+X5+X6+X9+X10+X16)/(X14+X15+X16)*100</f>
        <v>69.373888436253679</v>
      </c>
    </row>
    <row r="63" spans="1:27" x14ac:dyDescent="0.3">
      <c r="A63" s="5" t="s">
        <v>368</v>
      </c>
      <c r="B63" s="120">
        <f>(B4+B7+B8)/(B14+B15+B16)*100</f>
        <v>21.96544072248</v>
      </c>
      <c r="C63" s="120">
        <f>(C4+C7+C8)/(C14+C15+C16)*100</f>
        <v>22.634820099958624</v>
      </c>
      <c r="E63" s="120">
        <f>(E4+E7+E8)/(E14+E15+E16)*100</f>
        <v>21.224601951393467</v>
      </c>
      <c r="F63" s="120">
        <f>(F4+F7+F8)/(F14+F15+F16)*100</f>
        <v>23.126621314624973</v>
      </c>
      <c r="H63" s="120">
        <f>(H4+H7+H8)/(H14+H15+H16)*100</f>
        <v>19.238418877381534</v>
      </c>
      <c r="I63" s="120">
        <f>(I4+I7+I8)/(I14+I15+I16)*100</f>
        <v>24.959688388045787</v>
      </c>
      <c r="K63" s="120">
        <f>(K4+K7+K8)/(K14+K15+K16)*100</f>
        <v>21.146979404147519</v>
      </c>
      <c r="L63" s="120">
        <f>(L4+L7+L8)/(L14+L15+L16)*100</f>
        <v>26.852576276092538</v>
      </c>
      <c r="N63" s="120">
        <f>(N4+N7+N8)/(N14+N15+N16)*100</f>
        <v>30.280331146716037</v>
      </c>
      <c r="O63" s="120">
        <f>(O4+O7+O8)/(O14+O15+O16)*100</f>
        <v>37.461859469149509</v>
      </c>
      <c r="Q63" s="120">
        <f>(Q4+Q7+Q8)/(Q14+Q15+Q16)*100</f>
        <v>26.468319604072814</v>
      </c>
      <c r="R63" s="120">
        <f>(R4+R7+R8)/(R14+R15+R16)*100</f>
        <v>31.660426977792351</v>
      </c>
      <c r="T63" s="120">
        <f>(T4+T7+T8)/(T14+T15+T16)*100</f>
        <v>24.361424375722056</v>
      </c>
      <c r="U63" s="120">
        <f>(U4+U7+U8)/(U14+U15+U16)*100</f>
        <v>30.790835379892091</v>
      </c>
      <c r="W63" s="120">
        <f>(W4+W7+W8)/(W14+W15+W16)*100</f>
        <v>25.785540617941667</v>
      </c>
      <c r="X63" s="120">
        <f>(X4+X7+X8)/(X14+X15+X16)*100</f>
        <v>30.626111563746321</v>
      </c>
    </row>
  </sheetData>
  <mergeCells count="9">
    <mergeCell ref="Z1:AA1"/>
    <mergeCell ref="B1:D1"/>
    <mergeCell ref="E1:G1"/>
    <mergeCell ref="H1:J1"/>
    <mergeCell ref="Q1:S1"/>
    <mergeCell ref="K1:M1"/>
    <mergeCell ref="N1:P1"/>
    <mergeCell ref="W1:Y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I2" sqref="I2:I28"/>
    </sheetView>
  </sheetViews>
  <sheetFormatPr defaultRowHeight="14.4" x14ac:dyDescent="0.3"/>
  <cols>
    <col min="1" max="1" width="51.6640625" style="35" bestFit="1" customWidth="1"/>
    <col min="2" max="9" width="13.88671875" bestFit="1" customWidth="1"/>
    <col min="10" max="11" width="12.6640625" bestFit="1" customWidth="1"/>
  </cols>
  <sheetData>
    <row r="1" spans="1:9" x14ac:dyDescent="0.3">
      <c r="A1" s="75"/>
      <c r="B1" s="71">
        <v>2016</v>
      </c>
      <c r="C1" s="71">
        <v>2017</v>
      </c>
      <c r="D1" s="71">
        <v>2018</v>
      </c>
      <c r="E1" s="71">
        <v>2019</v>
      </c>
      <c r="F1" s="71">
        <v>2020</v>
      </c>
      <c r="G1" s="71">
        <v>2021</v>
      </c>
      <c r="H1" s="71">
        <v>2022</v>
      </c>
      <c r="I1" s="71">
        <v>2023</v>
      </c>
    </row>
    <row r="2" spans="1:9" x14ac:dyDescent="0.3">
      <c r="A2" s="35" t="s">
        <v>210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x14ac:dyDescent="0.3">
      <c r="A3" s="35" t="s">
        <v>211</v>
      </c>
      <c r="B3" s="1">
        <v>5174176.05</v>
      </c>
      <c r="C3" s="1">
        <v>2430041.67</v>
      </c>
      <c r="D3" s="1">
        <v>863999.36</v>
      </c>
      <c r="E3" s="1">
        <v>3258262.83</v>
      </c>
      <c r="F3" s="1">
        <v>13477540.630000001</v>
      </c>
      <c r="G3" s="1">
        <v>22454490.199999999</v>
      </c>
      <c r="H3" s="1">
        <v>36866381.170000002</v>
      </c>
      <c r="I3" s="1">
        <v>49300496.539999999</v>
      </c>
    </row>
    <row r="4" spans="1:9" x14ac:dyDescent="0.3">
      <c r="A4" s="35" t="s">
        <v>212</v>
      </c>
      <c r="B4" s="1">
        <v>13461479687.129999</v>
      </c>
      <c r="C4" s="1">
        <v>13491842809.719999</v>
      </c>
      <c r="D4" s="1">
        <v>13567828585.25</v>
      </c>
      <c r="E4" s="1">
        <v>13679499272.18</v>
      </c>
      <c r="F4" s="1">
        <v>13827726266.92</v>
      </c>
      <c r="G4" s="1">
        <v>14012732349.91</v>
      </c>
      <c r="H4" s="1">
        <v>14110907924.73</v>
      </c>
      <c r="I4" s="1">
        <v>14317447430.32</v>
      </c>
    </row>
    <row r="5" spans="1:9" x14ac:dyDescent="0.3">
      <c r="A5" s="35" t="s">
        <v>226</v>
      </c>
      <c r="B5" s="1">
        <v>1056286852.24</v>
      </c>
      <c r="C5" s="1">
        <v>1152969704.6800001</v>
      </c>
      <c r="D5" s="1">
        <v>1228756404.8800001</v>
      </c>
      <c r="E5" s="1">
        <v>1097399643.4400001</v>
      </c>
      <c r="F5" s="1">
        <v>1699397736.2</v>
      </c>
      <c r="G5" s="1">
        <v>1794360298.29</v>
      </c>
      <c r="H5" s="1">
        <v>2026191521.75</v>
      </c>
      <c r="I5" s="1">
        <v>2001717635.24</v>
      </c>
    </row>
    <row r="6" spans="1:9" x14ac:dyDescent="0.3">
      <c r="A6" s="35" t="s">
        <v>227</v>
      </c>
      <c r="B6" s="1">
        <v>264685344.74000001</v>
      </c>
      <c r="C6" s="1">
        <v>184102096.97</v>
      </c>
      <c r="D6" s="1">
        <v>183808836.56999999</v>
      </c>
      <c r="E6" s="1">
        <v>171894323.96000001</v>
      </c>
      <c r="F6" s="1">
        <v>174894323.96000001</v>
      </c>
      <c r="G6" s="1">
        <v>108523077.55</v>
      </c>
      <c r="H6" s="1">
        <v>178528201.03</v>
      </c>
      <c r="I6" s="1">
        <v>170539294.81</v>
      </c>
    </row>
    <row r="7" spans="1:9" x14ac:dyDescent="0.3">
      <c r="A7" s="35" t="s">
        <v>228</v>
      </c>
      <c r="B7" s="1">
        <v>23240.52</v>
      </c>
      <c r="C7" s="1">
        <v>23240.52</v>
      </c>
      <c r="D7" s="1">
        <v>23240.52</v>
      </c>
      <c r="E7" s="1">
        <v>23240.52</v>
      </c>
      <c r="F7" s="1">
        <v>23240.52</v>
      </c>
      <c r="G7" s="1">
        <v>23240.52</v>
      </c>
      <c r="H7" s="1">
        <v>23240.52</v>
      </c>
      <c r="I7" s="1">
        <v>23240.52</v>
      </c>
    </row>
    <row r="8" spans="1:9" x14ac:dyDescent="0.3">
      <c r="A8" s="35" t="s">
        <v>229</v>
      </c>
      <c r="B8" s="1">
        <v>2031916.19</v>
      </c>
      <c r="C8" s="1">
        <v>1953182</v>
      </c>
      <c r="D8" s="1">
        <v>2206616.9900000002</v>
      </c>
      <c r="E8" s="1">
        <v>1423517.3</v>
      </c>
      <c r="F8" s="1">
        <v>2306548.84</v>
      </c>
      <c r="G8" s="1">
        <v>3681648.74</v>
      </c>
      <c r="H8" s="1">
        <v>2955478.11</v>
      </c>
      <c r="I8" s="1">
        <v>3369108.7</v>
      </c>
    </row>
    <row r="9" spans="1:9" x14ac:dyDescent="0.3">
      <c r="A9" s="35" t="s">
        <v>213</v>
      </c>
      <c r="B9" s="1">
        <v>5117525565.9300003</v>
      </c>
      <c r="C9" s="1">
        <v>4266518841.4200001</v>
      </c>
      <c r="D9" s="1">
        <v>4130633217.5700002</v>
      </c>
      <c r="E9" s="1">
        <v>4220654597.4299998</v>
      </c>
      <c r="F9" s="1">
        <v>3886705731.2399998</v>
      </c>
      <c r="G9" s="1">
        <v>4098318444.6199999</v>
      </c>
      <c r="H9" s="1">
        <v>3852653928.1999998</v>
      </c>
      <c r="I9" s="1">
        <v>3774935159.71</v>
      </c>
    </row>
    <row r="10" spans="1:9" x14ac:dyDescent="0.3">
      <c r="A10" s="35" t="s">
        <v>230</v>
      </c>
      <c r="B10" s="1">
        <v>132430615.18000001</v>
      </c>
      <c r="C10" s="1">
        <v>82736844.25</v>
      </c>
      <c r="D10" s="1">
        <v>67865866.159999996</v>
      </c>
      <c r="E10" s="1">
        <v>67865866.159999996</v>
      </c>
      <c r="F10" s="1">
        <v>67865866.159999996</v>
      </c>
      <c r="G10" s="1">
        <v>3284897.46</v>
      </c>
      <c r="H10" s="1">
        <v>3284897.46</v>
      </c>
      <c r="I10" s="1">
        <v>3284897.46</v>
      </c>
    </row>
    <row r="11" spans="1:9" x14ac:dyDescent="0.3">
      <c r="A11" s="35" t="s">
        <v>214</v>
      </c>
      <c r="B11" s="1">
        <v>969894630.53999996</v>
      </c>
      <c r="C11" s="1">
        <v>1004902772.73</v>
      </c>
      <c r="D11" s="1">
        <v>1061092044.42</v>
      </c>
      <c r="E11" s="1">
        <v>1250020024.6199999</v>
      </c>
      <c r="F11" s="1">
        <v>1370629811.99</v>
      </c>
      <c r="G11" s="1">
        <v>1292851677.4300001</v>
      </c>
      <c r="H11" s="1">
        <v>1856486325.6800001</v>
      </c>
      <c r="I11" s="1">
        <v>2002007797.8599999</v>
      </c>
    </row>
    <row r="12" spans="1:9" x14ac:dyDescent="0.3">
      <c r="A12" s="35" t="s">
        <v>215</v>
      </c>
      <c r="B12" s="1">
        <v>11935.75</v>
      </c>
      <c r="C12" s="1">
        <v>30965.45</v>
      </c>
      <c r="D12" s="1">
        <v>40084.33</v>
      </c>
      <c r="E12" s="1">
        <v>41282.89</v>
      </c>
      <c r="F12" s="1">
        <v>56575.43</v>
      </c>
      <c r="G12" s="1">
        <v>1732309.81</v>
      </c>
      <c r="H12" s="1">
        <v>5937790.1399999997</v>
      </c>
      <c r="I12" s="1">
        <v>2469015.0699999998</v>
      </c>
    </row>
    <row r="13" spans="1:9" x14ac:dyDescent="0.3">
      <c r="A13" s="10" t="s">
        <v>216</v>
      </c>
      <c r="B13" s="11">
        <f>SUM(B2:B12)</f>
        <v>21009543964.27</v>
      </c>
      <c r="C13" s="11">
        <f>SUM(C2:C12)</f>
        <v>20187510499.41</v>
      </c>
      <c r="D13" s="11">
        <f>SUM(D2:D12)</f>
        <v>20243118896.050003</v>
      </c>
      <c r="E13" s="11">
        <f t="shared" ref="E13:I13" si="0">SUM(E2:E12)</f>
        <v>20492080031.329998</v>
      </c>
      <c r="F13" s="11">
        <f t="shared" si="0"/>
        <v>21043083641.889999</v>
      </c>
      <c r="G13" s="11">
        <f t="shared" ref="G13" si="1">SUM(G2:G12)</f>
        <v>21337962434.530003</v>
      </c>
      <c r="H13" s="11">
        <f t="shared" ref="H13" si="2">SUM(H2:H12)</f>
        <v>22073835688.790001</v>
      </c>
      <c r="I13" s="11">
        <f t="shared" si="0"/>
        <v>22325094076.23</v>
      </c>
    </row>
    <row r="14" spans="1:9" x14ac:dyDescent="0.3">
      <c r="A14" s="35" t="s">
        <v>217</v>
      </c>
      <c r="B14" s="1">
        <v>7012911511.4200001</v>
      </c>
      <c r="C14" s="1">
        <v>4054756383.1799998</v>
      </c>
      <c r="D14" s="1">
        <v>4038807909.6700001</v>
      </c>
      <c r="E14" s="1">
        <v>4069956198.6700001</v>
      </c>
      <c r="F14" s="1">
        <v>4069956198.6700001</v>
      </c>
      <c r="G14" s="1">
        <v>4069956198.6700001</v>
      </c>
      <c r="H14" s="1">
        <v>4069956198.5999999</v>
      </c>
      <c r="I14" s="1">
        <v>4069956198.5999999</v>
      </c>
    </row>
    <row r="15" spans="1:9" x14ac:dyDescent="0.3">
      <c r="A15" s="35" t="s">
        <v>218</v>
      </c>
      <c r="B15" s="1">
        <v>1483246754.7</v>
      </c>
      <c r="C15" s="1">
        <v>4930589347.9200001</v>
      </c>
      <c r="D15" s="1">
        <v>5197937386.3800001</v>
      </c>
      <c r="E15" s="1">
        <v>5058490004.5100002</v>
      </c>
      <c r="F15" s="1">
        <v>5643429557.0299997</v>
      </c>
      <c r="G15" s="1">
        <v>5794774879.0500002</v>
      </c>
      <c r="H15" s="1">
        <v>6085428455.0900002</v>
      </c>
      <c r="I15" s="1">
        <v>6117795848.71</v>
      </c>
    </row>
    <row r="16" spans="1:9" x14ac:dyDescent="0.3">
      <c r="A16" s="35" t="s">
        <v>233</v>
      </c>
      <c r="B16" s="1">
        <v>1483246754.7</v>
      </c>
      <c r="C16" s="1">
        <v>1644175161.1700001</v>
      </c>
      <c r="D16" s="1">
        <v>1724362605.1600001</v>
      </c>
      <c r="E16" s="1">
        <v>1789049925.5899999</v>
      </c>
      <c r="F16" s="1">
        <v>1834420674.8499999</v>
      </c>
      <c r="G16" s="1">
        <v>1830870529.04</v>
      </c>
      <c r="H16" s="1">
        <v>1878511106</v>
      </c>
      <c r="I16" s="1">
        <v>1864231269.5999999</v>
      </c>
    </row>
    <row r="17" spans="1:11" x14ac:dyDescent="0.3">
      <c r="A17" s="35" t="s">
        <v>219</v>
      </c>
      <c r="B17" s="1">
        <v>277100887.06999999</v>
      </c>
      <c r="C17" s="1">
        <v>110213320.40000001</v>
      </c>
      <c r="D17" s="1">
        <v>-41632846.859999999</v>
      </c>
      <c r="E17" s="1">
        <v>-62429289.5</v>
      </c>
      <c r="F17" s="1">
        <v>-122614921.34999999</v>
      </c>
      <c r="G17" s="1">
        <v>-221605538.91</v>
      </c>
      <c r="H17" s="1">
        <v>-288130520.5</v>
      </c>
      <c r="I17" s="1">
        <v>8782710.0399999991</v>
      </c>
    </row>
    <row r="18" spans="1:11" x14ac:dyDescent="0.3">
      <c r="A18" s="35" t="s">
        <v>370</v>
      </c>
      <c r="B18" s="1"/>
      <c r="C18" s="1"/>
      <c r="D18" s="1"/>
      <c r="E18" s="1"/>
      <c r="F18" s="1">
        <v>0</v>
      </c>
      <c r="G18" s="1">
        <v>-185044210.84999999</v>
      </c>
      <c r="H18" s="1">
        <v>-406649749.69999999</v>
      </c>
      <c r="I18" s="1">
        <v>-694780270.20000005</v>
      </c>
      <c r="J18" s="1"/>
    </row>
    <row r="19" spans="1:11" x14ac:dyDescent="0.3">
      <c r="A19" s="35" t="s">
        <v>371</v>
      </c>
      <c r="B19" s="1"/>
      <c r="C19" s="1"/>
      <c r="D19" s="1"/>
      <c r="E19" s="1"/>
      <c r="F19" s="1">
        <v>0</v>
      </c>
      <c r="G19" s="1">
        <v>0</v>
      </c>
      <c r="H19" s="1">
        <v>0</v>
      </c>
      <c r="I19" s="1">
        <v>0</v>
      </c>
      <c r="J19" s="1"/>
    </row>
    <row r="20" spans="1:11" x14ac:dyDescent="0.3">
      <c r="A20" s="35" t="s">
        <v>220</v>
      </c>
      <c r="B20" s="1">
        <v>781543898.96000004</v>
      </c>
      <c r="C20" s="1">
        <v>1048828699.4299999</v>
      </c>
      <c r="D20" s="1">
        <v>761399855.59000003</v>
      </c>
      <c r="E20" s="96">
        <v>685101897.74000001</v>
      </c>
      <c r="F20" s="96">
        <f>673762415.21+47852.99</f>
        <v>673810268.20000005</v>
      </c>
      <c r="G20" s="96">
        <f>573811532.22+1761.07</f>
        <v>573813293.29000008</v>
      </c>
      <c r="H20" s="96">
        <f>432479522.3+12327.52</f>
        <v>432491849.81999999</v>
      </c>
      <c r="I20" s="96">
        <f>462544868.15+22893.97</f>
        <v>462567762.12</v>
      </c>
    </row>
    <row r="21" spans="1:11" x14ac:dyDescent="0.3">
      <c r="A21" s="35" t="s">
        <v>207</v>
      </c>
      <c r="B21" s="1">
        <v>1202982500.3</v>
      </c>
      <c r="C21" s="1">
        <v>1073764146.1500001</v>
      </c>
      <c r="D21" s="1">
        <v>950333941.58000004</v>
      </c>
      <c r="E21" s="1">
        <v>1076360788.0999999</v>
      </c>
      <c r="F21" s="1">
        <v>1126182445.29</v>
      </c>
      <c r="G21" s="1">
        <v>1379937290.6400001</v>
      </c>
      <c r="H21" s="1">
        <v>1551136511.8</v>
      </c>
      <c r="I21" s="1">
        <v>1672636232.7</v>
      </c>
    </row>
    <row r="22" spans="1:11" x14ac:dyDescent="0.3">
      <c r="A22" s="35" t="s">
        <v>221</v>
      </c>
      <c r="B22" s="1">
        <v>2496948362.8899999</v>
      </c>
      <c r="C22" s="1">
        <v>1439792815.1300001</v>
      </c>
      <c r="D22" s="1">
        <v>1634271055.71</v>
      </c>
      <c r="E22" s="1">
        <v>1821016988.1099999</v>
      </c>
      <c r="F22" s="1">
        <v>1669257824.74</v>
      </c>
      <c r="G22" s="1">
        <v>1624510179.49</v>
      </c>
      <c r="H22" s="1">
        <v>1943202546.0999999</v>
      </c>
      <c r="I22" s="1">
        <v>1856020302.8</v>
      </c>
    </row>
    <row r="23" spans="1:11" x14ac:dyDescent="0.3">
      <c r="A23" s="35" t="s">
        <v>222</v>
      </c>
      <c r="B23" s="1">
        <v>665127070.28999996</v>
      </c>
      <c r="C23" s="1">
        <v>534588109.82999998</v>
      </c>
      <c r="D23" s="1">
        <v>543681580.92999995</v>
      </c>
      <c r="E23" s="1">
        <v>566913644.28999996</v>
      </c>
      <c r="F23" s="1">
        <v>524943604.33999997</v>
      </c>
      <c r="G23" s="1">
        <v>631822066</v>
      </c>
      <c r="H23" s="1">
        <v>605285811.25999999</v>
      </c>
      <c r="I23" s="1">
        <v>570192210.82000005</v>
      </c>
    </row>
    <row r="24" spans="1:11" x14ac:dyDescent="0.3">
      <c r="A24" s="35" t="s">
        <v>223</v>
      </c>
      <c r="B24" s="1">
        <v>700924064.62</v>
      </c>
      <c r="C24" s="1">
        <v>515224024.60000002</v>
      </c>
      <c r="D24" s="1">
        <v>670653114.07000005</v>
      </c>
      <c r="E24" s="1">
        <v>649005971.74000001</v>
      </c>
      <c r="F24" s="1">
        <v>681876888.87</v>
      </c>
      <c r="G24" s="1">
        <f>562084244.89+179346831.97</f>
        <v>741431076.86000001</v>
      </c>
      <c r="H24" s="1">
        <f>166749350.19+756442597.09</f>
        <v>923191947.27999997</v>
      </c>
      <c r="I24" s="1">
        <f>636908665.45+162035402.62</f>
        <v>798944068.07000005</v>
      </c>
      <c r="J24" s="1"/>
      <c r="K24" s="1"/>
    </row>
    <row r="25" spans="1:11" x14ac:dyDescent="0.3">
      <c r="A25" s="35" t="s">
        <v>224</v>
      </c>
      <c r="B25" s="1">
        <v>6388758914.0200005</v>
      </c>
      <c r="C25" s="1">
        <v>6479753652.7700005</v>
      </c>
      <c r="D25" s="1">
        <v>6487666898.9799995</v>
      </c>
      <c r="E25" s="1">
        <v>6627663827.6700001</v>
      </c>
      <c r="F25" s="1">
        <v>6776241776.1000004</v>
      </c>
      <c r="G25" s="1">
        <v>6928367200.29</v>
      </c>
      <c r="H25" s="1">
        <v>7157922639.1899996</v>
      </c>
      <c r="I25" s="1">
        <v>7462979012.71</v>
      </c>
    </row>
    <row r="26" spans="1:11" x14ac:dyDescent="0.3">
      <c r="A26" s="74" t="s">
        <v>225</v>
      </c>
      <c r="B26" s="3">
        <f>SUM(B14:B25)-B16</f>
        <v>21009543964.27</v>
      </c>
      <c r="C26" s="3">
        <f>SUM(C14:C25)-C16</f>
        <v>20187510499.410004</v>
      </c>
      <c r="D26" s="3">
        <f>SUM(D14:D25)-D16</f>
        <v>20243118896.049999</v>
      </c>
      <c r="E26" s="3">
        <f t="shared" ref="E26:I26" si="3">SUM(E14:E25)-E16</f>
        <v>20492080031.330002</v>
      </c>
      <c r="F26" s="3">
        <f t="shared" si="3"/>
        <v>21043083641.890007</v>
      </c>
      <c r="G26" s="3">
        <f t="shared" ref="G26" si="4">SUM(G14:G25)-G16</f>
        <v>21337962434.530003</v>
      </c>
      <c r="H26" s="3">
        <f t="shared" ref="H26" si="5">SUM(H14:H25)-H16</f>
        <v>22073835688.939999</v>
      </c>
      <c r="I26" s="3">
        <f t="shared" si="3"/>
        <v>22325094076.370003</v>
      </c>
    </row>
    <row r="27" spans="1:11" x14ac:dyDescent="0.3">
      <c r="A27" s="10" t="s">
        <v>265</v>
      </c>
      <c r="B27" s="11">
        <f>B14+B15+B17</f>
        <v>8773259153.1900005</v>
      </c>
      <c r="C27" s="11">
        <f>C14+C15+C17</f>
        <v>9095559051.5</v>
      </c>
      <c r="D27" s="11">
        <f>D14+D15+D17</f>
        <v>9195112449.1899986</v>
      </c>
      <c r="E27" s="11">
        <f t="shared" ref="E27:F27" si="6">E14+E15+E17</f>
        <v>9066016913.6800003</v>
      </c>
      <c r="F27" s="11">
        <f t="shared" si="6"/>
        <v>9590770834.3500004</v>
      </c>
      <c r="G27" s="11">
        <f>G14+G15+G17+G18+G19</f>
        <v>9458081327.960001</v>
      </c>
      <c r="H27" s="11">
        <f>H14+H15+H17+H18+H19</f>
        <v>9460604383.4899998</v>
      </c>
      <c r="I27" s="11">
        <f>I14+I15+I17+I18+I19</f>
        <v>9501754487.1499996</v>
      </c>
    </row>
    <row r="28" spans="1:11" x14ac:dyDescent="0.3">
      <c r="B28" s="6">
        <f>B27/B26*100</f>
        <v>41.758446390413297</v>
      </c>
      <c r="C28" s="6">
        <f>C27/C26*100</f>
        <v>45.055377441244303</v>
      </c>
      <c r="D28" s="6">
        <f>D27/D26*100</f>
        <v>45.423397927995289</v>
      </c>
      <c r="E28" s="6">
        <f t="shared" ref="E28:I28" si="7">E27/E26*100</f>
        <v>44.241565033023086</v>
      </c>
      <c r="F28" s="6">
        <f t="shared" si="7"/>
        <v>45.576831787418563</v>
      </c>
      <c r="G28" s="6">
        <f t="shared" ref="G28:H28" si="8">G27/G26*100</f>
        <v>44.325138152153315</v>
      </c>
      <c r="H28" s="6">
        <f t="shared" si="8"/>
        <v>42.858905524200289</v>
      </c>
      <c r="I28" s="6">
        <f t="shared" si="7"/>
        <v>42.560870985117738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tabSelected="1" topLeftCell="D82" workbookViewId="0">
      <selection activeCell="K89" sqref="K89:K93"/>
    </sheetView>
  </sheetViews>
  <sheetFormatPr defaultRowHeight="14.4" x14ac:dyDescent="0.3"/>
  <cols>
    <col min="2" max="2" width="120.88671875" bestFit="1" customWidth="1"/>
    <col min="3" max="3" width="11.88671875" customWidth="1"/>
  </cols>
  <sheetData>
    <row r="1" spans="1:11" x14ac:dyDescent="0.3">
      <c r="A1" s="152" t="s">
        <v>208</v>
      </c>
      <c r="B1" s="152"/>
      <c r="C1" s="2" t="s">
        <v>209</v>
      </c>
      <c r="D1" s="2">
        <v>2016</v>
      </c>
      <c r="E1" s="2">
        <v>2017</v>
      </c>
      <c r="F1" s="2">
        <v>2018</v>
      </c>
      <c r="G1" s="109">
        <v>2019</v>
      </c>
      <c r="H1" s="123">
        <v>2020</v>
      </c>
      <c r="I1" s="126">
        <v>2021</v>
      </c>
      <c r="J1" s="141">
        <v>2022</v>
      </c>
      <c r="K1" s="123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349</v>
      </c>
      <c r="C3" s="9">
        <v>48</v>
      </c>
      <c r="D3" s="7">
        <v>28.607775632027668</v>
      </c>
      <c r="E3" s="7">
        <v>27.680845667826876</v>
      </c>
      <c r="F3" s="7">
        <v>30.318242536734701</v>
      </c>
      <c r="G3" s="7">
        <v>27.359090798862713</v>
      </c>
      <c r="H3" s="7">
        <v>27.590743382896029</v>
      </c>
      <c r="I3" s="7">
        <v>29.061925243359589</v>
      </c>
      <c r="J3" s="7">
        <v>28.703762324010206</v>
      </c>
      <c r="K3" s="7">
        <v>26.277586990304499</v>
      </c>
    </row>
    <row r="4" spans="1:11" x14ac:dyDescent="0.3">
      <c r="A4" t="s">
        <v>79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80</v>
      </c>
      <c r="B5" t="s">
        <v>81</v>
      </c>
      <c r="D5" s="7">
        <v>99.89</v>
      </c>
      <c r="E5" s="7">
        <v>109.11</v>
      </c>
      <c r="F5" s="7">
        <v>105.03</v>
      </c>
      <c r="G5" s="7">
        <v>105.33</v>
      </c>
      <c r="H5" s="7">
        <v>99.81</v>
      </c>
      <c r="I5" s="7">
        <v>103.68</v>
      </c>
      <c r="J5" s="7">
        <v>99.55</v>
      </c>
      <c r="K5" s="7">
        <v>106.68</v>
      </c>
    </row>
    <row r="6" spans="1:11" x14ac:dyDescent="0.3">
      <c r="A6" t="s">
        <v>82</v>
      </c>
      <c r="B6" t="s">
        <v>83</v>
      </c>
      <c r="D6" s="7">
        <v>98.6</v>
      </c>
      <c r="E6" s="7">
        <v>103.41</v>
      </c>
      <c r="F6" s="7">
        <v>100.4</v>
      </c>
      <c r="G6" s="7">
        <v>99.93</v>
      </c>
      <c r="H6" s="7">
        <v>97.98</v>
      </c>
      <c r="I6" s="7">
        <v>100.75</v>
      </c>
      <c r="J6" s="7">
        <v>96.54</v>
      </c>
      <c r="K6" s="7">
        <v>100.44</v>
      </c>
    </row>
    <row r="7" spans="1:11" x14ac:dyDescent="0.3">
      <c r="A7" t="s">
        <v>84</v>
      </c>
      <c r="B7" t="s">
        <v>85</v>
      </c>
      <c r="D7" s="7">
        <v>75.09</v>
      </c>
      <c r="E7" s="7">
        <v>83.11</v>
      </c>
      <c r="F7" s="7">
        <v>80.540000000000006</v>
      </c>
      <c r="G7" s="7">
        <v>80.319999999999993</v>
      </c>
      <c r="H7" s="7">
        <v>66.25</v>
      </c>
      <c r="I7" s="7">
        <v>71.06</v>
      </c>
      <c r="J7" s="7">
        <v>71.569999999999993</v>
      </c>
      <c r="K7" s="7">
        <v>78.77</v>
      </c>
    </row>
    <row r="8" spans="1:11" x14ac:dyDescent="0.3">
      <c r="A8" t="s">
        <v>86</v>
      </c>
      <c r="B8" t="s">
        <v>87</v>
      </c>
      <c r="D8" s="7">
        <v>74.12</v>
      </c>
      <c r="E8" s="7">
        <v>78.77</v>
      </c>
      <c r="F8" s="7">
        <v>76.98</v>
      </c>
      <c r="G8" s="7">
        <v>76.2</v>
      </c>
      <c r="H8" s="7">
        <v>65.03</v>
      </c>
      <c r="I8" s="7">
        <v>69.06</v>
      </c>
      <c r="J8" s="7">
        <v>69.400000000000006</v>
      </c>
      <c r="K8" s="7">
        <v>74.16</v>
      </c>
    </row>
    <row r="9" spans="1:11" x14ac:dyDescent="0.3">
      <c r="A9" t="s">
        <v>88</v>
      </c>
      <c r="B9" t="s">
        <v>89</v>
      </c>
      <c r="D9" s="7">
        <v>68.73</v>
      </c>
      <c r="E9" s="7">
        <v>69.599999999999994</v>
      </c>
      <c r="F9" s="7">
        <v>52.17</v>
      </c>
      <c r="G9" s="7">
        <v>47.87</v>
      </c>
      <c r="H9" s="7">
        <v>38.93</v>
      </c>
      <c r="I9" s="7">
        <v>53.53</v>
      </c>
      <c r="J9" s="7">
        <v>63.94</v>
      </c>
      <c r="K9" s="7">
        <v>72.48</v>
      </c>
    </row>
    <row r="10" spans="1:11" x14ac:dyDescent="0.3">
      <c r="A10" t="s">
        <v>90</v>
      </c>
      <c r="B10" t="s">
        <v>91</v>
      </c>
      <c r="D10" s="7">
        <v>68.16</v>
      </c>
      <c r="E10" s="7">
        <v>75.44</v>
      </c>
      <c r="F10" s="7">
        <v>59.69</v>
      </c>
      <c r="G10" s="7">
        <v>48.97</v>
      </c>
      <c r="H10" s="7">
        <v>37.75</v>
      </c>
      <c r="I10" s="7">
        <v>68.98</v>
      </c>
      <c r="J10" s="7">
        <v>69.58</v>
      </c>
      <c r="K10" s="7">
        <v>68.61</v>
      </c>
    </row>
    <row r="11" spans="1:11" x14ac:dyDescent="0.3">
      <c r="A11" t="s">
        <v>92</v>
      </c>
      <c r="B11" t="s">
        <v>93</v>
      </c>
      <c r="D11" s="7">
        <v>46.07</v>
      </c>
      <c r="E11" s="7">
        <v>52.49</v>
      </c>
      <c r="F11" s="7">
        <v>37.11</v>
      </c>
      <c r="G11" s="7">
        <v>35.299999999999997</v>
      </c>
      <c r="H11" s="7">
        <v>24.8</v>
      </c>
      <c r="I11" s="7">
        <v>35.29</v>
      </c>
      <c r="J11" s="7">
        <v>43.11</v>
      </c>
      <c r="K11" s="7">
        <v>51.63</v>
      </c>
    </row>
    <row r="12" spans="1:11" x14ac:dyDescent="0.3">
      <c r="A12" s="8" t="s">
        <v>94</v>
      </c>
      <c r="B12" s="8" t="s">
        <v>95</v>
      </c>
      <c r="C12" s="9">
        <v>22</v>
      </c>
      <c r="D12" s="7">
        <v>45.69</v>
      </c>
      <c r="E12" s="7">
        <v>56.89</v>
      </c>
      <c r="F12" s="7">
        <v>42.47</v>
      </c>
      <c r="G12" s="7">
        <v>36.119999999999997</v>
      </c>
      <c r="H12" s="7">
        <v>24.04</v>
      </c>
      <c r="I12" s="7">
        <v>45.47</v>
      </c>
      <c r="J12" s="7">
        <v>46.92</v>
      </c>
      <c r="K12" s="7">
        <v>48.87</v>
      </c>
    </row>
    <row r="13" spans="1:11" x14ac:dyDescent="0.3">
      <c r="A13" t="s">
        <v>96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101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102</v>
      </c>
      <c r="B17" t="s">
        <v>103</v>
      </c>
      <c r="D17" s="7">
        <v>24.49</v>
      </c>
      <c r="E17" s="7">
        <v>23.99</v>
      </c>
      <c r="F17" s="7">
        <v>24.93</v>
      </c>
      <c r="G17" s="7">
        <v>27.69</v>
      </c>
      <c r="H17" s="7">
        <v>27.18</v>
      </c>
      <c r="I17" s="7">
        <v>26.09</v>
      </c>
      <c r="J17" s="7">
        <v>26.62</v>
      </c>
      <c r="K17" s="7">
        <v>27.05</v>
      </c>
    </row>
    <row r="18" spans="1:11" x14ac:dyDescent="0.3">
      <c r="A18" t="s">
        <v>104</v>
      </c>
      <c r="B18" t="s">
        <v>105</v>
      </c>
      <c r="D18" s="7">
        <v>23.72</v>
      </c>
      <c r="E18" s="7">
        <v>20.28</v>
      </c>
      <c r="F18" s="7">
        <v>19.350000000000001</v>
      </c>
      <c r="G18" s="7">
        <v>20.91</v>
      </c>
      <c r="H18" s="7">
        <v>20.84</v>
      </c>
      <c r="I18" s="7">
        <v>22.61</v>
      </c>
      <c r="J18" s="7">
        <v>22.55</v>
      </c>
      <c r="K18" s="7">
        <v>23.59</v>
      </c>
    </row>
    <row r="19" spans="1:11" x14ac:dyDescent="0.3">
      <c r="A19" t="s">
        <v>106</v>
      </c>
      <c r="B19" t="s">
        <v>107</v>
      </c>
      <c r="D19" s="7">
        <v>1.02</v>
      </c>
      <c r="E19" s="7">
        <v>0.85</v>
      </c>
      <c r="F19" s="7">
        <v>0.81</v>
      </c>
      <c r="G19" s="7">
        <v>0.79</v>
      </c>
      <c r="H19" s="7">
        <v>0.85</v>
      </c>
      <c r="I19" s="7">
        <v>0.9</v>
      </c>
      <c r="J19" s="7">
        <v>1.1399999999999999</v>
      </c>
      <c r="K19" s="7">
        <v>1.97</v>
      </c>
    </row>
    <row r="20" spans="1:11" x14ac:dyDescent="0.3">
      <c r="A20" t="s">
        <v>108</v>
      </c>
      <c r="B20" t="s">
        <v>109</v>
      </c>
      <c r="D20" s="7">
        <v>366.39</v>
      </c>
      <c r="E20" s="7">
        <v>352.13</v>
      </c>
      <c r="F20" s="7">
        <v>378.1</v>
      </c>
      <c r="G20" s="7">
        <v>383.65</v>
      </c>
      <c r="H20" s="7">
        <v>402.25</v>
      </c>
      <c r="I20" s="7">
        <v>413.9</v>
      </c>
      <c r="J20" s="7">
        <v>438.04</v>
      </c>
      <c r="K20" s="7">
        <v>423.83</v>
      </c>
    </row>
    <row r="21" spans="1:11" x14ac:dyDescent="0.3">
      <c r="A21" t="s">
        <v>110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111</v>
      </c>
      <c r="B22" t="s">
        <v>112</v>
      </c>
      <c r="D22" s="7">
        <v>51.26</v>
      </c>
      <c r="E22" s="7">
        <v>50.29</v>
      </c>
      <c r="F22" s="7">
        <v>46.47</v>
      </c>
      <c r="G22" s="7">
        <v>48.73</v>
      </c>
      <c r="H22" s="7">
        <v>47.78</v>
      </c>
      <c r="I22" s="7">
        <v>48.3</v>
      </c>
      <c r="J22" s="7">
        <v>46.6</v>
      </c>
      <c r="K22" s="7">
        <v>48.46</v>
      </c>
    </row>
    <row r="23" spans="1:11" x14ac:dyDescent="0.3">
      <c r="A23" t="s">
        <v>113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114</v>
      </c>
      <c r="B24" t="s">
        <v>350</v>
      </c>
      <c r="D24" s="7">
        <v>4.8418145888585462</v>
      </c>
      <c r="E24" s="7">
        <v>4.5477754926659939</v>
      </c>
      <c r="F24" s="7">
        <v>4.740300724580961</v>
      </c>
      <c r="G24" s="33">
        <v>4.3853638510061268</v>
      </c>
      <c r="H24" s="33">
        <v>4.4129581679293439</v>
      </c>
      <c r="I24" s="33">
        <v>4.2839615632380479</v>
      </c>
      <c r="J24" s="33">
        <v>4.3216087970764994</v>
      </c>
      <c r="K24" s="33">
        <v>4.2114078401759434</v>
      </c>
    </row>
    <row r="25" spans="1:11" x14ac:dyDescent="0.3">
      <c r="A25" t="s">
        <v>115</v>
      </c>
      <c r="B25" t="s">
        <v>116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117</v>
      </c>
      <c r="B26" t="s">
        <v>118</v>
      </c>
      <c r="D26" s="7">
        <v>0</v>
      </c>
      <c r="E26" s="7">
        <v>0</v>
      </c>
      <c r="F26" s="7">
        <v>0</v>
      </c>
      <c r="G26" s="7">
        <v>0</v>
      </c>
      <c r="H26" s="7">
        <v>0.26</v>
      </c>
      <c r="I26" s="7">
        <v>0.1</v>
      </c>
      <c r="J26" s="7">
        <v>0</v>
      </c>
      <c r="K26" s="7">
        <v>0</v>
      </c>
    </row>
    <row r="27" spans="1:11" x14ac:dyDescent="0.3">
      <c r="A27" t="s">
        <v>119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120</v>
      </c>
      <c r="B28" t="s">
        <v>121</v>
      </c>
      <c r="D28" s="7">
        <v>8.2799999999999994</v>
      </c>
      <c r="E28" s="7">
        <v>6.24</v>
      </c>
      <c r="F28" s="7">
        <v>4.1500000000000004</v>
      </c>
      <c r="G28" s="7">
        <v>6.4</v>
      </c>
      <c r="H28" s="7">
        <v>7.82</v>
      </c>
      <c r="I28" s="7">
        <v>10.35</v>
      </c>
      <c r="J28" s="7">
        <v>7.28</v>
      </c>
      <c r="K28" s="7">
        <v>10.14</v>
      </c>
    </row>
    <row r="29" spans="1:11" x14ac:dyDescent="0.3">
      <c r="A29" t="s">
        <v>122</v>
      </c>
      <c r="B29" t="s">
        <v>123</v>
      </c>
      <c r="D29" s="7">
        <v>125.97</v>
      </c>
      <c r="E29" s="7">
        <v>89.79</v>
      </c>
      <c r="F29" s="7">
        <v>64.36</v>
      </c>
      <c r="G29" s="7">
        <v>102.69</v>
      </c>
      <c r="H29" s="7">
        <v>129.27000000000001</v>
      </c>
      <c r="I29" s="7">
        <v>139.97</v>
      </c>
      <c r="J29" s="7">
        <v>128.34</v>
      </c>
      <c r="K29" s="7">
        <v>184.24</v>
      </c>
    </row>
    <row r="30" spans="1:11" x14ac:dyDescent="0.3">
      <c r="A30" t="s">
        <v>124</v>
      </c>
      <c r="B30" t="s">
        <v>125</v>
      </c>
      <c r="D30" s="7">
        <v>6.75</v>
      </c>
      <c r="E30" s="7">
        <v>8.32</v>
      </c>
      <c r="F30" s="7">
        <v>2.29</v>
      </c>
      <c r="G30" s="7">
        <v>2.81</v>
      </c>
      <c r="H30" s="7">
        <v>7.85</v>
      </c>
      <c r="I30" s="7">
        <v>57.57</v>
      </c>
      <c r="J30" s="7">
        <v>13.87</v>
      </c>
      <c r="K30" s="7">
        <v>12.13</v>
      </c>
    </row>
    <row r="31" spans="1:11" x14ac:dyDescent="0.3">
      <c r="A31" t="s">
        <v>126</v>
      </c>
      <c r="B31" t="s">
        <v>127</v>
      </c>
      <c r="D31" s="7">
        <v>132.72</v>
      </c>
      <c r="E31" s="7">
        <v>98.11</v>
      </c>
      <c r="F31" s="7">
        <v>66.650000000000006</v>
      </c>
      <c r="G31" s="7">
        <v>105.51</v>
      </c>
      <c r="H31" s="7">
        <v>137.12</v>
      </c>
      <c r="I31" s="7">
        <v>197.54</v>
      </c>
      <c r="J31" s="7">
        <v>142.21</v>
      </c>
      <c r="K31" s="7">
        <v>196.37</v>
      </c>
    </row>
    <row r="32" spans="1:11" x14ac:dyDescent="0.3">
      <c r="A32" t="s">
        <v>128</v>
      </c>
      <c r="B32" t="s">
        <v>129</v>
      </c>
      <c r="D32" s="7">
        <v>0</v>
      </c>
      <c r="E32" s="7">
        <v>0</v>
      </c>
      <c r="F32" s="7">
        <v>34.07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x14ac:dyDescent="0.3">
      <c r="A33" t="s">
        <v>130</v>
      </c>
      <c r="B33" t="s">
        <v>131</v>
      </c>
      <c r="D33" s="7">
        <v>0</v>
      </c>
      <c r="E33" s="7">
        <v>0</v>
      </c>
      <c r="F33" s="7">
        <v>-0.16</v>
      </c>
      <c r="G33" s="7">
        <v>0</v>
      </c>
      <c r="H33" s="7">
        <v>0.01</v>
      </c>
      <c r="I33" s="7">
        <v>0</v>
      </c>
      <c r="J33" s="7">
        <v>66.09</v>
      </c>
      <c r="K33" s="7">
        <v>0</v>
      </c>
    </row>
    <row r="34" spans="1:11" x14ac:dyDescent="0.3">
      <c r="A34" t="s">
        <v>132</v>
      </c>
      <c r="B34" t="s">
        <v>133</v>
      </c>
      <c r="D34" s="7">
        <v>4.67</v>
      </c>
      <c r="E34" s="7">
        <v>0.23</v>
      </c>
      <c r="F34" s="7">
        <v>0</v>
      </c>
      <c r="G34" s="7">
        <v>18.73</v>
      </c>
      <c r="H34" s="7">
        <v>7.46</v>
      </c>
      <c r="I34" s="7">
        <v>26.59</v>
      </c>
      <c r="J34" s="7">
        <v>16.45</v>
      </c>
      <c r="K34" s="7">
        <v>7.95</v>
      </c>
    </row>
    <row r="35" spans="1:11" x14ac:dyDescent="0.3">
      <c r="A35" t="s">
        <v>134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135</v>
      </c>
      <c r="B36" t="s">
        <v>136</v>
      </c>
      <c r="D36" s="7">
        <v>44.87</v>
      </c>
      <c r="E36" s="7">
        <v>53.72</v>
      </c>
      <c r="F36" s="7">
        <v>52.78</v>
      </c>
      <c r="G36" s="7">
        <v>51.35</v>
      </c>
      <c r="H36" s="7">
        <v>50.64</v>
      </c>
      <c r="I36" s="7">
        <v>46.86</v>
      </c>
      <c r="J36" s="7">
        <v>50.49</v>
      </c>
      <c r="K36" s="7">
        <v>49.67</v>
      </c>
    </row>
    <row r="37" spans="1:11" x14ac:dyDescent="0.3">
      <c r="A37" t="s">
        <v>137</v>
      </c>
      <c r="B37" t="s">
        <v>138</v>
      </c>
      <c r="D37" s="7">
        <v>41.33</v>
      </c>
      <c r="E37" s="7">
        <v>38.450000000000003</v>
      </c>
      <c r="F37" s="7">
        <v>24.01</v>
      </c>
      <c r="G37" s="7">
        <v>29.9</v>
      </c>
      <c r="H37" s="7">
        <v>38.799999999999997</v>
      </c>
      <c r="I37" s="7">
        <v>35.369999999999997</v>
      </c>
      <c r="J37" s="7">
        <v>38.06</v>
      </c>
      <c r="K37" s="7">
        <v>43.73</v>
      </c>
    </row>
    <row r="38" spans="1:11" x14ac:dyDescent="0.3">
      <c r="A38" t="s">
        <v>139</v>
      </c>
      <c r="B38" t="s">
        <v>140</v>
      </c>
      <c r="D38" s="7">
        <v>9.6300000000000008</v>
      </c>
      <c r="E38" s="7">
        <v>100</v>
      </c>
      <c r="F38" s="7">
        <v>32.85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</row>
    <row r="39" spans="1:11" x14ac:dyDescent="0.3">
      <c r="A39" t="s">
        <v>141</v>
      </c>
      <c r="B39" t="s">
        <v>142</v>
      </c>
      <c r="D39" s="7">
        <v>26.09</v>
      </c>
      <c r="E39" s="7">
        <v>26.67</v>
      </c>
      <c r="F39" s="7">
        <v>25.38</v>
      </c>
      <c r="G39" s="7">
        <v>26.71</v>
      </c>
      <c r="H39" s="7">
        <v>20.05</v>
      </c>
      <c r="I39" s="7">
        <v>21.28</v>
      </c>
      <c r="J39" s="7">
        <v>17.420000000000002</v>
      </c>
      <c r="K39" s="7">
        <v>18.73</v>
      </c>
    </row>
    <row r="40" spans="1:11" x14ac:dyDescent="0.3">
      <c r="A40" t="s">
        <v>143</v>
      </c>
      <c r="B40" t="s">
        <v>144</v>
      </c>
      <c r="D40" s="7">
        <v>19.43</v>
      </c>
      <c r="E40" s="7">
        <v>21.84</v>
      </c>
      <c r="F40" s="7">
        <v>3.46</v>
      </c>
      <c r="G40" s="7">
        <v>10.18</v>
      </c>
      <c r="H40" s="7">
        <v>10.94</v>
      </c>
      <c r="I40" s="7">
        <v>13.91</v>
      </c>
      <c r="J40" s="7">
        <v>11.11</v>
      </c>
      <c r="K40" s="7">
        <v>21.75</v>
      </c>
    </row>
    <row r="41" spans="1:11" x14ac:dyDescent="0.3">
      <c r="A41" t="s">
        <v>145</v>
      </c>
      <c r="B41" t="s">
        <v>146</v>
      </c>
      <c r="D41" s="7">
        <v>17.420000000000002</v>
      </c>
      <c r="E41" s="7">
        <v>7.28</v>
      </c>
      <c r="F41" s="7">
        <v>0</v>
      </c>
      <c r="G41" s="7">
        <v>45.34</v>
      </c>
      <c r="H41" s="7">
        <v>17.850000000000001</v>
      </c>
      <c r="I41" s="7">
        <v>48.94</v>
      </c>
      <c r="J41" s="7">
        <v>49.85</v>
      </c>
      <c r="K41" s="7">
        <v>18.100000000000001</v>
      </c>
    </row>
    <row r="42" spans="1:11" x14ac:dyDescent="0.3">
      <c r="A42" t="s">
        <v>147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148</v>
      </c>
      <c r="B43" t="s">
        <v>149</v>
      </c>
      <c r="D43" s="7">
        <v>58.69</v>
      </c>
      <c r="E43" s="7">
        <v>70.59</v>
      </c>
      <c r="F43" s="7">
        <v>69.930000000000007</v>
      </c>
      <c r="G43" s="7">
        <v>67.89</v>
      </c>
      <c r="H43" s="7">
        <v>72.83</v>
      </c>
      <c r="I43" s="7">
        <v>76.38</v>
      </c>
      <c r="J43" s="7">
        <v>70.88</v>
      </c>
      <c r="K43" s="7">
        <v>70.8</v>
      </c>
    </row>
    <row r="44" spans="1:11" x14ac:dyDescent="0.3">
      <c r="A44" t="s">
        <v>150</v>
      </c>
      <c r="B44" t="s">
        <v>151</v>
      </c>
      <c r="D44" s="7">
        <v>30.96</v>
      </c>
      <c r="E44" s="7">
        <v>64.900000000000006</v>
      </c>
      <c r="F44" s="7">
        <v>37.81</v>
      </c>
      <c r="G44" s="7">
        <v>42.92</v>
      </c>
      <c r="H44" s="7">
        <v>43.93</v>
      </c>
      <c r="I44" s="7">
        <v>41.55</v>
      </c>
      <c r="J44" s="7">
        <v>33.75</v>
      </c>
      <c r="K44" s="7">
        <v>50.81</v>
      </c>
    </row>
    <row r="45" spans="1:11" x14ac:dyDescent="0.3">
      <c r="A45" t="s">
        <v>152</v>
      </c>
      <c r="B45" t="s">
        <v>153</v>
      </c>
      <c r="D45" s="7">
        <v>91.62</v>
      </c>
      <c r="E45" s="7">
        <v>88.48</v>
      </c>
      <c r="F45" s="7">
        <v>89.83</v>
      </c>
      <c r="G45" s="7">
        <v>85.07</v>
      </c>
      <c r="H45" s="7">
        <v>83.77</v>
      </c>
      <c r="I45" s="7">
        <v>85.49</v>
      </c>
      <c r="J45" s="7">
        <v>86.05</v>
      </c>
      <c r="K45" s="7">
        <v>75.77</v>
      </c>
    </row>
    <row r="46" spans="1:11" x14ac:dyDescent="0.3">
      <c r="A46" t="s">
        <v>154</v>
      </c>
      <c r="B46" t="s">
        <v>155</v>
      </c>
      <c r="D46" s="7">
        <v>8.4</v>
      </c>
      <c r="E46" s="7">
        <v>8.27</v>
      </c>
      <c r="F46" s="7">
        <v>11.38</v>
      </c>
      <c r="G46" s="7">
        <v>9.4</v>
      </c>
      <c r="H46" s="7">
        <v>14.68</v>
      </c>
      <c r="I46" s="7">
        <v>15.89</v>
      </c>
      <c r="J46" s="7">
        <v>17.16</v>
      </c>
      <c r="K46" s="7">
        <v>11.6</v>
      </c>
    </row>
    <row r="47" spans="1:11" x14ac:dyDescent="0.3">
      <c r="A47" t="s">
        <v>156</v>
      </c>
      <c r="B47" t="s">
        <v>157</v>
      </c>
      <c r="D47" s="7">
        <v>57.51</v>
      </c>
      <c r="E47" s="7">
        <v>50</v>
      </c>
      <c r="F47" s="7">
        <v>35</v>
      </c>
      <c r="G47" s="7">
        <v>27.19</v>
      </c>
      <c r="H47" s="7">
        <v>11.07</v>
      </c>
      <c r="I47" s="7">
        <v>9.49</v>
      </c>
      <c r="J47" s="7">
        <v>0.66</v>
      </c>
      <c r="K47" s="7">
        <v>7.34</v>
      </c>
    </row>
    <row r="48" spans="1:11" x14ac:dyDescent="0.3">
      <c r="A48" t="s">
        <v>158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159</v>
      </c>
      <c r="B49" t="s">
        <v>160</v>
      </c>
      <c r="D49" s="7">
        <v>0</v>
      </c>
      <c r="E49" s="7">
        <v>7.16</v>
      </c>
      <c r="F49" s="7">
        <v>8.57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161</v>
      </c>
      <c r="B50" t="s">
        <v>162</v>
      </c>
      <c r="D50" s="7">
        <v>4.29</v>
      </c>
      <c r="E50" s="7">
        <v>3.71</v>
      </c>
      <c r="F50" s="7">
        <v>3.03</v>
      </c>
      <c r="G50" s="7">
        <v>4.95</v>
      </c>
      <c r="H50" s="7">
        <v>1.88</v>
      </c>
      <c r="I50" s="7">
        <v>11.04</v>
      </c>
      <c r="J50" s="7">
        <v>3.69</v>
      </c>
      <c r="K50" s="7">
        <v>2.71</v>
      </c>
    </row>
    <row r="51" spans="1:11" x14ac:dyDescent="0.3">
      <c r="A51" s="8" t="s">
        <v>163</v>
      </c>
      <c r="B51" s="8" t="s">
        <v>164</v>
      </c>
      <c r="C51" s="9">
        <v>16</v>
      </c>
      <c r="D51" s="7">
        <v>1.72</v>
      </c>
      <c r="E51" s="7">
        <v>1.48</v>
      </c>
      <c r="F51" s="7">
        <v>1.28</v>
      </c>
      <c r="G51" s="7">
        <v>1.37</v>
      </c>
      <c r="H51" s="7">
        <v>0.84</v>
      </c>
      <c r="I51" s="7">
        <v>2.83</v>
      </c>
      <c r="J51" s="7">
        <v>1.49</v>
      </c>
      <c r="K51" s="7">
        <v>1.39</v>
      </c>
    </row>
    <row r="52" spans="1:11" x14ac:dyDescent="0.3">
      <c r="A52" t="s">
        <v>165</v>
      </c>
      <c r="B52" t="s">
        <v>351</v>
      </c>
      <c r="D52" s="7">
        <v>2171.4120880110559</v>
      </c>
      <c r="E52" s="7">
        <v>2119.8210847664895</v>
      </c>
      <c r="F52" s="7">
        <v>2093.3704332393481</v>
      </c>
      <c r="G52" s="33">
        <v>2149.7113149597722</v>
      </c>
      <c r="H52" s="33">
        <v>2181.515270091762</v>
      </c>
      <c r="I52" s="33">
        <v>2194.7441438496353</v>
      </c>
      <c r="J52" s="33">
        <v>2273.9418041484437</v>
      </c>
      <c r="K52" s="33">
        <v>2250.0960995300343</v>
      </c>
    </row>
    <row r="53" spans="1:11" x14ac:dyDescent="0.3">
      <c r="A53" t="s">
        <v>167</v>
      </c>
      <c r="D53" s="7">
        <v>0</v>
      </c>
      <c r="E53" s="7">
        <v>0</v>
      </c>
      <c r="F53" s="7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</row>
    <row r="54" spans="1:11" x14ac:dyDescent="0.3">
      <c r="A54" t="s">
        <v>168</v>
      </c>
      <c r="B54" t="s">
        <v>169</v>
      </c>
      <c r="D54" s="7">
        <v>-15.766471559992127</v>
      </c>
      <c r="E54" s="7">
        <v>-12.259165965643879</v>
      </c>
      <c r="F54" s="7">
        <v>-10.689089657706191</v>
      </c>
      <c r="G54" s="33">
        <v>-8.5728055363636368</v>
      </c>
      <c r="H54" s="33">
        <v>-7.3958481231436988</v>
      </c>
      <c r="I54" s="33">
        <v>-7.0492201160982662</v>
      </c>
      <c r="J54" s="33">
        <v>-6.2880439588807402</v>
      </c>
      <c r="K54" s="33">
        <v>-5.2583562375821424</v>
      </c>
    </row>
    <row r="55" spans="1:11" x14ac:dyDescent="0.3">
      <c r="A55" t="s">
        <v>170</v>
      </c>
      <c r="B55" t="s">
        <v>171</v>
      </c>
      <c r="D55" s="7">
        <v>14.096256674111588</v>
      </c>
      <c r="E55" s="7">
        <v>7.5492687771042108</v>
      </c>
      <c r="F55" s="7">
        <v>3.3871761552224355</v>
      </c>
      <c r="G55" s="33">
        <v>3.178147764774693</v>
      </c>
      <c r="H55" s="33">
        <v>3.0424860357733077</v>
      </c>
      <c r="I55" s="33">
        <v>3.6074622848303086</v>
      </c>
      <c r="J55" s="33">
        <v>1.3135001079755328</v>
      </c>
      <c r="K55" s="33">
        <v>1.2708725491963517</v>
      </c>
    </row>
    <row r="56" spans="1:11" x14ac:dyDescent="0.3">
      <c r="A56" t="s">
        <v>172</v>
      </c>
      <c r="B56" t="s">
        <v>173</v>
      </c>
      <c r="D56" s="7">
        <v>72.409191533598914</v>
      </c>
      <c r="E56" s="7">
        <v>77.199693847842454</v>
      </c>
      <c r="F56" s="7">
        <v>81.118923752879269</v>
      </c>
      <c r="G56" s="33">
        <v>81.255015222231236</v>
      </c>
      <c r="H56" s="33">
        <v>83.809199588756371</v>
      </c>
      <c r="I56" s="33">
        <v>83.220533339178786</v>
      </c>
      <c r="J56" s="33">
        <v>86.872730917308544</v>
      </c>
      <c r="K56" s="33">
        <v>88.405859256426083</v>
      </c>
    </row>
    <row r="57" spans="1:11" x14ac:dyDescent="0.3">
      <c r="A57" t="s">
        <v>174</v>
      </c>
      <c r="B57" t="s">
        <v>175</v>
      </c>
      <c r="D57" s="7">
        <v>29.261023352281629</v>
      </c>
      <c r="E57" s="7">
        <v>27.510203340697213</v>
      </c>
      <c r="F57" s="7">
        <v>26.182989749604491</v>
      </c>
      <c r="G57" s="33">
        <v>24.139642549357713</v>
      </c>
      <c r="H57" s="33">
        <v>20.544162498614021</v>
      </c>
      <c r="I57" s="33">
        <v>20.221224492089167</v>
      </c>
      <c r="J57" s="33">
        <v>18.101812933596655</v>
      </c>
      <c r="K57" s="33">
        <v>15.581624431959701</v>
      </c>
    </row>
    <row r="58" spans="1:11" x14ac:dyDescent="0.3">
      <c r="A58" t="s">
        <v>176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177</v>
      </c>
      <c r="B59" t="s">
        <v>178</v>
      </c>
      <c r="D59" s="7">
        <v>9.4403575200464296</v>
      </c>
      <c r="E59" s="7">
        <v>3.85</v>
      </c>
      <c r="F59" s="7">
        <v>3.85</v>
      </c>
      <c r="G59" s="7">
        <v>7.6889650191495438</v>
      </c>
      <c r="H59" s="7">
        <v>9.8822160592586989</v>
      </c>
      <c r="I59" s="7">
        <v>5.6756290073758011</v>
      </c>
      <c r="J59" s="7">
        <v>6.0093790595207057</v>
      </c>
      <c r="K59" s="7">
        <v>6.4681376684895904</v>
      </c>
    </row>
    <row r="60" spans="1:11" x14ac:dyDescent="0.3">
      <c r="A60" t="s">
        <v>179</v>
      </c>
      <c r="B60" t="s">
        <v>180</v>
      </c>
      <c r="D60" s="7">
        <v>-9.4403575200464296</v>
      </c>
      <c r="E60" s="7" t="s">
        <v>348</v>
      </c>
      <c r="F60" s="7" t="s">
        <v>348</v>
      </c>
      <c r="G60" s="7">
        <v>-7.6889650191495438</v>
      </c>
      <c r="H60" s="7">
        <v>-9.8822160592586989</v>
      </c>
      <c r="I60" s="7">
        <v>-5.6756290073758011</v>
      </c>
      <c r="J60" s="7">
        <v>-6.0093790595207057</v>
      </c>
      <c r="K60" s="7">
        <v>-6.4681376684895904</v>
      </c>
    </row>
    <row r="61" spans="1:11" x14ac:dyDescent="0.3">
      <c r="A61" t="s">
        <v>181</v>
      </c>
      <c r="B61" t="s">
        <v>182</v>
      </c>
      <c r="D61" s="7">
        <v>8.2751546863404961</v>
      </c>
      <c r="E61" s="7">
        <v>7.331432539707702</v>
      </c>
      <c r="F61" s="7">
        <v>6.3379981439089335</v>
      </c>
      <c r="G61" s="7">
        <v>5.9339823151910416</v>
      </c>
      <c r="H61" s="7">
        <v>5.0549837321064262</v>
      </c>
      <c r="I61" s="7">
        <v>5.0564611602166636</v>
      </c>
      <c r="J61" s="7">
        <v>4.7513317679200719</v>
      </c>
      <c r="K61" s="7">
        <v>4.4247630178045689</v>
      </c>
    </row>
    <row r="62" spans="1:11" x14ac:dyDescent="0.3">
      <c r="A62" s="8" t="s">
        <v>183</v>
      </c>
      <c r="B62" s="8" t="s">
        <v>184</v>
      </c>
      <c r="C62" s="9">
        <v>1.2</v>
      </c>
      <c r="D62" s="7">
        <v>0.6</v>
      </c>
      <c r="E62" s="7">
        <v>0.6</v>
      </c>
      <c r="F62" s="7">
        <v>0.59</v>
      </c>
      <c r="G62" s="7">
        <v>0.56000000000000005</v>
      </c>
      <c r="H62" s="7">
        <v>0.56000000000000005</v>
      </c>
      <c r="I62" s="7">
        <v>0.54</v>
      </c>
      <c r="J62" s="7">
        <v>0.54</v>
      </c>
      <c r="K62" s="7">
        <v>0.51</v>
      </c>
    </row>
    <row r="63" spans="1:11" x14ac:dyDescent="0.3">
      <c r="A63" t="s">
        <v>185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186</v>
      </c>
      <c r="B64" s="8" t="s">
        <v>187</v>
      </c>
      <c r="C64" s="9">
        <v>1</v>
      </c>
      <c r="D64" s="7">
        <v>2.69</v>
      </c>
      <c r="E64" s="7">
        <v>0.56000000000000005</v>
      </c>
      <c r="F64" s="7">
        <v>0.83</v>
      </c>
      <c r="G64" s="7">
        <v>0.2</v>
      </c>
      <c r="H64" s="7">
        <v>1.7</v>
      </c>
      <c r="I64" s="7">
        <v>0.14000000000000001</v>
      </c>
      <c r="J64" s="7">
        <v>0.79</v>
      </c>
      <c r="K64" s="7">
        <v>1.83</v>
      </c>
    </row>
    <row r="65" spans="1:11" x14ac:dyDescent="0.3">
      <c r="A65" s="8" t="s">
        <v>188</v>
      </c>
      <c r="B65" s="8" t="s">
        <v>189</v>
      </c>
      <c r="C65" s="9"/>
      <c r="D65" s="7">
        <v>2.4300000000000002</v>
      </c>
      <c r="E65" s="7">
        <v>3.94</v>
      </c>
      <c r="F65" s="7">
        <v>3.81</v>
      </c>
      <c r="G65" s="7">
        <v>3.9</v>
      </c>
      <c r="H65" s="7">
        <v>2.91</v>
      </c>
      <c r="I65" s="7">
        <v>1.75</v>
      </c>
      <c r="J65" s="7">
        <v>1.7</v>
      </c>
      <c r="K65" s="7">
        <v>0.89</v>
      </c>
    </row>
    <row r="66" spans="1:11" x14ac:dyDescent="0.3">
      <c r="A66" s="8" t="s">
        <v>190</v>
      </c>
      <c r="B66" s="8" t="s">
        <v>191</v>
      </c>
      <c r="C66" s="9">
        <v>0.6</v>
      </c>
      <c r="D66" s="7">
        <v>0</v>
      </c>
      <c r="E66" s="7">
        <v>0</v>
      </c>
      <c r="F66" s="7">
        <v>0</v>
      </c>
      <c r="G66" s="7">
        <v>4.08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192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193</v>
      </c>
      <c r="B68" t="s">
        <v>194</v>
      </c>
      <c r="D68" s="7">
        <v>36.58</v>
      </c>
      <c r="E68" s="7">
        <v>43.04</v>
      </c>
      <c r="F68" s="33">
        <v>100</v>
      </c>
      <c r="G68" s="33">
        <v>40.869389871864421</v>
      </c>
      <c r="H68" s="33">
        <v>41.93</v>
      </c>
      <c r="I68" s="33">
        <v>44.49</v>
      </c>
      <c r="J68" s="33">
        <v>36.26</v>
      </c>
      <c r="K68" s="33">
        <v>38</v>
      </c>
    </row>
    <row r="69" spans="1:11" x14ac:dyDescent="0.3">
      <c r="A69" t="s">
        <v>195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196</v>
      </c>
      <c r="B70" t="s">
        <v>197</v>
      </c>
      <c r="D70" s="7">
        <v>13.71</v>
      </c>
      <c r="E70" s="33">
        <v>14.931162102501894</v>
      </c>
      <c r="F70" s="7">
        <v>18.034439483035982</v>
      </c>
      <c r="G70" s="7">
        <v>17.416834956043871</v>
      </c>
      <c r="H70" s="7">
        <v>13.6</v>
      </c>
      <c r="I70" s="7">
        <v>15.4</v>
      </c>
      <c r="J70" s="7">
        <v>13.97</v>
      </c>
      <c r="K70" s="7">
        <v>14.18</v>
      </c>
    </row>
    <row r="71" spans="1:11" x14ac:dyDescent="0.3">
      <c r="A71" t="s">
        <v>198</v>
      </c>
      <c r="B71" t="s">
        <v>199</v>
      </c>
      <c r="D71" s="7">
        <v>15.51</v>
      </c>
      <c r="E71" s="33">
        <v>17.841339962984488</v>
      </c>
      <c r="F71" s="7">
        <v>19.757623379635366</v>
      </c>
      <c r="G71" s="7">
        <v>20.145665174660575</v>
      </c>
      <c r="H71" s="7">
        <v>15.23</v>
      </c>
      <c r="I71" s="7">
        <v>17.059999999999999</v>
      </c>
      <c r="J71" s="7">
        <v>14.77</v>
      </c>
      <c r="K71" s="7">
        <v>16.61</v>
      </c>
    </row>
    <row r="72" spans="1:11" x14ac:dyDescent="0.3">
      <c r="A72" t="s">
        <v>303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200</v>
      </c>
      <c r="D73" s="7">
        <v>44.15</v>
      </c>
      <c r="E73" s="7">
        <v>63.01</v>
      </c>
      <c r="F73" s="7">
        <v>46.72</v>
      </c>
      <c r="G73" s="7">
        <v>44.98</v>
      </c>
      <c r="H73" s="7">
        <v>47.256431387200934</v>
      </c>
      <c r="I73" s="7">
        <v>45.261272031498088</v>
      </c>
      <c r="J73" s="7">
        <v>44.600834513769669</v>
      </c>
      <c r="K73" s="7">
        <v>44.008744988317147</v>
      </c>
    </row>
    <row r="74" spans="1:11" x14ac:dyDescent="0.3">
      <c r="B74" t="s">
        <v>201</v>
      </c>
      <c r="D74" s="7">
        <v>66.87</v>
      </c>
      <c r="E74" s="7">
        <v>73.150000000000006</v>
      </c>
      <c r="F74" s="7">
        <v>62.5</v>
      </c>
      <c r="G74" s="7">
        <v>59.45</v>
      </c>
      <c r="H74" s="7">
        <v>65.249907869496255</v>
      </c>
      <c r="I74" s="7">
        <v>66.618718775295619</v>
      </c>
      <c r="J74" s="7">
        <v>70.828122402894934</v>
      </c>
      <c r="K74" s="7">
        <v>70.061689072769724</v>
      </c>
    </row>
    <row r="75" spans="1:11" x14ac:dyDescent="0.3">
      <c r="B75" t="s">
        <v>202</v>
      </c>
      <c r="D75" s="7">
        <v>14.03</v>
      </c>
      <c r="E75" s="7">
        <v>52.57</v>
      </c>
      <c r="F75" s="7">
        <v>23.97</v>
      </c>
      <c r="G75" s="7">
        <v>28.88</v>
      </c>
      <c r="H75" s="7">
        <v>28.782199975174755</v>
      </c>
      <c r="I75" s="7">
        <v>22.320664882692981</v>
      </c>
      <c r="J75" s="7">
        <v>18.760101147411515</v>
      </c>
      <c r="K75" s="7">
        <v>18.639925715305932</v>
      </c>
    </row>
    <row r="76" spans="1:11" x14ac:dyDescent="0.3">
      <c r="A76" s="8" t="s">
        <v>37</v>
      </c>
      <c r="B76" s="8"/>
      <c r="C76" s="9">
        <v>47</v>
      </c>
      <c r="D76" s="7">
        <v>55.946538000553744</v>
      </c>
      <c r="E76" s="7">
        <v>56.174555682976965</v>
      </c>
      <c r="F76" s="33">
        <v>40.855477206249184</v>
      </c>
      <c r="G76" s="33">
        <v>39.378813962037135</v>
      </c>
      <c r="H76" s="33">
        <v>40.530224889019195</v>
      </c>
      <c r="I76" s="33">
        <v>41.190285607184926</v>
      </c>
      <c r="J76" s="33">
        <v>39.189316153636874</v>
      </c>
      <c r="K76" s="33">
        <v>37.304499177389403</v>
      </c>
    </row>
    <row r="77" spans="1:11" x14ac:dyDescent="0.3">
      <c r="A77" s="34" t="s">
        <v>336</v>
      </c>
      <c r="B77" s="34"/>
      <c r="C77" s="65"/>
      <c r="D77" s="33">
        <v>35.767931241975646</v>
      </c>
      <c r="E77" s="33">
        <v>42.915148401044497</v>
      </c>
      <c r="F77" s="33">
        <v>36.564353089643262</v>
      </c>
      <c r="G77" s="33">
        <v>34.403322157449828</v>
      </c>
      <c r="H77" s="33">
        <v>36.160001810185321</v>
      </c>
      <c r="I77" s="33">
        <v>35.982097090261973</v>
      </c>
      <c r="J77" s="33">
        <v>35.599633879702623</v>
      </c>
      <c r="K77" s="33">
        <v>34.493709839195304</v>
      </c>
    </row>
    <row r="78" spans="1:11" x14ac:dyDescent="0.3">
      <c r="A78" t="s">
        <v>266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203</v>
      </c>
      <c r="D79" s="7">
        <v>8.695652173913043</v>
      </c>
      <c r="E79" s="7">
        <v>9.0398455327365284</v>
      </c>
      <c r="F79" s="33">
        <v>8.9255601059985548</v>
      </c>
      <c r="G79" s="33">
        <v>8.8579795021961925</v>
      </c>
      <c r="H79" s="33">
        <v>9.2450108199086323</v>
      </c>
      <c r="I79" s="33">
        <v>9.6144460712542692</v>
      </c>
      <c r="J79" s="33">
        <v>10.922217047042386</v>
      </c>
      <c r="K79" s="33">
        <v>10.322653429602889</v>
      </c>
    </row>
    <row r="80" spans="1:11" x14ac:dyDescent="0.3">
      <c r="A80">
        <v>9</v>
      </c>
      <c r="B80" t="s">
        <v>366</v>
      </c>
      <c r="D80" s="7">
        <v>19.055013309671693</v>
      </c>
      <c r="E80" s="7">
        <v>16.464806038265756</v>
      </c>
      <c r="F80" s="33">
        <v>16.646591182847509</v>
      </c>
      <c r="G80" s="33">
        <v>16.105417276720349</v>
      </c>
      <c r="H80" s="33">
        <v>17.059389276268334</v>
      </c>
      <c r="I80" s="33">
        <v>16.678867740361149</v>
      </c>
      <c r="J80" s="33">
        <v>16.604564508616676</v>
      </c>
      <c r="K80" s="33">
        <v>15.500902527075814</v>
      </c>
    </row>
    <row r="81" spans="1:11" x14ac:dyDescent="0.3">
      <c r="A81">
        <v>10</v>
      </c>
      <c r="B81" t="s">
        <v>204</v>
      </c>
      <c r="D81" s="7">
        <v>23.447204968944103</v>
      </c>
      <c r="E81" s="7">
        <v>28.365806564858698</v>
      </c>
      <c r="F81" s="33">
        <v>27.535533606359913</v>
      </c>
      <c r="G81" s="33">
        <v>29.270375793069785</v>
      </c>
      <c r="H81" s="33">
        <v>29.442173599422933</v>
      </c>
      <c r="I81" s="33">
        <v>23.926305514885307</v>
      </c>
      <c r="J81" s="33">
        <v>25.791802515137402</v>
      </c>
      <c r="K81" s="33">
        <v>27.673736462093864</v>
      </c>
    </row>
    <row r="82" spans="1:11" x14ac:dyDescent="0.3">
      <c r="A82">
        <v>12</v>
      </c>
      <c r="B82" t="s">
        <v>205</v>
      </c>
      <c r="D82" s="7">
        <v>13.84205856255546</v>
      </c>
      <c r="E82" s="7">
        <v>12.410040372125682</v>
      </c>
      <c r="F82" s="33">
        <v>12.695735967236811</v>
      </c>
      <c r="G82" s="33">
        <v>12.33528550512445</v>
      </c>
      <c r="H82" s="33">
        <v>12.707381582111083</v>
      </c>
      <c r="I82" s="33">
        <v>11.151781356759393</v>
      </c>
      <c r="J82" s="33">
        <v>12.144853283651608</v>
      </c>
      <c r="K82" s="33">
        <v>13.097924187725631</v>
      </c>
    </row>
    <row r="83" spans="1:11" x14ac:dyDescent="0.3">
      <c r="A83" t="s">
        <v>206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203</v>
      </c>
      <c r="D84" s="7">
        <v>70.62</v>
      </c>
      <c r="E84" s="7">
        <v>71.540000000000006</v>
      </c>
      <c r="F84" s="7">
        <v>70.03</v>
      </c>
      <c r="G84" s="7">
        <v>67.37</v>
      </c>
      <c r="H84" s="7">
        <v>65.493737253593594</v>
      </c>
      <c r="I84" s="7">
        <v>70.84610688108647</v>
      </c>
      <c r="J84" s="7">
        <v>65.68991982264491</v>
      </c>
      <c r="K84" s="7">
        <v>68.927678923737034</v>
      </c>
    </row>
    <row r="85" spans="1:11" x14ac:dyDescent="0.3">
      <c r="A85">
        <v>9</v>
      </c>
      <c r="B85" t="s">
        <v>366</v>
      </c>
      <c r="D85" s="7">
        <v>28.09</v>
      </c>
      <c r="E85" s="7">
        <v>88.23</v>
      </c>
      <c r="F85" s="7">
        <v>75.95</v>
      </c>
      <c r="G85" s="7">
        <v>74.73</v>
      </c>
      <c r="H85" s="7">
        <v>90.637902410405175</v>
      </c>
      <c r="I85" s="7">
        <v>89.163038698951496</v>
      </c>
      <c r="J85" s="7">
        <v>80.975245556135562</v>
      </c>
      <c r="K85" s="7">
        <v>81.116570278068835</v>
      </c>
    </row>
    <row r="86" spans="1:11" x14ac:dyDescent="0.3">
      <c r="A86">
        <v>10</v>
      </c>
      <c r="B86" t="s">
        <v>204</v>
      </c>
      <c r="D86" s="7">
        <v>63.09</v>
      </c>
      <c r="E86" s="7">
        <v>66.430000000000007</v>
      </c>
      <c r="F86" s="7">
        <v>58.11</v>
      </c>
      <c r="G86" s="7">
        <v>58.64</v>
      </c>
      <c r="H86" s="7">
        <v>59.933003340013158</v>
      </c>
      <c r="I86" s="7">
        <v>64.087453792971388</v>
      </c>
      <c r="J86" s="7">
        <v>57.095861823247006</v>
      </c>
      <c r="K86" s="7">
        <v>65.029558391985603</v>
      </c>
    </row>
    <row r="87" spans="1:11" x14ac:dyDescent="0.3">
      <c r="A87">
        <v>12</v>
      </c>
      <c r="B87" t="s">
        <v>205</v>
      </c>
      <c r="D87" s="7">
        <v>58.81</v>
      </c>
      <c r="E87" s="7">
        <v>59.99</v>
      </c>
      <c r="F87" s="7">
        <v>55.26</v>
      </c>
      <c r="G87" s="7">
        <v>56.73</v>
      </c>
      <c r="H87" s="7">
        <v>53.533804328530707</v>
      </c>
      <c r="I87" s="7">
        <v>53.641421840692438</v>
      </c>
      <c r="J87" s="7">
        <v>52.213559657315756</v>
      </c>
      <c r="K87" s="7">
        <v>56.335393032904136</v>
      </c>
    </row>
    <row r="88" spans="1:11" x14ac:dyDescent="0.3">
      <c r="B88" s="70" t="s">
        <v>304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109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127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157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166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A93" s="99" t="s">
        <v>352</v>
      </c>
      <c r="B93" s="99" t="s">
        <v>353</v>
      </c>
      <c r="D93" s="7"/>
      <c r="E93" s="7"/>
      <c r="F93" s="7"/>
      <c r="G93" s="7"/>
      <c r="H93" s="7"/>
      <c r="I93" s="7"/>
      <c r="J93" s="7"/>
      <c r="K93" s="7"/>
    </row>
    <row r="94" spans="1:11" x14ac:dyDescent="0.3">
      <c r="A94" s="99" t="s">
        <v>354</v>
      </c>
      <c r="B94" s="99" t="s">
        <v>355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B95" s="42" t="s">
        <v>301</v>
      </c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B117" s="42" t="s">
        <v>302</v>
      </c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B137" s="42" t="s">
        <v>157</v>
      </c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B158" s="42" t="s">
        <v>166</v>
      </c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D178" s="7"/>
      <c r="E178" s="7"/>
      <c r="F178" s="7"/>
      <c r="G178" s="7"/>
      <c r="H178" s="7"/>
      <c r="I178" s="7"/>
      <c r="J178" s="7"/>
      <c r="K178" s="7"/>
    </row>
    <row r="179" spans="2:11" x14ac:dyDescent="0.3">
      <c r="B179" s="42" t="s">
        <v>300</v>
      </c>
    </row>
    <row r="180" spans="2:11" x14ac:dyDescent="0.3">
      <c r="E180" s="34"/>
    </row>
    <row r="200" spans="2:2" x14ac:dyDescent="0.3">
      <c r="B200" s="42" t="s">
        <v>266</v>
      </c>
    </row>
    <row r="219" spans="2:2" x14ac:dyDescent="0.3">
      <c r="B219" s="42" t="s">
        <v>206</v>
      </c>
    </row>
  </sheetData>
  <mergeCells count="1">
    <mergeCell ref="A1:B1"/>
  </mergeCells>
  <conditionalFormatting sqref="D3">
    <cfRule type="cellIs" dxfId="82" priority="56" operator="greaterThan">
      <formula>$C3</formula>
    </cfRule>
  </conditionalFormatting>
  <conditionalFormatting sqref="D12">
    <cfRule type="cellIs" dxfId="81" priority="54" operator="lessThan">
      <formula>$C12</formula>
    </cfRule>
  </conditionalFormatting>
  <conditionalFormatting sqref="D15:G15 K15">
    <cfRule type="cellIs" dxfId="80" priority="52" operator="greaterThan">
      <formula>$C$15</formula>
    </cfRule>
  </conditionalFormatting>
  <conditionalFormatting sqref="E3:G3 K3">
    <cfRule type="cellIs" dxfId="79" priority="48" operator="greaterThan">
      <formula>$C3</formula>
    </cfRule>
  </conditionalFormatting>
  <conditionalFormatting sqref="D51:G51 K51">
    <cfRule type="cellIs" dxfId="78" priority="47" operator="greaterThan">
      <formula>$C51</formula>
    </cfRule>
  </conditionalFormatting>
  <conditionalFormatting sqref="D62:G62 K62">
    <cfRule type="cellIs" dxfId="77" priority="46" operator="greaterThan">
      <formula>$C62</formula>
    </cfRule>
  </conditionalFormatting>
  <conditionalFormatting sqref="D64:G64 K64">
    <cfRule type="cellIs" dxfId="76" priority="45" operator="greaterThan">
      <formula>$C64</formula>
    </cfRule>
  </conditionalFormatting>
  <conditionalFormatting sqref="E12:G12 K12">
    <cfRule type="cellIs" dxfId="75" priority="44" operator="lessThan">
      <formula>$C12</formula>
    </cfRule>
  </conditionalFormatting>
  <conditionalFormatting sqref="D76:E77">
    <cfRule type="cellIs" dxfId="74" priority="43" operator="lessThan">
      <formula>$C76</formula>
    </cfRule>
  </conditionalFormatting>
  <conditionalFormatting sqref="E76:G77 K76:K77">
    <cfRule type="cellIs" dxfId="73" priority="42" operator="lessThan">
      <formula>$C76</formula>
    </cfRule>
  </conditionalFormatting>
  <conditionalFormatting sqref="D65">
    <cfRule type="expression" dxfId="72" priority="41">
      <formula>$D65+$D66&gt;$C66</formula>
    </cfRule>
  </conditionalFormatting>
  <conditionalFormatting sqref="D66">
    <cfRule type="expression" dxfId="71" priority="40">
      <formula>$D65+$D66&gt;$C66</formula>
    </cfRule>
  </conditionalFormatting>
  <conditionalFormatting sqref="E65:G65 K65">
    <cfRule type="expression" dxfId="70" priority="39">
      <formula>$D65+$D66&gt;$C66</formula>
    </cfRule>
  </conditionalFormatting>
  <conditionalFormatting sqref="E66:G66 K66">
    <cfRule type="expression" dxfId="69" priority="38">
      <formula>$D65+$D66&gt;$C66</formula>
    </cfRule>
  </conditionalFormatting>
  <conditionalFormatting sqref="D65">
    <cfRule type="expression" dxfId="68" priority="37">
      <formula>D$65+D$66&gt;=$C$66</formula>
    </cfRule>
  </conditionalFormatting>
  <conditionalFormatting sqref="E65:G65 K65">
    <cfRule type="expression" dxfId="67" priority="36">
      <formula>E$65+E$66&gt;=$C$66</formula>
    </cfRule>
  </conditionalFormatting>
  <conditionalFormatting sqref="D66">
    <cfRule type="expression" dxfId="66" priority="35">
      <formula>D$65+D$66&gt;=$C$66</formula>
    </cfRule>
  </conditionalFormatting>
  <conditionalFormatting sqref="E66:G66 K66">
    <cfRule type="expression" dxfId="65" priority="34">
      <formula>E$65+E$66&gt;=$C$66</formula>
    </cfRule>
  </conditionalFormatting>
  <conditionalFormatting sqref="H15">
    <cfRule type="cellIs" dxfId="64" priority="33" operator="greaterThan">
      <formula>$C$15</formula>
    </cfRule>
  </conditionalFormatting>
  <conditionalFormatting sqref="H3">
    <cfRule type="cellIs" dxfId="63" priority="32" operator="greaterThan">
      <formula>$C3</formula>
    </cfRule>
  </conditionalFormatting>
  <conditionalFormatting sqref="H51">
    <cfRule type="cellIs" dxfId="62" priority="31" operator="greaterThan">
      <formula>$C51</formula>
    </cfRule>
  </conditionalFormatting>
  <conditionalFormatting sqref="H62">
    <cfRule type="cellIs" dxfId="61" priority="30" operator="greaterThan">
      <formula>$C62</formula>
    </cfRule>
  </conditionalFormatting>
  <conditionalFormatting sqref="H64">
    <cfRule type="cellIs" dxfId="60" priority="29" operator="greaterThan">
      <formula>$C64</formula>
    </cfRule>
  </conditionalFormatting>
  <conditionalFormatting sqref="H12">
    <cfRule type="cellIs" dxfId="59" priority="28" operator="lessThan">
      <formula>$C12</formula>
    </cfRule>
  </conditionalFormatting>
  <conditionalFormatting sqref="H76:H77">
    <cfRule type="cellIs" dxfId="58" priority="27" operator="lessThan">
      <formula>$C76</formula>
    </cfRule>
  </conditionalFormatting>
  <conditionalFormatting sqref="H65">
    <cfRule type="expression" dxfId="57" priority="26">
      <formula>$D65+$D66&gt;$C66</formula>
    </cfRule>
  </conditionalFormatting>
  <conditionalFormatting sqref="H66">
    <cfRule type="expression" dxfId="56" priority="25">
      <formula>$D65+$D66&gt;$C66</formula>
    </cfRule>
  </conditionalFormatting>
  <conditionalFormatting sqref="H65">
    <cfRule type="expression" dxfId="55" priority="24">
      <formula>H$65+H$66&gt;=$C$66</formula>
    </cfRule>
  </conditionalFormatting>
  <conditionalFormatting sqref="H66">
    <cfRule type="expression" dxfId="54" priority="23">
      <formula>H$65+H$66&gt;=$C$66</formula>
    </cfRule>
  </conditionalFormatting>
  <conditionalFormatting sqref="I15">
    <cfRule type="cellIs" dxfId="53" priority="22" operator="greaterThan">
      <formula>$C$15</formula>
    </cfRule>
  </conditionalFormatting>
  <conditionalFormatting sqref="I3">
    <cfRule type="cellIs" dxfId="52" priority="21" operator="greaterThan">
      <formula>$C3</formula>
    </cfRule>
  </conditionalFormatting>
  <conditionalFormatting sqref="I51">
    <cfRule type="cellIs" dxfId="51" priority="20" operator="greaterThan">
      <formula>$C51</formula>
    </cfRule>
  </conditionalFormatting>
  <conditionalFormatting sqref="I62">
    <cfRule type="cellIs" dxfId="50" priority="19" operator="greaterThan">
      <formula>$C62</formula>
    </cfRule>
  </conditionalFormatting>
  <conditionalFormatting sqref="I64">
    <cfRule type="cellIs" dxfId="49" priority="18" operator="greaterThan">
      <formula>$C64</formula>
    </cfRule>
  </conditionalFormatting>
  <conditionalFormatting sqref="I12">
    <cfRule type="cellIs" dxfId="48" priority="17" operator="lessThan">
      <formula>$C12</formula>
    </cfRule>
  </conditionalFormatting>
  <conditionalFormatting sqref="I76:I77">
    <cfRule type="cellIs" dxfId="47" priority="16" operator="lessThan">
      <formula>$C76</formula>
    </cfRule>
  </conditionalFormatting>
  <conditionalFormatting sqref="I65">
    <cfRule type="expression" dxfId="46" priority="15">
      <formula>$D65+$D66&gt;$C66</formula>
    </cfRule>
  </conditionalFormatting>
  <conditionalFormatting sqref="I66">
    <cfRule type="expression" dxfId="45" priority="14">
      <formula>$D65+$D66&gt;$C66</formula>
    </cfRule>
  </conditionalFormatting>
  <conditionalFormatting sqref="I65">
    <cfRule type="expression" dxfId="44" priority="13">
      <formula>I$65+I$66&gt;=$C$66</formula>
    </cfRule>
  </conditionalFormatting>
  <conditionalFormatting sqref="I66">
    <cfRule type="expression" dxfId="43" priority="12">
      <formula>I$65+I$66&gt;=$C$66</formula>
    </cfRule>
  </conditionalFormatting>
  <conditionalFormatting sqref="J15">
    <cfRule type="cellIs" dxfId="42" priority="11" operator="greaterThan">
      <formula>$C$15</formula>
    </cfRule>
  </conditionalFormatting>
  <conditionalFormatting sqref="J3">
    <cfRule type="cellIs" dxfId="41" priority="10" operator="greaterThan">
      <formula>$C3</formula>
    </cfRule>
  </conditionalFormatting>
  <conditionalFormatting sqref="J51">
    <cfRule type="cellIs" dxfId="40" priority="9" operator="greaterThan">
      <formula>$C51</formula>
    </cfRule>
  </conditionalFormatting>
  <conditionalFormatting sqref="J62">
    <cfRule type="cellIs" dxfId="39" priority="8" operator="greaterThan">
      <formula>$C62</formula>
    </cfRule>
  </conditionalFormatting>
  <conditionalFormatting sqref="J64">
    <cfRule type="cellIs" dxfId="38" priority="7" operator="greaterThan">
      <formula>$C64</formula>
    </cfRule>
  </conditionalFormatting>
  <conditionalFormatting sqref="J12">
    <cfRule type="cellIs" dxfId="37" priority="6" operator="lessThan">
      <formula>$C12</formula>
    </cfRule>
  </conditionalFormatting>
  <conditionalFormatting sqref="J76:J77">
    <cfRule type="cellIs" dxfId="36" priority="5" operator="lessThan">
      <formula>$C76</formula>
    </cfRule>
  </conditionalFormatting>
  <conditionalFormatting sqref="J65">
    <cfRule type="expression" dxfId="35" priority="4">
      <formula>$D65+$D66&gt;$C66</formula>
    </cfRule>
  </conditionalFormatting>
  <conditionalFormatting sqref="J66">
    <cfRule type="expression" dxfId="34" priority="3">
      <formula>$D65+$D66&gt;$C66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sqref="A1:L9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6" t="s">
        <v>309</v>
      </c>
      <c r="B1" s="76" t="s">
        <v>310</v>
      </c>
      <c r="C1" s="76" t="s">
        <v>320</v>
      </c>
      <c r="D1" s="45" t="s">
        <v>209</v>
      </c>
      <c r="E1" s="45">
        <v>2016</v>
      </c>
      <c r="F1" s="45">
        <v>2017</v>
      </c>
      <c r="G1" s="45">
        <v>2018</v>
      </c>
      <c r="H1" s="45">
        <v>2019</v>
      </c>
      <c r="I1" s="45">
        <v>2020</v>
      </c>
      <c r="J1" s="45">
        <v>2021</v>
      </c>
      <c r="K1" s="45">
        <v>2022</v>
      </c>
      <c r="L1" s="45">
        <v>2023</v>
      </c>
    </row>
    <row r="2" spans="1:12" ht="29.25" customHeight="1" x14ac:dyDescent="0.3">
      <c r="A2" s="77" t="s">
        <v>311</v>
      </c>
      <c r="B2" s="77" t="s">
        <v>78</v>
      </c>
      <c r="C2" s="79" t="s">
        <v>319</v>
      </c>
      <c r="D2" s="89" t="s">
        <v>326</v>
      </c>
      <c r="E2" s="84">
        <f>Piano_indicatori!D3</f>
        <v>28.607775632027668</v>
      </c>
      <c r="F2" s="84">
        <f>Piano_indicatori!E3</f>
        <v>27.680845667826876</v>
      </c>
      <c r="G2" s="84">
        <f>Piano_indicatori!F3</f>
        <v>30.318242536734701</v>
      </c>
      <c r="H2" s="84">
        <f>Piano_indicatori!G3</f>
        <v>27.359090798862713</v>
      </c>
      <c r="I2" s="84">
        <f>Piano_indicatori!H3</f>
        <v>27.590743382896029</v>
      </c>
      <c r="J2" s="84">
        <f>Piano_indicatori!I3</f>
        <v>29.061925243359589</v>
      </c>
      <c r="K2" s="84">
        <f>Piano_indicatori!J3</f>
        <v>28.703762324010206</v>
      </c>
      <c r="L2" s="84">
        <f>Piano_indicatori!K3</f>
        <v>26.277586990304499</v>
      </c>
    </row>
    <row r="3" spans="1:12" ht="29.25" customHeight="1" x14ac:dyDescent="0.3">
      <c r="A3" s="78" t="s">
        <v>312</v>
      </c>
      <c r="B3" s="78" t="s">
        <v>94</v>
      </c>
      <c r="C3" s="80" t="s">
        <v>95</v>
      </c>
      <c r="D3" s="90" t="s">
        <v>327</v>
      </c>
      <c r="E3" s="85">
        <f>Piano_indicatori!D12</f>
        <v>45.69</v>
      </c>
      <c r="F3" s="85">
        <f>Piano_indicatori!E12</f>
        <v>56.89</v>
      </c>
      <c r="G3" s="85">
        <f>Piano_indicatori!F12</f>
        <v>42.47</v>
      </c>
      <c r="H3" s="85">
        <f>Piano_indicatori!G12</f>
        <v>36.119999999999997</v>
      </c>
      <c r="I3" s="85">
        <f>Piano_indicatori!H12</f>
        <v>24.04</v>
      </c>
      <c r="J3" s="85">
        <f>Piano_indicatori!I12</f>
        <v>45.47</v>
      </c>
      <c r="K3" s="85">
        <f>Piano_indicatori!J12</f>
        <v>46.92</v>
      </c>
      <c r="L3" s="85">
        <f>Piano_indicatori!K12</f>
        <v>48.87</v>
      </c>
    </row>
    <row r="4" spans="1:12" ht="29.25" customHeight="1" x14ac:dyDescent="0.3">
      <c r="A4" s="77" t="s">
        <v>313</v>
      </c>
      <c r="B4" s="77" t="s">
        <v>99</v>
      </c>
      <c r="C4" s="81" t="s">
        <v>322</v>
      </c>
      <c r="D4" s="89" t="s">
        <v>328</v>
      </c>
      <c r="E4" s="86">
        <f>Piano_indicatori!D15</f>
        <v>0</v>
      </c>
      <c r="F4" s="86">
        <f>Piano_indicatori!E15</f>
        <v>0</v>
      </c>
      <c r="G4" s="86">
        <f>Piano_indicatori!F15</f>
        <v>0</v>
      </c>
      <c r="H4" s="86">
        <f>Piano_indicatori!G15</f>
        <v>0</v>
      </c>
      <c r="I4" s="86">
        <f>Piano_indicatori!H15</f>
        <v>0</v>
      </c>
      <c r="J4" s="86">
        <f>Piano_indicatori!I15</f>
        <v>0</v>
      </c>
      <c r="K4" s="86">
        <f>Piano_indicatori!J15</f>
        <v>0</v>
      </c>
      <c r="L4" s="86">
        <f>Piano_indicatori!K15</f>
        <v>0</v>
      </c>
    </row>
    <row r="5" spans="1:12" ht="29.25" customHeight="1" x14ac:dyDescent="0.3">
      <c r="A5" s="78" t="s">
        <v>314</v>
      </c>
      <c r="B5" s="78" t="s">
        <v>163</v>
      </c>
      <c r="C5" s="82" t="s">
        <v>323</v>
      </c>
      <c r="D5" s="91" t="s">
        <v>329</v>
      </c>
      <c r="E5" s="87">
        <f>Piano_indicatori!D51</f>
        <v>1.72</v>
      </c>
      <c r="F5" s="87">
        <f>Piano_indicatori!E51</f>
        <v>1.48</v>
      </c>
      <c r="G5" s="87">
        <f>Piano_indicatori!F51</f>
        <v>1.28</v>
      </c>
      <c r="H5" s="87">
        <f>Piano_indicatori!G51</f>
        <v>1.37</v>
      </c>
      <c r="I5" s="87">
        <f>Piano_indicatori!H51</f>
        <v>0.84</v>
      </c>
      <c r="J5" s="87">
        <f>Piano_indicatori!I51</f>
        <v>2.83</v>
      </c>
      <c r="K5" s="87">
        <f>Piano_indicatori!J51</f>
        <v>1.49</v>
      </c>
      <c r="L5" s="87">
        <f>Piano_indicatori!K51</f>
        <v>1.39</v>
      </c>
    </row>
    <row r="6" spans="1:12" ht="29.25" customHeight="1" x14ac:dyDescent="0.3">
      <c r="A6" s="77" t="s">
        <v>315</v>
      </c>
      <c r="B6" s="77" t="s">
        <v>183</v>
      </c>
      <c r="C6" s="93" t="s">
        <v>184</v>
      </c>
      <c r="D6" s="92" t="s">
        <v>330</v>
      </c>
      <c r="E6" s="106">
        <f>Piano_indicatori!D62</f>
        <v>0.6</v>
      </c>
      <c r="F6" s="106">
        <f>Piano_indicatori!E62</f>
        <v>0.6</v>
      </c>
      <c r="G6" s="106">
        <f>Piano_indicatori!F62</f>
        <v>0.59</v>
      </c>
      <c r="H6" s="106">
        <f>Piano_indicatori!G62</f>
        <v>0.56000000000000005</v>
      </c>
      <c r="I6" s="106">
        <f>Piano_indicatori!H62</f>
        <v>0.56000000000000005</v>
      </c>
      <c r="J6" s="106">
        <f>Piano_indicatori!I62</f>
        <v>0.54</v>
      </c>
      <c r="K6" s="106">
        <f>Piano_indicatori!J62</f>
        <v>0.54</v>
      </c>
      <c r="L6" s="106">
        <f>Piano_indicatori!K62</f>
        <v>0.51</v>
      </c>
    </row>
    <row r="7" spans="1:12" ht="29.25" customHeight="1" x14ac:dyDescent="0.3">
      <c r="A7" s="78" t="s">
        <v>316</v>
      </c>
      <c r="B7" s="78" t="s">
        <v>186</v>
      </c>
      <c r="C7" s="82" t="s">
        <v>187</v>
      </c>
      <c r="D7" s="90" t="s">
        <v>331</v>
      </c>
      <c r="E7" s="104">
        <f>Piano_indicatori!D64</f>
        <v>2.69</v>
      </c>
      <c r="F7" s="104">
        <f>Piano_indicatori!E64</f>
        <v>0.56000000000000005</v>
      </c>
      <c r="G7" s="104">
        <f>Piano_indicatori!F64</f>
        <v>0.83</v>
      </c>
      <c r="H7" s="104">
        <f>Piano_indicatori!G64</f>
        <v>0.2</v>
      </c>
      <c r="I7" s="104">
        <f>Piano_indicatori!H64</f>
        <v>1.7</v>
      </c>
      <c r="J7" s="104">
        <f>Piano_indicatori!I64</f>
        <v>0.14000000000000001</v>
      </c>
      <c r="K7" s="104">
        <f>Piano_indicatori!J64</f>
        <v>0.79</v>
      </c>
      <c r="L7" s="104">
        <f>Piano_indicatori!K64</f>
        <v>1.83</v>
      </c>
    </row>
    <row r="8" spans="1:12" ht="29.25" customHeight="1" x14ac:dyDescent="0.3">
      <c r="A8" s="77" t="s">
        <v>317</v>
      </c>
      <c r="B8" s="77" t="s">
        <v>321</v>
      </c>
      <c r="C8" s="81" t="s">
        <v>324</v>
      </c>
      <c r="D8" s="89" t="s">
        <v>332</v>
      </c>
      <c r="E8" s="105">
        <f>Piano_indicatori!D65+Piano_indicatori!D66</f>
        <v>2.4300000000000002</v>
      </c>
      <c r="F8" s="105">
        <f>Piano_indicatori!E65+Piano_indicatori!E66</f>
        <v>3.94</v>
      </c>
      <c r="G8" s="105">
        <f>Piano_indicatori!F65+Piano_indicatori!F66</f>
        <v>3.81</v>
      </c>
      <c r="H8" s="105">
        <f>Piano_indicatori!G65+Piano_indicatori!G66</f>
        <v>7.98</v>
      </c>
      <c r="I8" s="105">
        <f>Piano_indicatori!H65+Piano_indicatori!H66</f>
        <v>2.91</v>
      </c>
      <c r="J8" s="105">
        <f>Piano_indicatori!I65+Piano_indicatori!I66</f>
        <v>1.75</v>
      </c>
      <c r="K8" s="105">
        <f>Piano_indicatori!J65+Piano_indicatori!J66</f>
        <v>1.7</v>
      </c>
      <c r="L8" s="105">
        <f>Piano_indicatori!K65+Piano_indicatori!K66</f>
        <v>0.89</v>
      </c>
    </row>
    <row r="9" spans="1:12" ht="29.25" customHeight="1" x14ac:dyDescent="0.3">
      <c r="A9" s="78" t="s">
        <v>318</v>
      </c>
      <c r="B9" s="78"/>
      <c r="C9" s="83" t="s">
        <v>325</v>
      </c>
      <c r="D9" s="91" t="s">
        <v>333</v>
      </c>
      <c r="E9" s="88">
        <f>Piano_indicatori!D76</f>
        <v>55.946538000553744</v>
      </c>
      <c r="F9" s="88">
        <f>Piano_indicatori!E76</f>
        <v>56.174555682976965</v>
      </c>
      <c r="G9" s="88">
        <f>Piano_indicatori!F76</f>
        <v>40.855477206249184</v>
      </c>
      <c r="H9" s="88">
        <f>Piano_indicatori!G76</f>
        <v>39.378813962037135</v>
      </c>
      <c r="I9" s="88">
        <f>Piano_indicatori!H76</f>
        <v>40.530224889019195</v>
      </c>
      <c r="J9" s="88">
        <f>Piano_indicatori!I76</f>
        <v>41.190285607184926</v>
      </c>
      <c r="K9" s="88">
        <f>Piano_indicatori!J76</f>
        <v>39.189316153636874</v>
      </c>
      <c r="L9" s="88">
        <f>Piano_indicatori!K76</f>
        <v>37.304499177389403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3" max="3" width="9.109375" bestFit="1" customWidth="1"/>
    <col min="5" max="5" width="10.109375" customWidth="1"/>
    <col min="6" max="6" width="10" customWidth="1"/>
    <col min="11" max="11" width="10.109375" bestFit="1" customWidth="1"/>
  </cols>
  <sheetData>
    <row r="1" spans="1:18" ht="43.2" x14ac:dyDescent="0.3">
      <c r="A1" s="100" t="s">
        <v>334</v>
      </c>
      <c r="B1" s="100" t="s">
        <v>335</v>
      </c>
      <c r="C1" s="100" t="s">
        <v>356</v>
      </c>
      <c r="D1" s="100" t="s">
        <v>357</v>
      </c>
      <c r="E1" s="100" t="s">
        <v>358</v>
      </c>
      <c r="F1" s="100" t="s">
        <v>372</v>
      </c>
      <c r="G1" s="100" t="s">
        <v>359</v>
      </c>
    </row>
    <row r="2" spans="1:18" x14ac:dyDescent="0.3">
      <c r="A2">
        <v>2024</v>
      </c>
      <c r="B2" s="1">
        <v>2754719</v>
      </c>
      <c r="C2" s="1">
        <v>4230292</v>
      </c>
    </row>
    <row r="3" spans="1:18" x14ac:dyDescent="0.3">
      <c r="A3">
        <v>2023</v>
      </c>
      <c r="B3" s="1">
        <v>2755309</v>
      </c>
      <c r="C3" s="1">
        <v>4227059</v>
      </c>
      <c r="D3" s="1">
        <v>-12899</v>
      </c>
      <c r="E3" s="1">
        <f>-1429+13738</f>
        <v>12309</v>
      </c>
      <c r="G3" s="1">
        <f t="shared" ref="G3:G4" si="0">B2-B3-D3-E3-F3</f>
        <v>0</v>
      </c>
    </row>
    <row r="4" spans="1:18" x14ac:dyDescent="0.3">
      <c r="A4">
        <v>2022</v>
      </c>
      <c r="B4" s="1">
        <v>2749031</v>
      </c>
      <c r="C4" s="1">
        <v>4216874</v>
      </c>
      <c r="D4" s="1">
        <v>-12950</v>
      </c>
      <c r="E4" s="1">
        <f>945+14978</f>
        <v>15923</v>
      </c>
      <c r="F4" s="1">
        <v>3305</v>
      </c>
      <c r="G4" s="1">
        <f t="shared" si="0"/>
        <v>0</v>
      </c>
    </row>
    <row r="5" spans="1:18" x14ac:dyDescent="0.3">
      <c r="A5">
        <v>2021</v>
      </c>
      <c r="B5" s="1">
        <v>2770226</v>
      </c>
      <c r="C5" s="1">
        <v>4231451</v>
      </c>
      <c r="D5" s="1">
        <v>-12952</v>
      </c>
      <c r="E5" s="1">
        <v>52</v>
      </c>
      <c r="F5" s="1">
        <v>-8295</v>
      </c>
      <c r="G5" s="1">
        <f t="shared" ref="G5:G11" si="1">B4-B5-D5-E5-F5</f>
        <v>0</v>
      </c>
    </row>
    <row r="6" spans="1:18" x14ac:dyDescent="0.3">
      <c r="A6">
        <v>2020</v>
      </c>
      <c r="B6" s="1">
        <v>2808293</v>
      </c>
      <c r="C6" s="1">
        <v>4253314</v>
      </c>
      <c r="D6" s="1">
        <v>-12387</v>
      </c>
      <c r="E6" s="1">
        <v>-16789</v>
      </c>
      <c r="F6" s="1">
        <v>-8891</v>
      </c>
      <c r="G6" s="1">
        <f t="shared" si="1"/>
        <v>0</v>
      </c>
    </row>
    <row r="7" spans="1:18" x14ac:dyDescent="0.3">
      <c r="A7">
        <v>2019</v>
      </c>
      <c r="B7" s="1">
        <v>2820219</v>
      </c>
      <c r="C7" s="1">
        <v>4263542</v>
      </c>
      <c r="D7" s="1">
        <v>-9203</v>
      </c>
      <c r="E7" s="1">
        <v>-4691</v>
      </c>
      <c r="F7" s="1">
        <v>1968</v>
      </c>
      <c r="G7" s="1">
        <f t="shared" si="1"/>
        <v>0</v>
      </c>
      <c r="I7" s="1"/>
      <c r="J7" s="1"/>
      <c r="K7" s="1"/>
    </row>
    <row r="8" spans="1:18" x14ac:dyDescent="0.3">
      <c r="A8">
        <v>2018</v>
      </c>
      <c r="B8" s="1">
        <v>2815541</v>
      </c>
      <c r="C8" s="1">
        <v>4259443</v>
      </c>
      <c r="D8" s="1">
        <v>-8276</v>
      </c>
      <c r="E8" s="1">
        <v>12954</v>
      </c>
      <c r="F8" s="1"/>
      <c r="G8" s="1">
        <f t="shared" si="1"/>
        <v>0</v>
      </c>
      <c r="I8" s="110"/>
      <c r="J8" s="111"/>
      <c r="K8" s="111"/>
      <c r="L8" s="111"/>
      <c r="M8" s="111"/>
      <c r="N8" s="111"/>
      <c r="O8" s="111"/>
      <c r="P8" s="111"/>
      <c r="Q8" s="111"/>
      <c r="R8" s="111"/>
    </row>
    <row r="9" spans="1:18" x14ac:dyDescent="0.3">
      <c r="A9">
        <v>2017</v>
      </c>
      <c r="B9" s="1">
        <v>2810118</v>
      </c>
      <c r="C9" s="1">
        <v>4254033</v>
      </c>
      <c r="D9" s="1">
        <v>-8200</v>
      </c>
      <c r="E9" s="1">
        <v>13623</v>
      </c>
      <c r="F9" s="1"/>
      <c r="G9" s="1">
        <f t="shared" si="1"/>
        <v>0</v>
      </c>
      <c r="I9" s="110"/>
      <c r="J9" s="111"/>
      <c r="K9" s="111"/>
      <c r="L9" s="111"/>
      <c r="M9" s="111"/>
      <c r="N9" s="111"/>
      <c r="O9" s="111"/>
      <c r="P9" s="111"/>
      <c r="Q9" s="111"/>
      <c r="R9" s="111"/>
    </row>
    <row r="10" spans="1:18" x14ac:dyDescent="0.3">
      <c r="A10">
        <v>2016</v>
      </c>
      <c r="B10" s="1">
        <v>2794353</v>
      </c>
      <c r="C10" s="1">
        <v>4236445</v>
      </c>
      <c r="D10" s="1">
        <v>-5014</v>
      </c>
      <c r="E10" s="1">
        <v>20779</v>
      </c>
      <c r="F10" s="1"/>
      <c r="G10" s="1">
        <f t="shared" si="1"/>
        <v>0</v>
      </c>
      <c r="I10" s="110"/>
      <c r="J10" s="111"/>
      <c r="K10" s="111"/>
      <c r="L10" s="111"/>
      <c r="M10" s="111"/>
      <c r="N10" s="111"/>
      <c r="O10" s="111"/>
      <c r="P10" s="111"/>
      <c r="Q10" s="111"/>
      <c r="R10" s="111"/>
    </row>
    <row r="11" spans="1:18" x14ac:dyDescent="0.3">
      <c r="A11">
        <v>2015</v>
      </c>
      <c r="B11" s="1">
        <v>2776835</v>
      </c>
      <c r="C11" s="1">
        <v>4216217</v>
      </c>
      <c r="D11" s="1">
        <v>-5326</v>
      </c>
      <c r="E11" s="1">
        <v>22844</v>
      </c>
      <c r="F11" s="1"/>
      <c r="G11" s="1">
        <f t="shared" si="1"/>
        <v>0</v>
      </c>
      <c r="I11" s="110"/>
      <c r="J11" s="111"/>
      <c r="K11" s="111"/>
      <c r="L11" s="111"/>
      <c r="M11" s="111"/>
      <c r="N11" s="111"/>
      <c r="O11" s="111"/>
      <c r="P11" s="111"/>
      <c r="Q11" s="111"/>
      <c r="R11" s="111"/>
    </row>
    <row r="31" spans="2:6" x14ac:dyDescent="0.3">
      <c r="B31" s="112"/>
      <c r="C31" s="110"/>
      <c r="D31" s="110"/>
      <c r="E31" s="110"/>
    </row>
    <row r="32" spans="2:6" x14ac:dyDescent="0.3">
      <c r="B32" s="112"/>
      <c r="C32" s="110"/>
      <c r="D32" s="110"/>
      <c r="E32" s="110"/>
      <c r="F32" s="110"/>
    </row>
    <row r="33" spans="2:6" x14ac:dyDescent="0.3">
      <c r="B33" s="112"/>
      <c r="C33" s="110"/>
      <c r="D33" s="110"/>
      <c r="E33" s="110"/>
      <c r="F33" s="110"/>
    </row>
    <row r="34" spans="2:6" x14ac:dyDescent="0.3">
      <c r="B34" s="112"/>
      <c r="C34" s="110"/>
      <c r="D34" s="110"/>
      <c r="E34" s="110"/>
      <c r="F34" s="110"/>
    </row>
    <row r="35" spans="2:6" x14ac:dyDescent="0.3">
      <c r="B35" s="112"/>
      <c r="C35" s="110"/>
      <c r="D35" s="110"/>
      <c r="E35" s="110"/>
      <c r="F35" s="110"/>
    </row>
    <row r="36" spans="2:6" x14ac:dyDescent="0.3">
      <c r="B36" s="112"/>
      <c r="C36" s="110"/>
      <c r="D36" s="110"/>
      <c r="E36" s="110"/>
      <c r="F36" s="110"/>
    </row>
    <row r="37" spans="2:6" x14ac:dyDescent="0.3">
      <c r="B37" s="112"/>
      <c r="C37" s="110"/>
      <c r="D37" s="110"/>
      <c r="E37" s="110"/>
      <c r="F37" s="110"/>
    </row>
    <row r="38" spans="2:6" x14ac:dyDescent="0.3">
      <c r="B38" s="112"/>
      <c r="C38" s="110"/>
      <c r="D38" s="110"/>
      <c r="E38" s="110"/>
      <c r="F38" s="110"/>
    </row>
    <row r="39" spans="2:6" x14ac:dyDescent="0.3">
      <c r="B39" s="112"/>
      <c r="C39" s="110"/>
      <c r="D39" s="110"/>
      <c r="E39" s="110"/>
      <c r="F39" s="110"/>
    </row>
    <row r="40" spans="2:6" x14ac:dyDescent="0.3">
      <c r="F40" s="110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C1" workbookViewId="0">
      <selection activeCell="K1" sqref="K1:K21"/>
    </sheetView>
  </sheetViews>
  <sheetFormatPr defaultRowHeight="14.4" x14ac:dyDescent="0.3"/>
  <cols>
    <col min="1" max="1" width="55.6640625" bestFit="1" customWidth="1"/>
    <col min="2" max="2" width="15.109375" bestFit="1" customWidth="1"/>
    <col min="3" max="9" width="14.109375" bestFit="1" customWidth="1"/>
    <col min="10" max="10" width="8.44140625" customWidth="1"/>
    <col min="11" max="11" width="8.44140625" bestFit="1" customWidth="1"/>
    <col min="12" max="12" width="13.88671875" customWidth="1"/>
    <col min="13" max="13" width="7" bestFit="1" customWidth="1"/>
  </cols>
  <sheetData>
    <row r="1" spans="1:13" ht="28.8" x14ac:dyDescent="0.3">
      <c r="A1" s="44"/>
      <c r="B1" s="45">
        <v>2016</v>
      </c>
      <c r="C1" s="45">
        <v>2017</v>
      </c>
      <c r="D1" s="45">
        <v>2018</v>
      </c>
      <c r="E1" s="45">
        <v>2019</v>
      </c>
      <c r="F1" s="45">
        <v>2020</v>
      </c>
      <c r="G1" s="45">
        <v>2021</v>
      </c>
      <c r="H1" s="45">
        <v>2022</v>
      </c>
      <c r="I1" s="45">
        <v>2023</v>
      </c>
      <c r="J1" s="57" t="s">
        <v>295</v>
      </c>
      <c r="K1" s="45" t="s">
        <v>231</v>
      </c>
      <c r="L1" s="57" t="s">
        <v>393</v>
      </c>
      <c r="M1" s="45" t="s">
        <v>267</v>
      </c>
    </row>
    <row r="2" spans="1:13" x14ac:dyDescent="0.3">
      <c r="A2" s="58" t="s">
        <v>20</v>
      </c>
      <c r="B2" s="59">
        <f>Entrate_Uscite!B3</f>
        <v>2772436147.48</v>
      </c>
      <c r="C2" s="59">
        <f>Entrate_Uscite!E3</f>
        <v>2796178123.3400002</v>
      </c>
      <c r="D2" s="59">
        <f>Entrate_Uscite!H3</f>
        <v>2947094507.8400002</v>
      </c>
      <c r="E2" s="59">
        <f>Entrate_Uscite!K3</f>
        <v>2979705595.4000001</v>
      </c>
      <c r="F2" s="59">
        <f>Entrate_Uscite!N3</f>
        <v>2777657313.6700001</v>
      </c>
      <c r="G2" s="59">
        <f>Entrate_Uscite!Q3</f>
        <v>2912214656.52</v>
      </c>
      <c r="H2" s="59">
        <f>Entrate_Uscite!T3</f>
        <v>3013833473.5</v>
      </c>
      <c r="I2" s="59">
        <f>Entrate_Uscite!W3</f>
        <v>3199967398.3899999</v>
      </c>
      <c r="J2" s="59">
        <f t="shared" ref="J2:J18" si="0">I2/I$21*100</f>
        <v>50.326798163899468</v>
      </c>
      <c r="K2" s="60">
        <f>IF(H2&gt;0,I2/H2*100-100,"-")</f>
        <v>6.1759857180775413</v>
      </c>
      <c r="L2" s="59">
        <f>Entrate_Uscite!X3</f>
        <v>2241951209.0900002</v>
      </c>
      <c r="M2" s="61">
        <f t="shared" ref="M2:M21" si="1">IF(I2&gt;0,L2/I2*100,"-")</f>
        <v>70.061689072769724</v>
      </c>
    </row>
    <row r="3" spans="1:13" x14ac:dyDescent="0.3">
      <c r="A3" s="58" t="s">
        <v>21</v>
      </c>
      <c r="B3" s="59">
        <f>Entrate_Uscite!B4</f>
        <v>1011848852.45</v>
      </c>
      <c r="C3" s="59">
        <f>Entrate_Uscite!E4</f>
        <v>1023412624.8</v>
      </c>
      <c r="D3" s="59">
        <f>Entrate_Uscite!H4</f>
        <v>953331440.17999995</v>
      </c>
      <c r="E3" s="59">
        <f>Entrate_Uscite!K4</f>
        <v>1029043567.12</v>
      </c>
      <c r="F3" s="59">
        <f>Entrate_Uscite!N4</f>
        <v>1506620060.03</v>
      </c>
      <c r="G3" s="59">
        <f>Entrate_Uscite!Q4</f>
        <v>1413417631.3099999</v>
      </c>
      <c r="H3" s="59">
        <f>Entrate_Uscite!T4</f>
        <v>1231644808.79</v>
      </c>
      <c r="I3" s="59">
        <f>Entrate_Uscite!W4</f>
        <v>1198557038.4300001</v>
      </c>
      <c r="J3" s="59">
        <f t="shared" si="0"/>
        <v>18.850047719653737</v>
      </c>
      <c r="K3" s="60">
        <f t="shared" ref="K3:K21" si="2">IF(H3&gt;0,I3/H3*100-100,"-")</f>
        <v>-2.6864701676862666</v>
      </c>
      <c r="L3" s="59">
        <f>Entrate_Uscite!X4</f>
        <v>1028290049.9400001</v>
      </c>
      <c r="M3" s="61">
        <f t="shared" si="1"/>
        <v>85.794002034894049</v>
      </c>
    </row>
    <row r="4" spans="1:13" x14ac:dyDescent="0.3">
      <c r="A4" s="58" t="s">
        <v>22</v>
      </c>
      <c r="B4" s="59">
        <f>Entrate_Uscite!B5</f>
        <v>968820143.74000001</v>
      </c>
      <c r="C4" s="59">
        <f>Entrate_Uscite!E5</f>
        <v>1242616607.3299999</v>
      </c>
      <c r="D4" s="59">
        <f>Entrate_Uscite!H5</f>
        <v>944250647.89999998</v>
      </c>
      <c r="E4" s="59">
        <f>Entrate_Uscite!K5</f>
        <v>1068564619.0700001</v>
      </c>
      <c r="F4" s="59">
        <f>Entrate_Uscite!N5</f>
        <v>752562852.77999997</v>
      </c>
      <c r="G4" s="59">
        <f>Entrate_Uscite!Q5</f>
        <v>907332442.38</v>
      </c>
      <c r="H4" s="59">
        <f>Entrate_Uscite!T5</f>
        <v>1012473791.5700001</v>
      </c>
      <c r="I4" s="59">
        <f>Entrate_Uscite!W5</f>
        <v>1207505648.5999999</v>
      </c>
      <c r="J4" s="59">
        <f t="shared" si="0"/>
        <v>18.990785059071502</v>
      </c>
      <c r="K4" s="60">
        <f t="shared" si="2"/>
        <v>19.262904250348271</v>
      </c>
      <c r="L4" s="59">
        <f>Entrate_Uscite!X5</f>
        <v>624510855.58000004</v>
      </c>
      <c r="M4" s="61">
        <f t="shared" si="1"/>
        <v>51.71908357563936</v>
      </c>
    </row>
    <row r="5" spans="1:13" x14ac:dyDescent="0.3">
      <c r="A5" s="4" t="s">
        <v>31</v>
      </c>
      <c r="B5" s="46">
        <f>SUM(B2:B4)</f>
        <v>4753105143.6700001</v>
      </c>
      <c r="C5" s="46">
        <f>SUM(C2:C4)</f>
        <v>5062207355.4700003</v>
      </c>
      <c r="D5" s="46">
        <f>SUM(D2:D4)</f>
        <v>4844676595.9200001</v>
      </c>
      <c r="E5" s="46">
        <f t="shared" ref="E5:I5" si="3">SUM(E2:E4)</f>
        <v>5077313781.5900002</v>
      </c>
      <c r="F5" s="46">
        <f t="shared" si="3"/>
        <v>5036840226.4799995</v>
      </c>
      <c r="G5" s="46">
        <f t="shared" ref="G5:H5" si="4">SUM(G2:G4)</f>
        <v>5232964730.21</v>
      </c>
      <c r="H5" s="46">
        <f t="shared" si="4"/>
        <v>5257952073.8599997</v>
      </c>
      <c r="I5" s="46">
        <f t="shared" si="3"/>
        <v>5606030085.4200001</v>
      </c>
      <c r="J5" s="46">
        <f t="shared" si="0"/>
        <v>88.167630942624712</v>
      </c>
      <c r="K5" s="47">
        <f t="shared" si="2"/>
        <v>6.6200301309415863</v>
      </c>
      <c r="L5" s="46">
        <f>SUM(L2:L4)</f>
        <v>3894752114.6100001</v>
      </c>
      <c r="M5" s="48">
        <f t="shared" si="1"/>
        <v>69.474334872717819</v>
      </c>
    </row>
    <row r="6" spans="1:13" x14ac:dyDescent="0.3">
      <c r="A6" s="58" t="s">
        <v>23</v>
      </c>
      <c r="B6" s="59">
        <f>Entrate_Uscite!B6</f>
        <v>19620957.43</v>
      </c>
      <c r="C6" s="59">
        <f>Entrate_Uscite!E6</f>
        <v>12017925.01</v>
      </c>
      <c r="D6" s="59">
        <f>Entrate_Uscite!H6</f>
        <v>14998641.369999999</v>
      </c>
      <c r="E6" s="59">
        <f>Entrate_Uscite!K6</f>
        <v>8775551.4900000002</v>
      </c>
      <c r="F6" s="59">
        <f>Entrate_Uscite!N6</f>
        <v>4762592.42</v>
      </c>
      <c r="G6" s="59">
        <f>Entrate_Uscite!Q6</f>
        <v>5939601.9900000002</v>
      </c>
      <c r="H6" s="59">
        <f>Entrate_Uscite!T6</f>
        <v>5173469.7699999996</v>
      </c>
      <c r="I6" s="59">
        <f>Entrate_Uscite!W6</f>
        <v>6537066.6799999997</v>
      </c>
      <c r="J6" s="59">
        <f t="shared" si="0"/>
        <v>0.10281030849059181</v>
      </c>
      <c r="K6" s="60">
        <f t="shared" si="2"/>
        <v>26.357492565381307</v>
      </c>
      <c r="L6" s="59">
        <f>Entrate_Uscite!X6</f>
        <v>6277783.6500000004</v>
      </c>
      <c r="M6" s="61">
        <f t="shared" si="1"/>
        <v>96.033648688435903</v>
      </c>
    </row>
    <row r="7" spans="1:13" x14ac:dyDescent="0.3">
      <c r="A7" s="58" t="s">
        <v>24</v>
      </c>
      <c r="B7" s="59">
        <f>Entrate_Uscite!B7</f>
        <v>123250426.78</v>
      </c>
      <c r="C7" s="59">
        <f>Entrate_Uscite!E7</f>
        <v>138214456.50999999</v>
      </c>
      <c r="D7" s="59">
        <f>Entrate_Uscite!H7</f>
        <v>17109240.289999999</v>
      </c>
      <c r="E7" s="59">
        <f>Entrate_Uscite!K7</f>
        <v>135551927.90000001</v>
      </c>
      <c r="F7" s="59">
        <f>Entrate_Uscite!N7</f>
        <v>94557079.049999997</v>
      </c>
      <c r="G7" s="59">
        <f>Entrate_Uscite!Q7</f>
        <v>113133016.81</v>
      </c>
      <c r="H7" s="59">
        <f>Entrate_Uscite!T7</f>
        <v>181483614.61000001</v>
      </c>
      <c r="I7" s="59">
        <f>Entrate_Uscite!W7</f>
        <v>365230545.31</v>
      </c>
      <c r="J7" s="59">
        <f t="shared" si="0"/>
        <v>5.7440847510994288</v>
      </c>
      <c r="K7" s="60">
        <f t="shared" si="2"/>
        <v>101.24711869711419</v>
      </c>
      <c r="L7" s="59">
        <f>Entrate_Uscite!X7</f>
        <v>285177262.86000001</v>
      </c>
      <c r="M7" s="61">
        <f t="shared" si="1"/>
        <v>78.081438292064959</v>
      </c>
    </row>
    <row r="8" spans="1:13" x14ac:dyDescent="0.3">
      <c r="A8" s="58" t="s">
        <v>25</v>
      </c>
      <c r="B8" s="59">
        <f>Entrate_Uscite!B8</f>
        <v>1361500</v>
      </c>
      <c r="C8" s="59">
        <f>Entrate_Uscite!E8</f>
        <v>24926.720000000001</v>
      </c>
      <c r="D8" s="59">
        <f>Entrate_Uscite!H8</f>
        <v>677170.33</v>
      </c>
      <c r="E8" s="59">
        <f>Entrate_Uscite!K8</f>
        <v>1691708.31</v>
      </c>
      <c r="F8" s="59">
        <f>Entrate_Uscite!N8</f>
        <v>3776680.79</v>
      </c>
      <c r="G8" s="59">
        <f>Entrate_Uscite!Q8</f>
        <v>758618.26</v>
      </c>
      <c r="H8" s="59">
        <f>Entrate_Uscite!T8</f>
        <v>21808737.620000001</v>
      </c>
      <c r="I8" s="59">
        <f>Entrate_Uscite!W8</f>
        <v>46997303.979999997</v>
      </c>
      <c r="J8" s="59">
        <f t="shared" si="0"/>
        <v>0.73913997775068108</v>
      </c>
      <c r="K8" s="60">
        <f t="shared" si="2"/>
        <v>115.49758999760022</v>
      </c>
      <c r="L8" s="59">
        <f>Entrate_Uscite!X8</f>
        <v>1995908.68</v>
      </c>
      <c r="M8" s="61">
        <f t="shared" si="1"/>
        <v>4.2468578215664703</v>
      </c>
    </row>
    <row r="9" spans="1:13" x14ac:dyDescent="0.3">
      <c r="A9" s="58" t="s">
        <v>26</v>
      </c>
      <c r="B9" s="59">
        <f>Entrate_Uscite!B9</f>
        <v>4679064.38</v>
      </c>
      <c r="C9" s="59">
        <f>Entrate_Uscite!E9</f>
        <v>13203398.16</v>
      </c>
      <c r="D9" s="59">
        <f>Entrate_Uscite!H9</f>
        <v>31208588.489999998</v>
      </c>
      <c r="E9" s="59">
        <f>Entrate_Uscite!K9</f>
        <v>8505677.5</v>
      </c>
      <c r="F9" s="59">
        <f>Entrate_Uscite!N9</f>
        <v>13022032.68</v>
      </c>
      <c r="G9" s="59">
        <f>Entrate_Uscite!Q9</f>
        <v>12131625.99</v>
      </c>
      <c r="H9" s="59">
        <f>Entrate_Uscite!T9</f>
        <v>8325941.1299999999</v>
      </c>
      <c r="I9" s="59">
        <f>Entrate_Uscite!W9</f>
        <v>9771061.3699999992</v>
      </c>
      <c r="J9" s="59">
        <f t="shared" si="0"/>
        <v>0.15367226355570915</v>
      </c>
      <c r="K9" s="60">
        <f t="shared" si="2"/>
        <v>17.356839514429751</v>
      </c>
      <c r="L9" s="59">
        <f>Entrate_Uscite!X9</f>
        <v>9545433.3399999999</v>
      </c>
      <c r="M9" s="61">
        <f t="shared" si="1"/>
        <v>97.690854437853162</v>
      </c>
    </row>
    <row r="10" spans="1:13" x14ac:dyDescent="0.3">
      <c r="A10" s="58" t="s">
        <v>27</v>
      </c>
      <c r="B10" s="59">
        <f>Entrate_Uscite!B10</f>
        <v>218373806.13999999</v>
      </c>
      <c r="C10" s="59">
        <f>Entrate_Uscite!E10</f>
        <v>182449082.61000001</v>
      </c>
      <c r="D10" s="59">
        <f>Entrate_Uscite!H10</f>
        <v>139134663.72999999</v>
      </c>
      <c r="E10" s="59">
        <f>Entrate_Uscite!K10</f>
        <v>110498394.18000001</v>
      </c>
      <c r="F10" s="59">
        <f>Entrate_Uscite!N10</f>
        <v>77192739.299999997</v>
      </c>
      <c r="G10" s="59">
        <f>Entrate_Uscite!Q10</f>
        <v>97705926.739999995</v>
      </c>
      <c r="H10" s="59">
        <f>Entrate_Uscite!T10</f>
        <v>114310816.06</v>
      </c>
      <c r="I10" s="59">
        <f>Entrate_Uscite!W10</f>
        <v>100763800.37</v>
      </c>
      <c r="J10" s="59">
        <f t="shared" si="0"/>
        <v>1.5847409714236098</v>
      </c>
      <c r="K10" s="60">
        <f t="shared" si="2"/>
        <v>-11.851035761033643</v>
      </c>
      <c r="L10" s="59">
        <f>Entrate_Uscite!X10</f>
        <v>96507904.969999999</v>
      </c>
      <c r="M10" s="61">
        <f t="shared" si="1"/>
        <v>95.77636474173012</v>
      </c>
    </row>
    <row r="11" spans="1:13" x14ac:dyDescent="0.3">
      <c r="A11" s="4" t="s">
        <v>32</v>
      </c>
      <c r="B11" s="49">
        <f>SUM(B6:B10)</f>
        <v>367285754.73000002</v>
      </c>
      <c r="C11" s="49">
        <f>SUM(C6:C10)</f>
        <v>345909789.00999999</v>
      </c>
      <c r="D11" s="49">
        <f>SUM(D6:D10)</f>
        <v>203128304.20999998</v>
      </c>
      <c r="E11" s="49">
        <f t="shared" ref="E11:I11" si="5">SUM(E6:E10)</f>
        <v>265023259.38000003</v>
      </c>
      <c r="F11" s="49">
        <f t="shared" si="5"/>
        <v>193311124.24000001</v>
      </c>
      <c r="G11" s="49">
        <f t="shared" ref="G11:H11" si="6">SUM(G6:G10)</f>
        <v>229668789.78999999</v>
      </c>
      <c r="H11" s="49">
        <f t="shared" si="6"/>
        <v>331102579.19000006</v>
      </c>
      <c r="I11" s="49">
        <f t="shared" si="5"/>
        <v>529299777.71000004</v>
      </c>
      <c r="J11" s="49">
        <f t="shared" si="0"/>
        <v>8.324448272320021</v>
      </c>
      <c r="K11" s="47">
        <f t="shared" si="2"/>
        <v>59.859756757215251</v>
      </c>
      <c r="L11" s="49">
        <f>SUM(L6:L10)</f>
        <v>399504293.5</v>
      </c>
      <c r="M11" s="48">
        <f t="shared" si="1"/>
        <v>75.477888018098866</v>
      </c>
    </row>
    <row r="12" spans="1:13" x14ac:dyDescent="0.3">
      <c r="A12" s="58" t="s">
        <v>28</v>
      </c>
      <c r="B12" s="59">
        <f>Entrate_Uscite!B11</f>
        <v>0</v>
      </c>
      <c r="C12" s="59">
        <f>Entrate_Uscite!E11</f>
        <v>48125000</v>
      </c>
      <c r="D12" s="59">
        <f>Entrate_Uscite!H11</f>
        <v>0</v>
      </c>
      <c r="E12" s="59">
        <f>Entrate_Uscite!K11</f>
        <v>0</v>
      </c>
      <c r="F12" s="59">
        <f>Entrate_Uscite!N11</f>
        <v>0</v>
      </c>
      <c r="G12" s="59">
        <f>Entrate_Uscite!Q11</f>
        <v>0</v>
      </c>
      <c r="H12" s="59">
        <f>Entrate_Uscite!T11</f>
        <v>0</v>
      </c>
      <c r="I12" s="59">
        <f>Entrate_Uscite!W11</f>
        <v>0</v>
      </c>
      <c r="J12" s="142">
        <f t="shared" si="0"/>
        <v>0</v>
      </c>
      <c r="K12" s="60" t="str">
        <f t="shared" si="2"/>
        <v>-</v>
      </c>
      <c r="L12" s="59">
        <f>Entrate_Uscite!X11</f>
        <v>0</v>
      </c>
      <c r="M12" s="143" t="str">
        <f t="shared" si="1"/>
        <v>-</v>
      </c>
    </row>
    <row r="13" spans="1:13" x14ac:dyDescent="0.3">
      <c r="A13" s="58" t="s">
        <v>29</v>
      </c>
      <c r="B13" s="59">
        <f>Entrate_Uscite!B12</f>
        <v>9029794.6999999993</v>
      </c>
      <c r="C13" s="59">
        <f>Entrate_Uscite!E12</f>
        <v>14930048.85</v>
      </c>
      <c r="D13" s="59">
        <f>Entrate_Uscite!H12</f>
        <v>0</v>
      </c>
      <c r="E13" s="59">
        <f>Entrate_Uscite!K12</f>
        <v>0</v>
      </c>
      <c r="F13" s="59">
        <f>Entrate_Uscite!N12</f>
        <v>7149.25</v>
      </c>
      <c r="G13" s="59">
        <f>Entrate_Uscite!Q12</f>
        <v>40000000</v>
      </c>
      <c r="H13" s="59">
        <f>Entrate_Uscite!T12</f>
        <v>110005123.48</v>
      </c>
      <c r="I13" s="59">
        <f>Entrate_Uscite!W12</f>
        <v>0</v>
      </c>
      <c r="J13" s="142">
        <f t="shared" si="0"/>
        <v>0</v>
      </c>
      <c r="K13" s="60">
        <f t="shared" si="2"/>
        <v>-100</v>
      </c>
      <c r="L13" s="59">
        <f>Entrate_Uscite!X12</f>
        <v>0</v>
      </c>
      <c r="M13" s="143" t="str">
        <f t="shared" si="1"/>
        <v>-</v>
      </c>
    </row>
    <row r="14" spans="1:13" x14ac:dyDescent="0.3">
      <c r="A14" s="58" t="s">
        <v>30</v>
      </c>
      <c r="B14" s="59">
        <f>Entrate_Uscite!B13</f>
        <v>44437612.719999999</v>
      </c>
      <c r="C14" s="59">
        <f>Entrate_Uscite!E13</f>
        <v>1967000</v>
      </c>
      <c r="D14" s="59">
        <f>Entrate_Uscite!H13</f>
        <v>0</v>
      </c>
      <c r="E14" s="59">
        <f>Entrate_Uscite!K13</f>
        <v>172810919.59999999</v>
      </c>
      <c r="F14" s="59">
        <f>Entrate_Uscite!N13</f>
        <v>70159426.189999998</v>
      </c>
      <c r="G14" s="59">
        <f>Entrate_Uscite!Q13</f>
        <v>267696025.75999999</v>
      </c>
      <c r="H14" s="59">
        <f>Entrate_Uscite!T13</f>
        <v>191142450.11000001</v>
      </c>
      <c r="I14" s="59">
        <f>Entrate_Uscite!W13</f>
        <v>111523408.58</v>
      </c>
      <c r="J14" s="59">
        <f t="shared" si="0"/>
        <v>1.7539603925276335</v>
      </c>
      <c r="K14" s="60">
        <f t="shared" si="2"/>
        <v>-41.654295780021798</v>
      </c>
      <c r="L14" s="59">
        <f>Entrate_Uscite!X13</f>
        <v>977803.2</v>
      </c>
      <c r="M14" s="61">
        <f t="shared" si="1"/>
        <v>0.87676947149493234</v>
      </c>
    </row>
    <row r="15" spans="1:13" x14ac:dyDescent="0.3">
      <c r="A15" s="4" t="s">
        <v>33</v>
      </c>
      <c r="B15" s="46">
        <f>SUM(B12:B14)</f>
        <v>53467407.420000002</v>
      </c>
      <c r="C15" s="46">
        <f>SUM(C12:C14)</f>
        <v>65022048.850000001</v>
      </c>
      <c r="D15" s="46">
        <f>SUM(D12:D14)</f>
        <v>0</v>
      </c>
      <c r="E15" s="46">
        <f t="shared" ref="E15:I15" si="7">SUM(E12:E14)</f>
        <v>172810919.59999999</v>
      </c>
      <c r="F15" s="46">
        <f t="shared" si="7"/>
        <v>70166575.439999998</v>
      </c>
      <c r="G15" s="46">
        <f t="shared" ref="G15:H15" si="8">SUM(G12:G14)</f>
        <v>307696025.75999999</v>
      </c>
      <c r="H15" s="46">
        <f t="shared" si="8"/>
        <v>301147573.59000003</v>
      </c>
      <c r="I15" s="46">
        <f t="shared" si="7"/>
        <v>111523408.58</v>
      </c>
      <c r="J15" s="46">
        <f t="shared" si="0"/>
        <v>1.7539603925276335</v>
      </c>
      <c r="K15" s="47">
        <f t="shared" si="2"/>
        <v>-62.967190055519254</v>
      </c>
      <c r="L15" s="46">
        <f>SUM(L12:L14)</f>
        <v>977803.2</v>
      </c>
      <c r="M15" s="48">
        <f t="shared" si="1"/>
        <v>0.87676947149493234</v>
      </c>
    </row>
    <row r="16" spans="1:13" x14ac:dyDescent="0.3">
      <c r="A16" s="50" t="s">
        <v>346</v>
      </c>
      <c r="B16" s="51">
        <f>B5+B11+B15</f>
        <v>5173858305.8199997</v>
      </c>
      <c r="C16" s="51">
        <f>C5+C11+C15</f>
        <v>5473139193.3300009</v>
      </c>
      <c r="D16" s="51">
        <f>D5+D11+D15</f>
        <v>5047804900.1300001</v>
      </c>
      <c r="E16" s="51">
        <f t="shared" ref="E16:I16" si="9">E5+E11+E15</f>
        <v>5515147960.5700006</v>
      </c>
      <c r="F16" s="51">
        <f t="shared" si="9"/>
        <v>5300317926.1599989</v>
      </c>
      <c r="G16" s="51">
        <f t="shared" ref="G16:H16" si="10">G5+G11+G15</f>
        <v>5770329545.7600002</v>
      </c>
      <c r="H16" s="51">
        <f t="shared" si="10"/>
        <v>5890202226.6399994</v>
      </c>
      <c r="I16" s="51">
        <f t="shared" si="9"/>
        <v>6246853271.71</v>
      </c>
      <c r="J16" s="51">
        <f t="shared" si="0"/>
        <v>98.246039607472369</v>
      </c>
      <c r="K16" s="52">
        <f t="shared" si="2"/>
        <v>6.0549881200504814</v>
      </c>
      <c r="L16" s="51">
        <f>L5+L11+L15</f>
        <v>4295234211.3100004</v>
      </c>
      <c r="M16" s="53">
        <f t="shared" si="1"/>
        <v>68.758365604035262</v>
      </c>
    </row>
    <row r="17" spans="1:13" x14ac:dyDescent="0.3">
      <c r="A17" s="4" t="s">
        <v>34</v>
      </c>
      <c r="B17" s="46">
        <f>Entrate_Uscite!B17</f>
        <v>44437612.719999999</v>
      </c>
      <c r="C17" s="46">
        <f>Entrate_Uscite!E17</f>
        <v>1967000</v>
      </c>
      <c r="D17" s="46">
        <f>Entrate_Uscite!H17</f>
        <v>0</v>
      </c>
      <c r="E17" s="46">
        <f>Entrate_Uscite!K17</f>
        <v>172810919.59999999</v>
      </c>
      <c r="F17" s="46">
        <f>Entrate_Uscite!N17</f>
        <v>70159426.189999998</v>
      </c>
      <c r="G17" s="46">
        <f>Entrate_Uscite!Q17</f>
        <v>267696025.75999999</v>
      </c>
      <c r="H17" s="46">
        <f>Entrate_Uscite!T17</f>
        <v>187516008.11000001</v>
      </c>
      <c r="I17" s="46">
        <f>Entrate_Uscite!W17</f>
        <v>111523408.58</v>
      </c>
      <c r="J17" s="46">
        <f t="shared" si="0"/>
        <v>1.7539603925276335</v>
      </c>
      <c r="K17" s="47">
        <f t="shared" si="2"/>
        <v>-40.525926450728136</v>
      </c>
      <c r="L17" s="46">
        <f>Entrate_Uscite!X17</f>
        <v>111523408.58</v>
      </c>
      <c r="M17" s="48">
        <f t="shared" si="1"/>
        <v>100</v>
      </c>
    </row>
    <row r="18" spans="1:13" x14ac:dyDescent="0.3">
      <c r="A18" s="4" t="s">
        <v>35</v>
      </c>
      <c r="B18" s="46">
        <f>Entrate_Uscite!B18</f>
        <v>0</v>
      </c>
      <c r="C18" s="46">
        <f>Entrate_Uscite!E18</f>
        <v>0</v>
      </c>
      <c r="D18" s="46">
        <f>Entrate_Uscite!H18</f>
        <v>0</v>
      </c>
      <c r="E18" s="46">
        <f>Entrate_Uscite!K18</f>
        <v>0</v>
      </c>
      <c r="F18" s="46">
        <f>Entrate_Uscite!N18</f>
        <v>0</v>
      </c>
      <c r="G18" s="46">
        <f>Entrate_Uscite!Q18</f>
        <v>0</v>
      </c>
      <c r="H18" s="46">
        <f>Entrate_Uscite!T18</f>
        <v>0</v>
      </c>
      <c r="I18" s="46">
        <f>Entrate_Uscite!W18</f>
        <v>0</v>
      </c>
      <c r="J18" s="46">
        <f t="shared" si="0"/>
        <v>0</v>
      </c>
      <c r="K18" s="47" t="str">
        <f t="shared" si="2"/>
        <v>-</v>
      </c>
      <c r="L18" s="46">
        <f>Entrate_Uscite!X18</f>
        <v>0</v>
      </c>
      <c r="M18" s="48" t="str">
        <f t="shared" si="1"/>
        <v>-</v>
      </c>
    </row>
    <row r="19" spans="1:13" x14ac:dyDescent="0.3">
      <c r="A19" s="4" t="s">
        <v>36</v>
      </c>
      <c r="B19" s="46">
        <f>Entrate_Uscite!B19</f>
        <v>5723315506.8000002</v>
      </c>
      <c r="C19" s="46">
        <f>Entrate_Uscite!E19</f>
        <v>4057217155.5100002</v>
      </c>
      <c r="D19" s="46">
        <f>Entrate_Uscite!H19</f>
        <v>1125390102.99</v>
      </c>
      <c r="E19" s="46">
        <f>Entrate_Uscite!K19</f>
        <v>1272836366.4200001</v>
      </c>
      <c r="F19" s="46">
        <f>Entrate_Uscite!N19</f>
        <v>1189975569.6099999</v>
      </c>
      <c r="G19" s="46">
        <f>Entrate_Uscite!Q19</f>
        <v>1443544950.02</v>
      </c>
      <c r="H19" s="46">
        <f>Entrate_Uscite!T19</f>
        <v>1093393850.9300001</v>
      </c>
      <c r="I19" s="46">
        <f>Entrate_Uscite!W19</f>
        <v>861589777.88</v>
      </c>
      <c r="J19" s="46"/>
      <c r="K19" s="47">
        <f t="shared" si="2"/>
        <v>-21.200418573127706</v>
      </c>
      <c r="L19" s="46">
        <f>Entrate_Uscite!X19</f>
        <v>847650581.38999999</v>
      </c>
      <c r="M19" s="48">
        <f t="shared" si="1"/>
        <v>98.382153915022258</v>
      </c>
    </row>
    <row r="20" spans="1:13" x14ac:dyDescent="0.3">
      <c r="A20" s="50" t="s">
        <v>37</v>
      </c>
      <c r="B20" s="51">
        <f>B5+B11+B15+B17+B18+B19</f>
        <v>10941611425.34</v>
      </c>
      <c r="C20" s="51">
        <f>C5+C11+C15+C17+C18+C19</f>
        <v>9532323348.8400002</v>
      </c>
      <c r="D20" s="51">
        <f>D5+D11+D15+D17+D18+D19</f>
        <v>6173195003.1199999</v>
      </c>
      <c r="E20" s="51">
        <f t="shared" ref="E20:I20" si="11">E5+E11+E15+E17+E18+E19</f>
        <v>6960795246.5900011</v>
      </c>
      <c r="F20" s="51">
        <f t="shared" si="11"/>
        <v>6560452921.9599981</v>
      </c>
      <c r="G20" s="51">
        <f t="shared" ref="G20:H20" si="12">G5+G11+G15+G17+G18+G19</f>
        <v>7481570521.5400009</v>
      </c>
      <c r="H20" s="51">
        <f t="shared" si="12"/>
        <v>7171112085.6799994</v>
      </c>
      <c r="I20" s="51">
        <f t="shared" si="11"/>
        <v>7219966458.1700001</v>
      </c>
      <c r="J20" s="51"/>
      <c r="K20" s="52">
        <f t="shared" si="2"/>
        <v>0.68126633507176848</v>
      </c>
      <c r="L20" s="51">
        <f>L5+L11+L15+L17+L18+L19</f>
        <v>5254408201.2800007</v>
      </c>
      <c r="M20" s="53">
        <f t="shared" si="1"/>
        <v>72.776074954395327</v>
      </c>
    </row>
    <row r="21" spans="1:13" x14ac:dyDescent="0.3">
      <c r="A21" s="41" t="s">
        <v>38</v>
      </c>
      <c r="B21" s="54">
        <f>B20-B19</f>
        <v>5218295918.54</v>
      </c>
      <c r="C21" s="54">
        <f>C20-C19</f>
        <v>5475106193.3299999</v>
      </c>
      <c r="D21" s="54">
        <f>D20-D19</f>
        <v>5047804900.1300001</v>
      </c>
      <c r="E21" s="54">
        <f t="shared" ref="E21:I21" si="13">E20-E19</f>
        <v>5687958880.170001</v>
      </c>
      <c r="F21" s="54">
        <f t="shared" si="13"/>
        <v>5370477352.3499985</v>
      </c>
      <c r="G21" s="54">
        <f t="shared" ref="G21:H21" si="14">G20-G19</f>
        <v>6038025571.5200005</v>
      </c>
      <c r="H21" s="54">
        <f t="shared" si="14"/>
        <v>6077718234.749999</v>
      </c>
      <c r="I21" s="54">
        <f t="shared" si="13"/>
        <v>6358376680.29</v>
      </c>
      <c r="J21" s="54">
        <f>I21/I$21*100</f>
        <v>100</v>
      </c>
      <c r="K21" s="55">
        <f t="shared" si="2"/>
        <v>4.6178258797077092</v>
      </c>
      <c r="L21" s="54">
        <f>L20-L19</f>
        <v>4406757619.8900003</v>
      </c>
      <c r="M21" s="56">
        <f t="shared" si="1"/>
        <v>69.30633149731878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2" width="15.109375" bestFit="1" customWidth="1"/>
    <col min="3" max="9" width="14.109375" bestFit="1" customWidth="1"/>
    <col min="10" max="10" width="8.5546875" customWidth="1"/>
    <col min="11" max="11" width="7.5546875" bestFit="1" customWidth="1"/>
    <col min="12" max="12" width="14.33203125" bestFit="1" customWidth="1"/>
    <col min="13" max="13" width="7" bestFit="1" customWidth="1"/>
  </cols>
  <sheetData>
    <row r="1" spans="1:13" ht="28.8" x14ac:dyDescent="0.3">
      <c r="A1" s="44"/>
      <c r="B1" s="45">
        <v>2016</v>
      </c>
      <c r="C1" s="45">
        <v>2017</v>
      </c>
      <c r="D1" s="45">
        <v>2018</v>
      </c>
      <c r="E1" s="45">
        <v>2019</v>
      </c>
      <c r="F1" s="45">
        <v>2020</v>
      </c>
      <c r="G1" s="45">
        <v>2021</v>
      </c>
      <c r="H1" s="45">
        <v>2022</v>
      </c>
      <c r="I1" s="45">
        <v>2023</v>
      </c>
      <c r="J1" s="57" t="s">
        <v>295</v>
      </c>
      <c r="K1" s="45" t="s">
        <v>231</v>
      </c>
      <c r="L1" s="57" t="s">
        <v>394</v>
      </c>
      <c r="M1" s="45" t="s">
        <v>337</v>
      </c>
    </row>
    <row r="2" spans="1:13" x14ac:dyDescent="0.3">
      <c r="A2" s="62" t="s">
        <v>268</v>
      </c>
      <c r="B2" s="59">
        <f>Entrate_Uscite!B23</f>
        <v>923411347.47000003</v>
      </c>
      <c r="C2" s="59">
        <f>Entrate_Uscite!E23</f>
        <v>981632313.00999999</v>
      </c>
      <c r="D2" s="59">
        <f>Entrate_Uscite!H23</f>
        <v>1088556017.8299999</v>
      </c>
      <c r="E2" s="59">
        <f>Entrate_Uscite!K23</f>
        <v>1032033403.55</v>
      </c>
      <c r="F2" s="59">
        <f>Entrate_Uscite!N23</f>
        <v>1041289447.95</v>
      </c>
      <c r="G2" s="59">
        <f>Entrate_Uscite!Q23</f>
        <v>1050703423.11</v>
      </c>
      <c r="H2" s="59">
        <f>Entrate_Uscite!T23</f>
        <v>1120924691.8900001</v>
      </c>
      <c r="I2" s="59">
        <f>Entrate_Uscite!W23</f>
        <v>1062739684.95</v>
      </c>
      <c r="J2" s="59">
        <f t="shared" ref="J2:J28" si="0">I2/I$31*100</f>
        <v>19.390215547908728</v>
      </c>
      <c r="K2" s="60">
        <f>IF(H2&gt;0,I2/H2*100-100,"-")</f>
        <v>-5.1908042851562044</v>
      </c>
      <c r="L2" s="59">
        <f>Entrate_Uscite!X23</f>
        <v>952675359.20000005</v>
      </c>
      <c r="M2" s="61">
        <f t="shared" ref="M2:M31" si="1">IF(I2&gt;0,L2/I2*100,"-")</f>
        <v>89.643340950876578</v>
      </c>
    </row>
    <row r="3" spans="1:13" x14ac:dyDescent="0.3">
      <c r="A3" s="62" t="s">
        <v>269</v>
      </c>
      <c r="B3" s="59">
        <f>Entrate_Uscite!B24</f>
        <v>84109776.989999995</v>
      </c>
      <c r="C3" s="59">
        <f>Entrate_Uscite!E24</f>
        <v>60361392.710000001</v>
      </c>
      <c r="D3" s="59">
        <f>Entrate_Uscite!H24</f>
        <v>70886041.469999999</v>
      </c>
      <c r="E3" s="59">
        <f>Entrate_Uscite!K24</f>
        <v>66562269.969999999</v>
      </c>
      <c r="F3" s="59">
        <f>Entrate_Uscite!N24</f>
        <v>68801511.219999999</v>
      </c>
      <c r="G3" s="59">
        <f>Entrate_Uscite!Q24</f>
        <v>71230667.290000007</v>
      </c>
      <c r="H3" s="59">
        <f>Entrate_Uscite!T24</f>
        <v>76230152.5</v>
      </c>
      <c r="I3" s="59">
        <f>Entrate_Uscite!W24</f>
        <v>84306326.310000002</v>
      </c>
      <c r="J3" s="59">
        <f t="shared" si="0"/>
        <v>1.5382109677029134</v>
      </c>
      <c r="K3" s="60">
        <f t="shared" ref="K3:K31" si="2">IF(H3&gt;0,I3/H3*100-100,"-")</f>
        <v>10.594461043482767</v>
      </c>
      <c r="L3" s="59">
        <f>Entrate_Uscite!X24</f>
        <v>50240285.560000002</v>
      </c>
      <c r="M3" s="61">
        <f t="shared" si="1"/>
        <v>59.592545137435017</v>
      </c>
    </row>
    <row r="4" spans="1:13" x14ac:dyDescent="0.3">
      <c r="A4" s="62" t="s">
        <v>270</v>
      </c>
      <c r="B4" s="59">
        <f>Entrate_Uscite!B25</f>
        <v>2786376239.5</v>
      </c>
      <c r="C4" s="59">
        <f>Entrate_Uscite!E25</f>
        <v>2694223231.6599998</v>
      </c>
      <c r="D4" s="59">
        <f>Entrate_Uscite!H25</f>
        <v>2716348241.04</v>
      </c>
      <c r="E4" s="59">
        <f>Entrate_Uscite!K25</f>
        <v>2771675754.7600002</v>
      </c>
      <c r="F4" s="59">
        <f>Entrate_Uscite!N25</f>
        <v>2804491551.8899999</v>
      </c>
      <c r="G4" s="59">
        <f>Entrate_Uscite!Q25</f>
        <v>2985022340.1500001</v>
      </c>
      <c r="H4" s="59">
        <f>Entrate_Uscite!T25</f>
        <v>3165154397.1100001</v>
      </c>
      <c r="I4" s="59">
        <f>Entrate_Uscite!W25</f>
        <v>3176788075.8600001</v>
      </c>
      <c r="J4" s="59">
        <f t="shared" si="0"/>
        <v>57.962082731341432</v>
      </c>
      <c r="K4" s="60">
        <f t="shared" si="2"/>
        <v>0.36755485800699716</v>
      </c>
      <c r="L4" s="59">
        <f>Entrate_Uscite!X25</f>
        <v>2349978860.2600002</v>
      </c>
      <c r="M4" s="61">
        <f t="shared" si="1"/>
        <v>73.973422341804422</v>
      </c>
    </row>
    <row r="5" spans="1:13" x14ac:dyDescent="0.3">
      <c r="A5" s="62" t="s">
        <v>271</v>
      </c>
      <c r="B5" s="59">
        <f>Entrate_Uscite!B26</f>
        <v>342019342.5</v>
      </c>
      <c r="C5" s="59">
        <f>Entrate_Uscite!E26</f>
        <v>381617073.25999999</v>
      </c>
      <c r="D5" s="59">
        <f>Entrate_Uscite!H26</f>
        <v>389398340.47000003</v>
      </c>
      <c r="E5" s="59">
        <f>Entrate_Uscite!K26</f>
        <v>413001041.25999999</v>
      </c>
      <c r="F5" s="59">
        <f>Entrate_Uscite!N26</f>
        <v>478746995.67000002</v>
      </c>
      <c r="G5" s="59">
        <f>Entrate_Uscite!Q26</f>
        <v>486053502.06</v>
      </c>
      <c r="H5" s="59">
        <f>Entrate_Uscite!T26</f>
        <v>423753405.47000003</v>
      </c>
      <c r="I5" s="59">
        <f>Entrate_Uscite!W26</f>
        <v>332978432.17000002</v>
      </c>
      <c r="J5" s="59">
        <f t="shared" si="0"/>
        <v>6.0753575537030731</v>
      </c>
      <c r="K5" s="60">
        <f t="shared" si="2"/>
        <v>-21.421650452417779</v>
      </c>
      <c r="L5" s="59">
        <f>Entrate_Uscite!X26</f>
        <v>229759442.77000001</v>
      </c>
      <c r="M5" s="61">
        <f t="shared" si="1"/>
        <v>69.001298754598551</v>
      </c>
    </row>
    <row r="6" spans="1:13" x14ac:dyDescent="0.3">
      <c r="A6" s="62" t="s">
        <v>272</v>
      </c>
      <c r="B6" s="59">
        <f>Entrate_Uscite!B27</f>
        <v>30136538.27</v>
      </c>
      <c r="C6" s="59">
        <f>Entrate_Uscite!E27</f>
        <v>30217825.5</v>
      </c>
      <c r="D6" s="59">
        <f>Entrate_Uscite!H27</f>
        <v>29652239.780000001</v>
      </c>
      <c r="E6" s="59">
        <f>Entrate_Uscite!K27</f>
        <v>22658683.18</v>
      </c>
      <c r="F6" s="59">
        <f>Entrate_Uscite!N27</f>
        <v>22273652.18</v>
      </c>
      <c r="G6" s="59">
        <f>Entrate_Uscite!Q27</f>
        <v>24178197.66</v>
      </c>
      <c r="H6" s="59">
        <f>Entrate_Uscite!T27</f>
        <v>27228119.370000001</v>
      </c>
      <c r="I6" s="59">
        <f>Entrate_Uscite!W27</f>
        <v>36092790.539999999</v>
      </c>
      <c r="J6" s="59">
        <f t="shared" si="0"/>
        <v>0.65853096313896242</v>
      </c>
      <c r="K6" s="60">
        <f t="shared" si="2"/>
        <v>32.557045345434744</v>
      </c>
      <c r="L6" s="59">
        <f>Entrate_Uscite!X27</f>
        <v>35799598.189999998</v>
      </c>
      <c r="M6" s="61">
        <f t="shared" si="1"/>
        <v>99.187670596777295</v>
      </c>
    </row>
    <row r="7" spans="1:13" x14ac:dyDescent="0.3">
      <c r="A7" s="62" t="s">
        <v>273</v>
      </c>
      <c r="B7" s="59">
        <f>Entrate_Uscite!B28</f>
        <v>0</v>
      </c>
      <c r="C7" s="59">
        <f>Entrate_Uscite!E28</f>
        <v>15429313.52</v>
      </c>
      <c r="D7" s="59">
        <f>Entrate_Uscite!H28</f>
        <v>14772910.76</v>
      </c>
      <c r="E7" s="59">
        <f>Entrate_Uscite!K28</f>
        <v>0</v>
      </c>
      <c r="F7" s="59">
        <f>Entrate_Uscite!N28</f>
        <v>0</v>
      </c>
      <c r="G7" s="59">
        <f>Entrate_Uscite!Q28</f>
        <v>0</v>
      </c>
      <c r="H7" s="59">
        <f>Entrate_Uscite!T28</f>
        <v>0</v>
      </c>
      <c r="I7" s="59">
        <f>Entrate_Uscite!W28</f>
        <v>0</v>
      </c>
      <c r="J7" s="59">
        <f t="shared" si="0"/>
        <v>0</v>
      </c>
      <c r="K7" s="60" t="str">
        <f t="shared" si="2"/>
        <v>-</v>
      </c>
      <c r="L7" s="59">
        <f>Entrate_Uscite!X28</f>
        <v>0</v>
      </c>
      <c r="M7" s="61" t="str">
        <f t="shared" si="1"/>
        <v>-</v>
      </c>
    </row>
    <row r="8" spans="1:13" x14ac:dyDescent="0.3">
      <c r="A8" s="62" t="s">
        <v>274</v>
      </c>
      <c r="B8" s="59">
        <f>Entrate_Uscite!B29</f>
        <v>5092184.79</v>
      </c>
      <c r="C8" s="59">
        <f>Entrate_Uscite!E29</f>
        <v>2674568.5299999998</v>
      </c>
      <c r="D8" s="59">
        <f>Entrate_Uscite!H29</f>
        <v>5953411.0899999999</v>
      </c>
      <c r="E8" s="59">
        <f>Entrate_Uscite!K29</f>
        <v>5637675.3499999996</v>
      </c>
      <c r="F8" s="59">
        <f>Entrate_Uscite!N29</f>
        <v>4919190.7</v>
      </c>
      <c r="G8" s="59">
        <f>Entrate_Uscite!Q29</f>
        <v>9915790.7699999996</v>
      </c>
      <c r="H8" s="59">
        <f>Entrate_Uscite!T29</f>
        <v>5241612.8</v>
      </c>
      <c r="I8" s="59">
        <f>Entrate_Uscite!W29</f>
        <v>6019809.4900000002</v>
      </c>
      <c r="J8" s="59">
        <f t="shared" si="0"/>
        <v>0.10983442626774426</v>
      </c>
      <c r="K8" s="60">
        <f t="shared" si="2"/>
        <v>14.846512317735503</v>
      </c>
      <c r="L8" s="59">
        <f>Entrate_Uscite!X29</f>
        <v>3036150.34</v>
      </c>
      <c r="M8" s="61">
        <f t="shared" si="1"/>
        <v>50.435987136197561</v>
      </c>
    </row>
    <row r="9" spans="1:13" x14ac:dyDescent="0.3">
      <c r="A9" s="62" t="s">
        <v>275</v>
      </c>
      <c r="B9" s="59">
        <f>Entrate_Uscite!B30</f>
        <v>41647493.920000002</v>
      </c>
      <c r="C9" s="59">
        <f>Entrate_Uscite!E30</f>
        <v>70333176.579999998</v>
      </c>
      <c r="D9" s="59">
        <f>Entrate_Uscite!H30</f>
        <v>106575339.97</v>
      </c>
      <c r="E9" s="59">
        <f>Entrate_Uscite!K30</f>
        <v>77997631.379999995</v>
      </c>
      <c r="F9" s="59">
        <f>Entrate_Uscite!N30</f>
        <v>76602303.719999999</v>
      </c>
      <c r="G9" s="59">
        <f>Entrate_Uscite!Q30</f>
        <v>96388916.849999994</v>
      </c>
      <c r="H9" s="59">
        <f>Entrate_Uscite!T30</f>
        <v>153092817.77000001</v>
      </c>
      <c r="I9" s="59">
        <f>Entrate_Uscite!W30</f>
        <v>87244760.079999998</v>
      </c>
      <c r="J9" s="59">
        <f t="shared" si="0"/>
        <v>1.5918241572548164</v>
      </c>
      <c r="K9" s="60">
        <f t="shared" si="2"/>
        <v>-43.011852972049461</v>
      </c>
      <c r="L9" s="59">
        <f>Entrate_Uscite!X30</f>
        <v>79940704.959999993</v>
      </c>
      <c r="M9" s="61">
        <f t="shared" si="1"/>
        <v>91.628087333494321</v>
      </c>
    </row>
    <row r="10" spans="1:13" x14ac:dyDescent="0.3">
      <c r="A10" s="4" t="s">
        <v>280</v>
      </c>
      <c r="B10" s="46">
        <f>SUM(B2:B9)</f>
        <v>4212792923.4400001</v>
      </c>
      <c r="C10" s="46">
        <f>SUM(C2:C9)</f>
        <v>4236488894.7700005</v>
      </c>
      <c r="D10" s="46">
        <f>SUM(D2:D9)</f>
        <v>4422142542.4100008</v>
      </c>
      <c r="E10" s="46">
        <f t="shared" ref="E10:I10" si="3">SUM(E2:E9)</f>
        <v>4389566459.4500008</v>
      </c>
      <c r="F10" s="46">
        <f t="shared" si="3"/>
        <v>4497124653.3299999</v>
      </c>
      <c r="G10" s="46">
        <f t="shared" ref="G10" si="4">SUM(G2:G9)</f>
        <v>4723492837.8900013</v>
      </c>
      <c r="H10" s="46">
        <f t="shared" ref="H10" si="5">SUM(H2:H9)</f>
        <v>4971625196.9100008</v>
      </c>
      <c r="I10" s="46">
        <f t="shared" si="3"/>
        <v>4786169879.3999996</v>
      </c>
      <c r="J10" s="46">
        <f t="shared" si="0"/>
        <v>87.32605634731766</v>
      </c>
      <c r="K10" s="47">
        <f t="shared" si="2"/>
        <v>-3.7302755168524584</v>
      </c>
      <c r="L10" s="46">
        <f>SUM(L2:L9)</f>
        <v>3701430401.2800007</v>
      </c>
      <c r="M10" s="48">
        <f t="shared" si="1"/>
        <v>77.335959536480487</v>
      </c>
    </row>
    <row r="11" spans="1:13" x14ac:dyDescent="0.3">
      <c r="A11" s="62" t="s">
        <v>276</v>
      </c>
      <c r="B11" s="59">
        <f>Entrate_Uscite!B32</f>
        <v>360871085.62</v>
      </c>
      <c r="C11" s="59">
        <f>Entrate_Uscite!E32</f>
        <v>258022328.97999999</v>
      </c>
      <c r="D11" s="59">
        <f>Entrate_Uscite!H32</f>
        <v>184896368.12</v>
      </c>
      <c r="E11" s="59">
        <f>Entrate_Uscite!K32</f>
        <v>292058569.48000002</v>
      </c>
      <c r="F11" s="59">
        <f>Entrate_Uscite!N32</f>
        <v>359599831.17000002</v>
      </c>
      <c r="G11" s="59">
        <f>Entrate_Uscite!Q32</f>
        <v>386830634.81</v>
      </c>
      <c r="H11" s="59">
        <f>Entrate_Uscite!T32</f>
        <v>352414334.11000001</v>
      </c>
      <c r="I11" s="59">
        <f>Entrate_Uscite!W32</f>
        <v>507048643.49000001</v>
      </c>
      <c r="J11" s="59">
        <f t="shared" si="0"/>
        <v>9.2513553693145436</v>
      </c>
      <c r="K11" s="60">
        <f t="shared" si="2"/>
        <v>43.878552718497986</v>
      </c>
      <c r="L11" s="59">
        <f>Entrate_Uscite!X32</f>
        <v>258232058.81</v>
      </c>
      <c r="M11" s="61">
        <f t="shared" si="1"/>
        <v>50.928458664753897</v>
      </c>
    </row>
    <row r="12" spans="1:13" x14ac:dyDescent="0.3">
      <c r="A12" s="62" t="s">
        <v>277</v>
      </c>
      <c r="B12" s="59">
        <f>Entrate_Uscite!B33</f>
        <v>19324887.390000001</v>
      </c>
      <c r="C12" s="59">
        <f>Entrate_Uscite!E33</f>
        <v>23901318.66</v>
      </c>
      <c r="D12" s="59">
        <f>Entrate_Uscite!H33</f>
        <v>6584996.5499999998</v>
      </c>
      <c r="E12" s="59">
        <f>Entrate_Uscite!K33</f>
        <v>8003399.7400000002</v>
      </c>
      <c r="F12" s="59">
        <f>Entrate_Uscite!N33</f>
        <v>21830597.710000001</v>
      </c>
      <c r="G12" s="59">
        <f>Entrate_Uscite!Q33</f>
        <v>159100622.09999999</v>
      </c>
      <c r="H12" s="59">
        <f>Entrate_Uscite!T33</f>
        <v>38088270.969999999</v>
      </c>
      <c r="I12" s="59">
        <f>Entrate_Uscite!W33</f>
        <v>33373478.920000002</v>
      </c>
      <c r="J12" s="59">
        <f t="shared" si="0"/>
        <v>0.60891576649161649</v>
      </c>
      <c r="K12" s="60">
        <f t="shared" si="2"/>
        <v>-12.37859301545501</v>
      </c>
      <c r="L12" s="59">
        <f>Entrate_Uscite!X33</f>
        <v>15628662.43</v>
      </c>
      <c r="M12" s="61">
        <f t="shared" si="1"/>
        <v>46.829587252391839</v>
      </c>
    </row>
    <row r="13" spans="1:13" x14ac:dyDescent="0.3">
      <c r="A13" s="62" t="s">
        <v>278</v>
      </c>
      <c r="B13" s="59">
        <f>Entrate_Uscite!B34</f>
        <v>0</v>
      </c>
      <c r="C13" s="59">
        <f>Entrate_Uscite!E34</f>
        <v>0</v>
      </c>
      <c r="D13" s="59">
        <f>Entrate_Uscite!H34</f>
        <v>0</v>
      </c>
      <c r="E13" s="59">
        <f>Entrate_Uscite!K34</f>
        <v>0</v>
      </c>
      <c r="F13" s="59">
        <f>Entrate_Uscite!N34</f>
        <v>0</v>
      </c>
      <c r="G13" s="59">
        <f>Entrate_Uscite!Q34</f>
        <v>0</v>
      </c>
      <c r="H13" s="59">
        <f>Entrate_Uscite!T34</f>
        <v>0</v>
      </c>
      <c r="I13" s="59">
        <f>Entrate_Uscite!W34</f>
        <v>0</v>
      </c>
      <c r="J13" s="59">
        <f t="shared" si="0"/>
        <v>0</v>
      </c>
      <c r="K13" s="60" t="str">
        <f t="shared" si="2"/>
        <v>-</v>
      </c>
      <c r="L13" s="59">
        <f>Entrate_Uscite!X34</f>
        <v>0</v>
      </c>
      <c r="M13" s="61" t="str">
        <f t="shared" si="1"/>
        <v>-</v>
      </c>
    </row>
    <row r="14" spans="1:13" x14ac:dyDescent="0.3">
      <c r="A14" s="62" t="s">
        <v>279</v>
      </c>
      <c r="B14" s="59">
        <f>Entrate_Uscite!B35</f>
        <v>0</v>
      </c>
      <c r="C14" s="59">
        <f>Entrate_Uscite!E35</f>
        <v>0</v>
      </c>
      <c r="D14" s="59">
        <f>Entrate_Uscite!H35</f>
        <v>0</v>
      </c>
      <c r="E14" s="59">
        <f>Entrate_Uscite!K35</f>
        <v>0</v>
      </c>
      <c r="F14" s="59">
        <f>Entrate_Uscite!N35</f>
        <v>0</v>
      </c>
      <c r="G14" s="59">
        <f>Entrate_Uscite!Q35</f>
        <v>3204264.73</v>
      </c>
      <c r="H14" s="59">
        <f>Entrate_Uscite!T35</f>
        <v>25890.45</v>
      </c>
      <c r="I14" s="59">
        <f>Entrate_Uscite!W35</f>
        <v>606864.4</v>
      </c>
      <c r="J14" s="59">
        <f t="shared" si="0"/>
        <v>1.1072543625681891E-2</v>
      </c>
      <c r="K14" s="60">
        <f t="shared" si="2"/>
        <v>2243.9700739075606</v>
      </c>
      <c r="L14" s="59">
        <f>Entrate_Uscite!X35</f>
        <v>106864.4</v>
      </c>
      <c r="M14" s="61">
        <f t="shared" si="1"/>
        <v>17.609271527543878</v>
      </c>
    </row>
    <row r="15" spans="1:13" x14ac:dyDescent="0.3">
      <c r="A15" s="4" t="s">
        <v>281</v>
      </c>
      <c r="B15" s="49">
        <f>SUM(B11:B14)</f>
        <v>380195973.00999999</v>
      </c>
      <c r="C15" s="49">
        <f>SUM(C11:C14)</f>
        <v>281923647.63999999</v>
      </c>
      <c r="D15" s="49">
        <f>SUM(D11:D14)</f>
        <v>191481364.67000002</v>
      </c>
      <c r="E15" s="49">
        <f t="shared" ref="E15:I15" si="6">SUM(E11:E14)</f>
        <v>300061969.22000003</v>
      </c>
      <c r="F15" s="49">
        <f t="shared" si="6"/>
        <v>381430428.88</v>
      </c>
      <c r="G15" s="49">
        <f t="shared" ref="G15:H15" si="7">SUM(G11:G14)</f>
        <v>549135521.63999999</v>
      </c>
      <c r="H15" s="49">
        <f t="shared" si="7"/>
        <v>390528495.53000003</v>
      </c>
      <c r="I15" s="49">
        <f t="shared" si="6"/>
        <v>541028986.80999994</v>
      </c>
      <c r="J15" s="49">
        <f t="shared" si="0"/>
        <v>9.8713436794318401</v>
      </c>
      <c r="K15" s="47">
        <f t="shared" si="2"/>
        <v>38.537646548877404</v>
      </c>
      <c r="L15" s="49">
        <f>SUM(L11:L14)</f>
        <v>273967585.63999999</v>
      </c>
      <c r="M15" s="48">
        <f t="shared" si="1"/>
        <v>50.638245328657902</v>
      </c>
    </row>
    <row r="16" spans="1:13" x14ac:dyDescent="0.3">
      <c r="A16" s="62" t="s">
        <v>282</v>
      </c>
      <c r="B16" s="59">
        <f>Entrate_Uscite!B36</f>
        <v>0</v>
      </c>
      <c r="C16" s="59">
        <f>Entrate_Uscite!E36</f>
        <v>0</v>
      </c>
      <c r="D16" s="59">
        <f>Entrate_Uscite!H36</f>
        <v>1467861.4</v>
      </c>
      <c r="E16" s="59">
        <f>Entrate_Uscite!K36</f>
        <v>0</v>
      </c>
      <c r="F16" s="59">
        <f>Entrate_Uscite!N36</f>
        <v>0</v>
      </c>
      <c r="G16" s="59">
        <f>Entrate_Uscite!Q36</f>
        <v>0</v>
      </c>
      <c r="H16" s="59">
        <f>Entrate_Uscite!T36</f>
        <v>0</v>
      </c>
      <c r="I16" s="59">
        <f>Entrate_Uscite!W36</f>
        <v>0</v>
      </c>
      <c r="J16" s="59">
        <f t="shared" si="0"/>
        <v>0</v>
      </c>
      <c r="K16" s="60" t="str">
        <f t="shared" si="2"/>
        <v>-</v>
      </c>
      <c r="L16" s="59">
        <f>Entrate_Uscite!X36</f>
        <v>0</v>
      </c>
      <c r="M16" s="61" t="str">
        <f t="shared" si="1"/>
        <v>-</v>
      </c>
    </row>
    <row r="17" spans="1:13" x14ac:dyDescent="0.3">
      <c r="A17" s="62" t="s">
        <v>283</v>
      </c>
      <c r="B17" s="59">
        <f>Entrate_Uscite!B37</f>
        <v>293260.40000000002</v>
      </c>
      <c r="C17" s="59">
        <f>Entrate_Uscite!E37</f>
        <v>11914512.609999999</v>
      </c>
      <c r="D17" s="59">
        <f>Entrate_Uscite!H37</f>
        <v>0</v>
      </c>
      <c r="E17" s="59">
        <f>Entrate_Uscite!K37</f>
        <v>0</v>
      </c>
      <c r="F17" s="59">
        <f>Entrate_Uscite!N37</f>
        <v>0</v>
      </c>
      <c r="G17" s="59">
        <f>Entrate_Uscite!Q37</f>
        <v>40000000</v>
      </c>
      <c r="H17" s="59">
        <f>Entrate_Uscite!T37</f>
        <v>0</v>
      </c>
      <c r="I17" s="59">
        <f>Entrate_Uscite!W37</f>
        <v>0</v>
      </c>
      <c r="J17" s="59">
        <f t="shared" si="0"/>
        <v>0</v>
      </c>
      <c r="K17" s="60" t="str">
        <f t="shared" si="2"/>
        <v>-</v>
      </c>
      <c r="L17" s="59">
        <f>Entrate_Uscite!X37</f>
        <v>0</v>
      </c>
      <c r="M17" s="61" t="str">
        <f t="shared" si="1"/>
        <v>-</v>
      </c>
    </row>
    <row r="18" spans="1:13" x14ac:dyDescent="0.3">
      <c r="A18" s="62" t="s">
        <v>284</v>
      </c>
      <c r="B18" s="59">
        <f>Entrate_Uscite!B38</f>
        <v>8736534.1600000001</v>
      </c>
      <c r="C18" s="59">
        <f>Entrate_Uscite!E38</f>
        <v>3000000</v>
      </c>
      <c r="D18" s="59">
        <f>Entrate_Uscite!H38</f>
        <v>0</v>
      </c>
      <c r="E18" s="59">
        <f>Entrate_Uscite!K38</f>
        <v>123752.35</v>
      </c>
      <c r="F18" s="59">
        <f>Entrate_Uscite!N38</f>
        <v>0</v>
      </c>
      <c r="G18" s="59">
        <f>Entrate_Uscite!Q38</f>
        <v>0</v>
      </c>
      <c r="H18" s="59">
        <f>Entrate_Uscite!T38</f>
        <v>0</v>
      </c>
      <c r="I18" s="59">
        <f>Entrate_Uscite!W38</f>
        <v>0</v>
      </c>
      <c r="J18" s="59">
        <f t="shared" si="0"/>
        <v>0</v>
      </c>
      <c r="K18" s="60" t="str">
        <f t="shared" si="2"/>
        <v>-</v>
      </c>
      <c r="L18" s="59">
        <f>Entrate_Uscite!X38</f>
        <v>0</v>
      </c>
      <c r="M18" s="61" t="str">
        <f t="shared" si="1"/>
        <v>-</v>
      </c>
    </row>
    <row r="19" spans="1:13" x14ac:dyDescent="0.3">
      <c r="A19" s="62" t="s">
        <v>285</v>
      </c>
      <c r="B19" s="59">
        <f>Entrate_Uscite!B39</f>
        <v>44437612.719999999</v>
      </c>
      <c r="C19" s="59">
        <f>Entrate_Uscite!E39</f>
        <v>1967000</v>
      </c>
      <c r="D19" s="59">
        <f>Entrate_Uscite!H39</f>
        <v>0</v>
      </c>
      <c r="E19" s="59">
        <f>Entrate_Uscite!K39</f>
        <v>172810919.59999999</v>
      </c>
      <c r="F19" s="59">
        <f>Entrate_Uscite!N39</f>
        <v>70159426.189999998</v>
      </c>
      <c r="G19" s="59">
        <f>Entrate_Uscite!Q39</f>
        <v>267696025.75999999</v>
      </c>
      <c r="H19" s="59">
        <f>Entrate_Uscite!T39</f>
        <v>191142450.11000001</v>
      </c>
      <c r="I19" s="59">
        <f>Entrate_Uscite!W39</f>
        <v>111523408.58</v>
      </c>
      <c r="J19" s="59">
        <f t="shared" si="0"/>
        <v>2.0348002070755773</v>
      </c>
      <c r="K19" s="60">
        <f t="shared" si="2"/>
        <v>-41.654295780021798</v>
      </c>
      <c r="L19" s="59">
        <f>Entrate_Uscite!X39</f>
        <v>111523408.58</v>
      </c>
      <c r="M19" s="61">
        <f t="shared" si="1"/>
        <v>100</v>
      </c>
    </row>
    <row r="20" spans="1:13" x14ac:dyDescent="0.3">
      <c r="A20" s="4" t="s">
        <v>286</v>
      </c>
      <c r="B20" s="46">
        <f>SUM(B16:B19)</f>
        <v>53467407.280000001</v>
      </c>
      <c r="C20" s="46">
        <f>SUM(C16:C19)</f>
        <v>16881512.609999999</v>
      </c>
      <c r="D20" s="46">
        <f>SUM(D16:D19)</f>
        <v>1467861.4</v>
      </c>
      <c r="E20" s="46">
        <f t="shared" ref="E20:I20" si="8">SUM(E16:E19)</f>
        <v>172934671.94999999</v>
      </c>
      <c r="F20" s="46">
        <f t="shared" si="8"/>
        <v>70159426.189999998</v>
      </c>
      <c r="G20" s="46">
        <f t="shared" ref="G20:H20" si="9">SUM(G16:G19)</f>
        <v>307696025.75999999</v>
      </c>
      <c r="H20" s="46">
        <f t="shared" si="9"/>
        <v>191142450.11000001</v>
      </c>
      <c r="I20" s="46">
        <f t="shared" si="8"/>
        <v>111523408.58</v>
      </c>
      <c r="J20" s="46">
        <f t="shared" si="0"/>
        <v>2.0348002070755773</v>
      </c>
      <c r="K20" s="47">
        <f t="shared" si="2"/>
        <v>-41.654295780021798</v>
      </c>
      <c r="L20" s="46">
        <f>SUM(L16:L19)</f>
        <v>111523408.58</v>
      </c>
      <c r="M20" s="43">
        <f t="shared" si="1"/>
        <v>100</v>
      </c>
    </row>
    <row r="21" spans="1:13" x14ac:dyDescent="0.3">
      <c r="A21" s="50" t="s">
        <v>347</v>
      </c>
      <c r="B21" s="51">
        <f>B10+B15+B20</f>
        <v>4646456303.7299995</v>
      </c>
      <c r="C21" s="51">
        <f>C10+C15+C20</f>
        <v>4535294055.0200005</v>
      </c>
      <c r="D21" s="51">
        <f>D10+D15+D20</f>
        <v>4615091768.4800005</v>
      </c>
      <c r="E21" s="51">
        <f t="shared" ref="E21:I21" si="10">E10+E15+E20</f>
        <v>4862563100.6200008</v>
      </c>
      <c r="F21" s="51">
        <f t="shared" si="10"/>
        <v>4948714508.3999996</v>
      </c>
      <c r="G21" s="51">
        <f t="shared" ref="G21:H21" si="11">G10+G15+G20</f>
        <v>5580324385.2900019</v>
      </c>
      <c r="H21" s="51">
        <f t="shared" si="11"/>
        <v>5553296142.5500002</v>
      </c>
      <c r="I21" s="51">
        <f t="shared" si="10"/>
        <v>5438722274.789999</v>
      </c>
      <c r="J21" s="51">
        <f t="shared" si="0"/>
        <v>99.232200233825068</v>
      </c>
      <c r="K21" s="52">
        <f t="shared" si="2"/>
        <v>-2.063168698714307</v>
      </c>
      <c r="L21" s="51">
        <f>L10+L15+L20</f>
        <v>4086921395.5000005</v>
      </c>
      <c r="M21" s="53">
        <f t="shared" si="1"/>
        <v>75.144881260880453</v>
      </c>
    </row>
    <row r="22" spans="1:13" x14ac:dyDescent="0.3">
      <c r="A22" s="62" t="s">
        <v>287</v>
      </c>
      <c r="B22" s="63">
        <f>Entrate_Uscite!B40</f>
        <v>0</v>
      </c>
      <c r="C22" s="63">
        <f>Entrate_Uscite!E40</f>
        <v>0</v>
      </c>
      <c r="D22" s="63">
        <f>Entrate_Uscite!H40</f>
        <v>0</v>
      </c>
      <c r="E22" s="63">
        <f>Entrate_Uscite!K40</f>
        <v>0</v>
      </c>
      <c r="F22" s="63">
        <f>Entrate_Uscite!N40</f>
        <v>0</v>
      </c>
      <c r="G22" s="63">
        <f>Entrate_Uscite!Q40</f>
        <v>0</v>
      </c>
      <c r="H22" s="63">
        <f>Entrate_Uscite!T40</f>
        <v>0</v>
      </c>
      <c r="I22" s="63">
        <f>Entrate_Uscite!W40</f>
        <v>0</v>
      </c>
      <c r="J22" s="63">
        <f t="shared" si="0"/>
        <v>0</v>
      </c>
      <c r="K22" s="64" t="str">
        <f t="shared" si="2"/>
        <v>-</v>
      </c>
      <c r="L22" s="63">
        <f>Entrate_Uscite!X40</f>
        <v>0</v>
      </c>
      <c r="M22" s="61" t="str">
        <f t="shared" si="1"/>
        <v>-</v>
      </c>
    </row>
    <row r="23" spans="1:13" x14ac:dyDescent="0.3">
      <c r="A23" s="62" t="s">
        <v>288</v>
      </c>
      <c r="B23" s="63">
        <f>Entrate_Uscite!B41</f>
        <v>0</v>
      </c>
      <c r="C23" s="63">
        <f>Entrate_Uscite!E41</f>
        <v>0</v>
      </c>
      <c r="D23" s="63">
        <f>Entrate_Uscite!H41</f>
        <v>0</v>
      </c>
      <c r="E23" s="63">
        <f>Entrate_Uscite!K41</f>
        <v>0</v>
      </c>
      <c r="F23" s="63">
        <f>Entrate_Uscite!N41</f>
        <v>0</v>
      </c>
      <c r="G23" s="63">
        <f>Entrate_Uscite!Q41</f>
        <v>0</v>
      </c>
      <c r="H23" s="63">
        <f>Entrate_Uscite!T41</f>
        <v>0</v>
      </c>
      <c r="I23" s="63">
        <f>Entrate_Uscite!W41</f>
        <v>0</v>
      </c>
      <c r="J23" s="63">
        <f t="shared" si="0"/>
        <v>0</v>
      </c>
      <c r="K23" s="64" t="str">
        <f t="shared" si="2"/>
        <v>-</v>
      </c>
      <c r="L23" s="63">
        <f>Entrate_Uscite!X41</f>
        <v>0</v>
      </c>
      <c r="M23" s="61" t="str">
        <f t="shared" si="1"/>
        <v>-</v>
      </c>
    </row>
    <row r="24" spans="1:13" x14ac:dyDescent="0.3">
      <c r="A24" s="62" t="s">
        <v>289</v>
      </c>
      <c r="B24" s="63">
        <f>Entrate_Uscite!B42</f>
        <v>51583127.390000001</v>
      </c>
      <c r="C24" s="63">
        <f>Entrate_Uscite!E42</f>
        <v>130633866.55</v>
      </c>
      <c r="D24" s="63">
        <f>Entrate_Uscite!H42</f>
        <v>124386612.12</v>
      </c>
      <c r="E24" s="63">
        <f>Entrate_Uscite!K42</f>
        <v>47046027.719999999</v>
      </c>
      <c r="F24" s="63">
        <f>Entrate_Uscite!N42</f>
        <v>20148584.370000001</v>
      </c>
      <c r="G24" s="63">
        <f>Entrate_Uscite!Q42</f>
        <v>124089817.27</v>
      </c>
      <c r="H24" s="63">
        <f>Entrate_Uscite!T42</f>
        <v>50928073.219999999</v>
      </c>
      <c r="I24" s="63">
        <f>Entrate_Uscite!W42</f>
        <v>42081599.329999998</v>
      </c>
      <c r="J24" s="63">
        <f t="shared" si="0"/>
        <v>0.76779976617493262</v>
      </c>
      <c r="K24" s="64">
        <f t="shared" si="2"/>
        <v>-17.37052539133937</v>
      </c>
      <c r="L24" s="63">
        <f>Entrate_Uscite!X42</f>
        <v>40140873.399999999</v>
      </c>
      <c r="M24" s="61">
        <f t="shared" si="1"/>
        <v>95.388184002273761</v>
      </c>
    </row>
    <row r="25" spans="1:13" x14ac:dyDescent="0.3">
      <c r="A25" s="62" t="s">
        <v>290</v>
      </c>
      <c r="B25" s="63">
        <f>Entrate_Uscite!B43</f>
        <v>0</v>
      </c>
      <c r="C25" s="63">
        <f>Entrate_Uscite!E43</f>
        <v>0</v>
      </c>
      <c r="D25" s="63">
        <f>Entrate_Uscite!H43</f>
        <v>0</v>
      </c>
      <c r="E25" s="63">
        <f>Entrate_Uscite!K43</f>
        <v>0</v>
      </c>
      <c r="F25" s="63">
        <f>Entrate_Uscite!N43</f>
        <v>0</v>
      </c>
      <c r="G25" s="63">
        <f>Entrate_Uscite!Q43</f>
        <v>0</v>
      </c>
      <c r="H25" s="63">
        <f>Entrate_Uscite!T43</f>
        <v>0</v>
      </c>
      <c r="I25" s="63">
        <f>Entrate_Uscite!W43</f>
        <v>0</v>
      </c>
      <c r="J25" s="63">
        <f t="shared" si="0"/>
        <v>0</v>
      </c>
      <c r="K25" s="64" t="str">
        <f t="shared" si="2"/>
        <v>-</v>
      </c>
      <c r="L25" s="63">
        <f>Entrate_Uscite!X43</f>
        <v>0</v>
      </c>
      <c r="M25" s="61" t="str">
        <f t="shared" si="1"/>
        <v>-</v>
      </c>
    </row>
    <row r="26" spans="1:13" x14ac:dyDescent="0.3">
      <c r="A26" s="62" t="s">
        <v>291</v>
      </c>
      <c r="B26" s="63">
        <f>Entrate_Uscite!B44</f>
        <v>0</v>
      </c>
      <c r="C26" s="63">
        <f>Entrate_Uscite!E44</f>
        <v>0</v>
      </c>
      <c r="D26" s="63">
        <f>Entrate_Uscite!H44</f>
        <v>0</v>
      </c>
      <c r="E26" s="63">
        <f>Entrate_Uscite!K44</f>
        <v>0</v>
      </c>
      <c r="F26" s="63">
        <f>Entrate_Uscite!N44</f>
        <v>0</v>
      </c>
      <c r="G26" s="63">
        <f>Entrate_Uscite!Q44</f>
        <v>0</v>
      </c>
      <c r="H26" s="63">
        <f>Entrate_Uscite!T44</f>
        <v>0</v>
      </c>
      <c r="I26" s="63">
        <f>Entrate_Uscite!W44</f>
        <v>0</v>
      </c>
      <c r="J26" s="63">
        <f t="shared" si="0"/>
        <v>0</v>
      </c>
      <c r="K26" s="64" t="str">
        <f t="shared" si="2"/>
        <v>-</v>
      </c>
      <c r="L26" s="63">
        <f>Entrate_Uscite!X44</f>
        <v>0</v>
      </c>
      <c r="M26" s="61" t="str">
        <f t="shared" si="1"/>
        <v>-</v>
      </c>
    </row>
    <row r="27" spans="1:13" x14ac:dyDescent="0.3">
      <c r="A27" s="4" t="s">
        <v>292</v>
      </c>
      <c r="B27" s="46">
        <f>SUM(B22:B26)</f>
        <v>51583127.390000001</v>
      </c>
      <c r="C27" s="46">
        <f>SUM(C22:C26)</f>
        <v>130633866.55</v>
      </c>
      <c r="D27" s="46">
        <f>SUM(D22:D26)</f>
        <v>124386612.12</v>
      </c>
      <c r="E27" s="46">
        <f t="shared" ref="E27:I27" si="12">SUM(E22:E26)</f>
        <v>47046027.719999999</v>
      </c>
      <c r="F27" s="46">
        <f t="shared" si="12"/>
        <v>20148584.370000001</v>
      </c>
      <c r="G27" s="46">
        <f t="shared" ref="G27" si="13">SUM(G22:G26)</f>
        <v>124089817.27</v>
      </c>
      <c r="H27" s="46">
        <f t="shared" ref="H27" si="14">SUM(H22:H26)</f>
        <v>50928073.219999999</v>
      </c>
      <c r="I27" s="46">
        <f t="shared" si="12"/>
        <v>42081599.329999998</v>
      </c>
      <c r="J27" s="46">
        <f t="shared" si="0"/>
        <v>0.76779976617493262</v>
      </c>
      <c r="K27" s="47">
        <f t="shared" si="2"/>
        <v>-17.37052539133937</v>
      </c>
      <c r="L27" s="46">
        <f>SUM(L22:L26)</f>
        <v>40140873.399999999</v>
      </c>
      <c r="M27" s="48">
        <f t="shared" si="1"/>
        <v>95.388184002273761</v>
      </c>
    </row>
    <row r="28" spans="1:13" x14ac:dyDescent="0.3">
      <c r="A28" s="4" t="s">
        <v>293</v>
      </c>
      <c r="B28" s="46">
        <f>Entrate_Uscite!B52</f>
        <v>0</v>
      </c>
      <c r="C28" s="46">
        <f>Entrate_Uscite!E52</f>
        <v>0</v>
      </c>
      <c r="D28" s="46">
        <f>Entrate_Uscite!H52</f>
        <v>0</v>
      </c>
      <c r="E28" s="46">
        <f>Entrate_Uscite!K52</f>
        <v>0</v>
      </c>
      <c r="F28" s="46">
        <f>Entrate_Uscite!N52</f>
        <v>0</v>
      </c>
      <c r="G28" s="46">
        <f>Entrate_Uscite!Q52</f>
        <v>0</v>
      </c>
      <c r="H28" s="46">
        <f>Entrate_Uscite!T52</f>
        <v>0</v>
      </c>
      <c r="I28" s="46">
        <f>Entrate_Uscite!W52</f>
        <v>0</v>
      </c>
      <c r="J28" s="46">
        <f t="shared" si="0"/>
        <v>0</v>
      </c>
      <c r="K28" s="47" t="str">
        <f t="shared" si="2"/>
        <v>-</v>
      </c>
      <c r="L28" s="46">
        <f>Entrate_Uscite!X52</f>
        <v>0</v>
      </c>
      <c r="M28" s="48" t="str">
        <f t="shared" si="1"/>
        <v>-</v>
      </c>
    </row>
    <row r="29" spans="1:13" x14ac:dyDescent="0.3">
      <c r="A29" s="4" t="s">
        <v>294</v>
      </c>
      <c r="B29" s="46">
        <f>Entrate_Uscite!B53</f>
        <v>5723315506.7999992</v>
      </c>
      <c r="C29" s="46">
        <f>Entrate_Uscite!E53</f>
        <v>4057217155.5100002</v>
      </c>
      <c r="D29" s="46">
        <f>Entrate_Uscite!H53</f>
        <v>1125390102.99</v>
      </c>
      <c r="E29" s="46">
        <f>Entrate_Uscite!K53</f>
        <v>1272836366.4200001</v>
      </c>
      <c r="F29" s="46">
        <f>Entrate_Uscite!N53</f>
        <v>1189975569.6099999</v>
      </c>
      <c r="G29" s="46">
        <f>Entrate_Uscite!Q53</f>
        <v>1443544950.02</v>
      </c>
      <c r="H29" s="46">
        <f>Entrate_Uscite!T53</f>
        <v>1093393850.9300001</v>
      </c>
      <c r="I29" s="46">
        <f>Entrate_Uscite!W53</f>
        <v>861589777.79999995</v>
      </c>
      <c r="J29" s="46"/>
      <c r="K29" s="47">
        <f t="shared" si="2"/>
        <v>-21.200418580444378</v>
      </c>
      <c r="L29" s="46">
        <f>Entrate_Uscite!X53</f>
        <v>759774170.64999998</v>
      </c>
      <c r="M29" s="48">
        <f t="shared" si="1"/>
        <v>88.182820899990489</v>
      </c>
    </row>
    <row r="30" spans="1:13" x14ac:dyDescent="0.3">
      <c r="A30" s="50" t="s">
        <v>69</v>
      </c>
      <c r="B30" s="51">
        <f>B10+B15+B20+B27+B28+B29</f>
        <v>10421354937.919998</v>
      </c>
      <c r="C30" s="51">
        <f>C10+C15+C20+C27+C28+C29</f>
        <v>8723145077.0800018</v>
      </c>
      <c r="D30" s="51">
        <f>D10+D15+D20+D27+D28+D29</f>
        <v>5864868483.5900002</v>
      </c>
      <c r="E30" s="51">
        <f t="shared" ref="E30:I30" si="15">E10+E15+E20+E27+E28+E29</f>
        <v>6182445494.7600012</v>
      </c>
      <c r="F30" s="51">
        <f t="shared" si="15"/>
        <v>6158838662.3799992</v>
      </c>
      <c r="G30" s="51">
        <f t="shared" ref="G30:H30" si="16">G10+G15+G20+G27+G28+G29</f>
        <v>7147959152.5800018</v>
      </c>
      <c r="H30" s="51">
        <f t="shared" si="16"/>
        <v>6697618066.7000008</v>
      </c>
      <c r="I30" s="51">
        <f t="shared" si="15"/>
        <v>6342393651.9199991</v>
      </c>
      <c r="J30" s="51"/>
      <c r="K30" s="52">
        <f t="shared" si="2"/>
        <v>-5.3037424834083566</v>
      </c>
      <c r="L30" s="51">
        <f>L10+L15+L20+L27+L28+L29</f>
        <v>4886836439.5500002</v>
      </c>
      <c r="M30" s="53">
        <f t="shared" si="1"/>
        <v>77.050348933649587</v>
      </c>
    </row>
    <row r="31" spans="1:13" x14ac:dyDescent="0.3">
      <c r="A31" s="41" t="s">
        <v>70</v>
      </c>
      <c r="B31" s="54">
        <f>B30-B29</f>
        <v>4698039431.1199989</v>
      </c>
      <c r="C31" s="54">
        <f>C30-C29</f>
        <v>4665927921.5700016</v>
      </c>
      <c r="D31" s="54">
        <f>D30-D29</f>
        <v>4739478380.6000004</v>
      </c>
      <c r="E31" s="54">
        <f t="shared" ref="E31:I31" si="17">E30-E29</f>
        <v>4909609128.3400011</v>
      </c>
      <c r="F31" s="54">
        <f t="shared" si="17"/>
        <v>4968863092.7699995</v>
      </c>
      <c r="G31" s="54">
        <f t="shared" ref="G31:H31" si="18">G30-G29</f>
        <v>5704414202.5600014</v>
      </c>
      <c r="H31" s="54">
        <f t="shared" si="18"/>
        <v>5604224215.7700005</v>
      </c>
      <c r="I31" s="54">
        <f t="shared" si="17"/>
        <v>5480803874.1199989</v>
      </c>
      <c r="J31" s="54">
        <f>I31/I$31*100</f>
        <v>100</v>
      </c>
      <c r="K31" s="55">
        <f t="shared" si="2"/>
        <v>-2.2022734440692631</v>
      </c>
      <c r="L31" s="54">
        <f>L30-L29</f>
        <v>4127062268.9000001</v>
      </c>
      <c r="M31" s="56">
        <f t="shared" si="1"/>
        <v>75.300309291994935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A17" sqref="A17"/>
    </sheetView>
  </sheetViews>
  <sheetFormatPr defaultRowHeight="14.4" x14ac:dyDescent="0.3"/>
  <cols>
    <col min="1" max="1" width="50.6640625" bestFit="1" customWidth="1"/>
    <col min="2" max="5" width="13.109375" bestFit="1" customWidth="1"/>
    <col min="6" max="11" width="13.88671875" bestFit="1" customWidth="1"/>
  </cols>
  <sheetData>
    <row r="1" spans="1:11" x14ac:dyDescent="0.3">
      <c r="A1" s="44"/>
      <c r="B1" s="45">
        <v>2016</v>
      </c>
      <c r="C1" s="45">
        <v>2017</v>
      </c>
      <c r="D1" s="45">
        <v>2018</v>
      </c>
      <c r="E1" s="45">
        <v>2019</v>
      </c>
      <c r="F1" s="45">
        <v>2020</v>
      </c>
      <c r="G1" s="45">
        <v>2021</v>
      </c>
      <c r="H1" s="45">
        <v>2022</v>
      </c>
      <c r="I1" s="45">
        <v>2023</v>
      </c>
      <c r="J1" s="45" t="s">
        <v>264</v>
      </c>
      <c r="K1" s="45" t="s">
        <v>338</v>
      </c>
    </row>
    <row r="2" spans="1:11" ht="17.25" customHeight="1" x14ac:dyDescent="0.3">
      <c r="A2" s="113" t="s">
        <v>296</v>
      </c>
      <c r="B2" s="114">
        <f>Entrate_Uscite!B56</f>
        <v>540312220.23000002</v>
      </c>
      <c r="C2" s="114">
        <f>Entrate_Uscite!E56</f>
        <v>825718460.69999981</v>
      </c>
      <c r="D2" s="114">
        <f>Entrate_Uscite!H56</f>
        <v>422534053.50999928</v>
      </c>
      <c r="E2" s="114">
        <f>Entrate_Uscite!K56</f>
        <v>687747322.13999939</v>
      </c>
      <c r="F2" s="114">
        <f>Entrate_Uscite!N56</f>
        <v>539715573.14999962</v>
      </c>
      <c r="G2" s="114">
        <f>Entrate_Uscite!Q56</f>
        <v>509471892.31999874</v>
      </c>
      <c r="H2" s="114">
        <f>Entrate_Uscite!T56</f>
        <v>286326876.94999886</v>
      </c>
      <c r="I2" s="114">
        <f>Entrate_Uscite!W56</f>
        <v>819860206.02000046</v>
      </c>
      <c r="J2" s="114">
        <f>I2-H2</f>
        <v>533533329.0700016</v>
      </c>
      <c r="K2" s="114">
        <f>Entrate_Uscite!X56</f>
        <v>193321713.32999945</v>
      </c>
    </row>
    <row r="3" spans="1:11" ht="17.25" customHeight="1" x14ac:dyDescent="0.3">
      <c r="A3" s="113" t="s">
        <v>72</v>
      </c>
      <c r="B3" s="115">
        <f>Entrate_Uscite!B57</f>
        <v>-12910218.279999971</v>
      </c>
      <c r="C3" s="115">
        <f>Entrate_Uscite!E57</f>
        <v>63986141.370000005</v>
      </c>
      <c r="D3" s="115">
        <f>Entrate_Uscite!H57</f>
        <v>11646939.539999962</v>
      </c>
      <c r="E3" s="115">
        <f>Entrate_Uscite!K57</f>
        <v>-35038709.840000004</v>
      </c>
      <c r="F3" s="115">
        <f>Entrate_Uscite!N57</f>
        <v>-188119304.63999999</v>
      </c>
      <c r="G3" s="115">
        <f>Entrate_Uscite!Q57</f>
        <v>-319466731.85000002</v>
      </c>
      <c r="H3" s="115">
        <f>Entrate_Uscite!T57</f>
        <v>-59425916.339999974</v>
      </c>
      <c r="I3" s="115">
        <f>Entrate_Uscite!W57</f>
        <v>-11729209.099999905</v>
      </c>
      <c r="J3" s="114">
        <f t="shared" ref="J3:J6" si="0">I3-H3</f>
        <v>47696707.240000069</v>
      </c>
      <c r="K3" s="114">
        <f>Entrate_Uscite!X57</f>
        <v>125536707.86000001</v>
      </c>
    </row>
    <row r="4" spans="1:11" ht="17.25" customHeight="1" x14ac:dyDescent="0.3">
      <c r="A4" s="113" t="s">
        <v>299</v>
      </c>
      <c r="B4" s="115">
        <f>Entrate_Uscite!B16-Entrate_Uscite!B50</f>
        <v>0.14000000059604645</v>
      </c>
      <c r="C4" s="115">
        <f>Entrate_Uscite!E16-Entrate_Uscite!E50</f>
        <v>48140536.240000002</v>
      </c>
      <c r="D4" s="115">
        <f>Entrate_Uscite!H16-Entrate_Uscite!H50</f>
        <v>-1467861.4</v>
      </c>
      <c r="E4" s="115">
        <f>Entrate_Uscite!K16-Entrate_Uscite!K50</f>
        <v>-123752.34999999404</v>
      </c>
      <c r="F4" s="115">
        <f>Entrate_Uscite!N16-Entrate_Uscite!N50</f>
        <v>7149.25</v>
      </c>
      <c r="G4" s="115">
        <f>Entrate_Uscite!Q16-Entrate_Uscite!Q50</f>
        <v>0</v>
      </c>
      <c r="H4" s="115">
        <f>Entrate_Uscite!T16-Entrate_Uscite!T50</f>
        <v>110005123.48000002</v>
      </c>
      <c r="I4" s="115">
        <f>Entrate_Uscite!W16-Entrate_Uscite!W50</f>
        <v>0</v>
      </c>
      <c r="J4" s="114">
        <f t="shared" si="0"/>
        <v>-110005123.48000002</v>
      </c>
      <c r="K4" s="115">
        <f>Entrate_Uscite!X16-Entrate_Uscite!X50</f>
        <v>-110545605.38</v>
      </c>
    </row>
    <row r="5" spans="1:11" ht="17.25" customHeight="1" x14ac:dyDescent="0.3">
      <c r="A5" s="116" t="s">
        <v>297</v>
      </c>
      <c r="B5" s="117">
        <f>Entrate_Uscite!B58</f>
        <v>527402002.09000015</v>
      </c>
      <c r="C5" s="117">
        <f>Entrate_Uscite!E58</f>
        <v>937845138.31000042</v>
      </c>
      <c r="D5" s="117">
        <f>Entrate_Uscite!H58</f>
        <v>432713131.64999962</v>
      </c>
      <c r="E5" s="117">
        <f>Entrate_Uscite!K58</f>
        <v>652584859.94999981</v>
      </c>
      <c r="F5" s="117">
        <f>Entrate_Uscite!N58</f>
        <v>351603417.75999928</v>
      </c>
      <c r="G5" s="117">
        <f>Entrate_Uscite!Q58</f>
        <v>190005160.46999836</v>
      </c>
      <c r="H5" s="117">
        <f>Entrate_Uscite!T58</f>
        <v>336906084.0899992</v>
      </c>
      <c r="I5" s="117">
        <f>Entrate_Uscite!W58</f>
        <v>808130996.92000103</v>
      </c>
      <c r="J5" s="117">
        <f t="shared" si="0"/>
        <v>471224912.83000183</v>
      </c>
      <c r="K5" s="117">
        <f>Entrate_Uscite!X58</f>
        <v>208312815.80999994</v>
      </c>
    </row>
    <row r="6" spans="1:11" ht="17.25" customHeight="1" x14ac:dyDescent="0.3">
      <c r="A6" s="118" t="s">
        <v>298</v>
      </c>
      <c r="B6" s="119">
        <f>Entrate_Uscite!B59</f>
        <v>520256487.42000103</v>
      </c>
      <c r="C6" s="119">
        <f>Entrate_Uscite!E59</f>
        <v>809178271.75999832</v>
      </c>
      <c r="D6" s="119">
        <f>Entrate_Uscite!H59</f>
        <v>308326519.52999973</v>
      </c>
      <c r="E6" s="119">
        <f>Entrate_Uscite!K59</f>
        <v>778349751.82999992</v>
      </c>
      <c r="F6" s="119">
        <f>Entrate_Uscite!N59</f>
        <v>401614259.57999897</v>
      </c>
      <c r="G6" s="119">
        <f>Entrate_Uscite!Q59</f>
        <v>333611368.95999908</v>
      </c>
      <c r="H6" s="119">
        <f>Entrate_Uscite!T59</f>
        <v>473494018.97999859</v>
      </c>
      <c r="I6" s="119">
        <f>Entrate_Uscite!W59</f>
        <v>877572806.17000103</v>
      </c>
      <c r="J6" s="119">
        <f t="shared" si="0"/>
        <v>404078787.19000244</v>
      </c>
      <c r="K6" s="119">
        <f>Entrate_Uscite!X59</f>
        <v>279695350.99000025</v>
      </c>
    </row>
    <row r="7" spans="1:11" x14ac:dyDescent="0.3">
      <c r="K7" s="6"/>
    </row>
    <row r="8" spans="1:11" x14ac:dyDescent="0.3">
      <c r="K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activeCell="E10" sqref="E10"/>
    </sheetView>
  </sheetViews>
  <sheetFormatPr defaultRowHeight="14.4" x14ac:dyDescent="0.3"/>
  <cols>
    <col min="1" max="1" width="33.44140625" bestFit="1" customWidth="1"/>
    <col min="2" max="2" width="13.6640625" bestFit="1" customWidth="1"/>
    <col min="3" max="4" width="12.5546875" bestFit="1" customWidth="1"/>
    <col min="5" max="5" width="11.88671875" customWidth="1"/>
    <col min="6" max="6" width="10.88671875" customWidth="1"/>
    <col min="7" max="9" width="11.109375" bestFit="1" customWidth="1"/>
  </cols>
  <sheetData>
    <row r="1" spans="1:6" x14ac:dyDescent="0.3">
      <c r="A1" s="12">
        <v>2023</v>
      </c>
      <c r="B1" s="12" t="s">
        <v>373</v>
      </c>
      <c r="C1" s="12" t="s">
        <v>374</v>
      </c>
      <c r="D1" s="12" t="s">
        <v>375</v>
      </c>
      <c r="E1" s="12" t="s">
        <v>376</v>
      </c>
      <c r="F1" s="12" t="s">
        <v>377</v>
      </c>
    </row>
    <row r="2" spans="1:6" x14ac:dyDescent="0.3">
      <c r="A2" t="s">
        <v>378</v>
      </c>
      <c r="B2" s="1">
        <v>318102193.88</v>
      </c>
      <c r="C2" s="1">
        <v>229200936.55000001</v>
      </c>
      <c r="D2" s="1">
        <f>B2-C2</f>
        <v>88901257.329999983</v>
      </c>
      <c r="E2" s="6">
        <f>IF(B2&gt;0,C2/B2*100,"-")</f>
        <v>72.052611066386788</v>
      </c>
      <c r="F2" s="6">
        <f>B2/B$11*100</f>
        <v>41.352250760024418</v>
      </c>
    </row>
    <row r="3" spans="1:6" x14ac:dyDescent="0.3">
      <c r="A3" t="s">
        <v>379</v>
      </c>
      <c r="B3" s="1">
        <v>123380056.38</v>
      </c>
      <c r="C3" s="1">
        <v>66582806.289999999</v>
      </c>
      <c r="D3" s="1">
        <f t="shared" ref="D3:D11" si="0">B3-C3</f>
        <v>56797250.089999996</v>
      </c>
      <c r="E3" s="6">
        <f t="shared" ref="E3:E11" si="1">IF(B3&gt;0,C3/B3*100,"-")</f>
        <v>53.965615062559756</v>
      </c>
      <c r="F3" s="6">
        <f t="shared" ref="F3:F11" si="2">B3/B$11*100</f>
        <v>16.039006106749426</v>
      </c>
    </row>
    <row r="4" spans="1:6" x14ac:dyDescent="0.3">
      <c r="A4" t="s">
        <v>380</v>
      </c>
      <c r="B4" s="1">
        <v>54601562.920000002</v>
      </c>
      <c r="C4" s="1">
        <v>36745646.369999997</v>
      </c>
      <c r="D4" s="1">
        <f t="shared" si="0"/>
        <v>17855916.550000004</v>
      </c>
      <c r="E4" s="6">
        <f t="shared" si="1"/>
        <v>67.29779223323375</v>
      </c>
      <c r="F4" s="6">
        <f t="shared" si="2"/>
        <v>7.0980256194298805</v>
      </c>
    </row>
    <row r="5" spans="1:6" x14ac:dyDescent="0.3">
      <c r="A5" t="s">
        <v>381</v>
      </c>
      <c r="B5" s="1">
        <v>191390965.00999999</v>
      </c>
      <c r="C5" s="1">
        <v>131303721.42</v>
      </c>
      <c r="D5" s="1">
        <f t="shared" si="0"/>
        <v>60087243.589999989</v>
      </c>
      <c r="E5" s="6">
        <f t="shared" si="1"/>
        <v>68.604973810095743</v>
      </c>
      <c r="F5" s="6">
        <f t="shared" si="2"/>
        <v>24.880203062297028</v>
      </c>
    </row>
    <row r="6" spans="1:6" x14ac:dyDescent="0.3">
      <c r="A6" t="s">
        <v>382</v>
      </c>
      <c r="B6" s="1">
        <v>804382.13</v>
      </c>
      <c r="C6" s="1">
        <v>182692.41</v>
      </c>
      <c r="D6" s="1">
        <f t="shared" si="0"/>
        <v>621689.72</v>
      </c>
      <c r="E6" s="6">
        <f t="shared" si="1"/>
        <v>22.712141802553472</v>
      </c>
      <c r="F6" s="6">
        <f t="shared" si="2"/>
        <v>0.10456706110989794</v>
      </c>
    </row>
    <row r="7" spans="1:6" x14ac:dyDescent="0.3">
      <c r="A7" t="s">
        <v>383</v>
      </c>
      <c r="B7" s="1">
        <v>47379443.130000003</v>
      </c>
      <c r="C7" s="1">
        <v>25903915.390000001</v>
      </c>
      <c r="D7" s="1">
        <f t="shared" si="0"/>
        <v>21475527.740000002</v>
      </c>
      <c r="E7" s="6">
        <f t="shared" si="1"/>
        <v>54.673321758815696</v>
      </c>
      <c r="F7" s="6">
        <f t="shared" si="2"/>
        <v>6.1591735325194801</v>
      </c>
    </row>
    <row r="8" spans="1:6" x14ac:dyDescent="0.3">
      <c r="A8" t="s">
        <v>384</v>
      </c>
      <c r="B8" s="1">
        <v>0</v>
      </c>
      <c r="C8" s="1">
        <v>0</v>
      </c>
      <c r="D8" s="1">
        <f t="shared" si="0"/>
        <v>0</v>
      </c>
      <c r="E8" s="13" t="str">
        <f t="shared" si="1"/>
        <v>-</v>
      </c>
      <c r="F8" s="6">
        <f t="shared" si="2"/>
        <v>0</v>
      </c>
    </row>
    <row r="9" spans="1:6" x14ac:dyDescent="0.3">
      <c r="A9" t="s">
        <v>385</v>
      </c>
      <c r="B9" s="1">
        <v>0</v>
      </c>
      <c r="C9" s="1">
        <v>0</v>
      </c>
      <c r="D9" s="1">
        <f t="shared" si="0"/>
        <v>0</v>
      </c>
      <c r="E9" s="13" t="str">
        <f t="shared" si="1"/>
        <v>-</v>
      </c>
      <c r="F9" s="6">
        <f t="shared" si="2"/>
        <v>0</v>
      </c>
    </row>
    <row r="10" spans="1:6" x14ac:dyDescent="0.3">
      <c r="A10" t="s">
        <v>386</v>
      </c>
      <c r="B10" s="1">
        <v>33591408.420000002</v>
      </c>
      <c r="C10" s="1">
        <v>17312011.010000002</v>
      </c>
      <c r="D10" s="1">
        <f t="shared" si="0"/>
        <v>16279397.41</v>
      </c>
      <c r="E10" s="6">
        <f t="shared" si="1"/>
        <v>51.537020399813294</v>
      </c>
      <c r="F10" s="6">
        <f t="shared" si="2"/>
        <v>4.366773857869866</v>
      </c>
    </row>
    <row r="11" spans="1:6" x14ac:dyDescent="0.3">
      <c r="A11" s="4" t="s">
        <v>205</v>
      </c>
      <c r="B11" s="3">
        <f>SUM(B2:B10)</f>
        <v>769250011.87</v>
      </c>
      <c r="C11" s="3">
        <f>SUM(C2:C10)</f>
        <v>507231729.44000006</v>
      </c>
      <c r="D11" s="3">
        <f t="shared" si="0"/>
        <v>262018282.42999995</v>
      </c>
      <c r="E11" s="127">
        <f t="shared" si="1"/>
        <v>65.938475347819704</v>
      </c>
      <c r="F11" s="127">
        <f t="shared" si="2"/>
        <v>100</v>
      </c>
    </row>
    <row r="12" spans="1:6" x14ac:dyDescent="0.3">
      <c r="A12" s="128" t="s">
        <v>387</v>
      </c>
      <c r="B12" s="129">
        <v>5438722274.789999</v>
      </c>
      <c r="C12" s="128"/>
      <c r="D12" s="128"/>
      <c r="E12" s="128"/>
      <c r="F12" s="130">
        <f>B11/B12*100</f>
        <v>14.143947291364542</v>
      </c>
    </row>
    <row r="14" spans="1:6" x14ac:dyDescent="0.3">
      <c r="A14" s="12">
        <v>2022</v>
      </c>
      <c r="B14" s="12" t="s">
        <v>373</v>
      </c>
      <c r="C14" s="12" t="s">
        <v>374</v>
      </c>
      <c r="D14" s="12" t="s">
        <v>375</v>
      </c>
      <c r="E14" s="12" t="s">
        <v>376</v>
      </c>
      <c r="F14" s="12" t="s">
        <v>377</v>
      </c>
    </row>
    <row r="15" spans="1:6" x14ac:dyDescent="0.3">
      <c r="A15" t="s">
        <v>378</v>
      </c>
      <c r="B15" s="1">
        <v>312824606.07999998</v>
      </c>
      <c r="C15" s="1">
        <v>216759063.84</v>
      </c>
      <c r="D15" s="1">
        <f>B15-C15</f>
        <v>96065542.23999998</v>
      </c>
      <c r="E15" s="6">
        <f>IF(B15&gt;0,C15/B15*100,"-")</f>
        <v>69.290925210840754</v>
      </c>
      <c r="F15" s="6">
        <f>B15/B$11*100</f>
        <v>40.66618150834244</v>
      </c>
    </row>
    <row r="16" spans="1:6" x14ac:dyDescent="0.3">
      <c r="A16" t="s">
        <v>379</v>
      </c>
      <c r="B16" s="1">
        <v>106426748.33</v>
      </c>
      <c r="C16" s="1">
        <v>62648268.990000002</v>
      </c>
      <c r="D16" s="1">
        <f t="shared" ref="D16:D24" si="3">B16-C16</f>
        <v>43778479.339999996</v>
      </c>
      <c r="E16" s="6">
        <f t="shared" ref="E16:E24" si="4">IF(B16&gt;0,C16/B16*100,"-")</f>
        <v>58.865153707172368</v>
      </c>
      <c r="F16" s="6">
        <f t="shared" ref="F16:F24" si="5">B16/B$11*100</f>
        <v>13.835131191130312</v>
      </c>
    </row>
    <row r="17" spans="1:6" x14ac:dyDescent="0.3">
      <c r="A17" t="s">
        <v>380</v>
      </c>
      <c r="B17" s="1">
        <v>51200926.399999999</v>
      </c>
      <c r="C17" s="1">
        <v>28789309.050000001</v>
      </c>
      <c r="D17" s="1">
        <f t="shared" si="3"/>
        <v>22411617.349999998</v>
      </c>
      <c r="E17" s="6">
        <f t="shared" si="4"/>
        <v>56.228101861063209</v>
      </c>
      <c r="F17" s="6">
        <f t="shared" si="5"/>
        <v>6.6559539304437125</v>
      </c>
    </row>
    <row r="18" spans="1:6" x14ac:dyDescent="0.3">
      <c r="A18" t="s">
        <v>381</v>
      </c>
      <c r="B18" s="1">
        <v>181280436.22999999</v>
      </c>
      <c r="C18" s="1">
        <v>119695836.01000001</v>
      </c>
      <c r="D18" s="1">
        <f t="shared" si="3"/>
        <v>61584600.219999984</v>
      </c>
      <c r="E18" s="6">
        <f t="shared" si="4"/>
        <v>66.027994249823863</v>
      </c>
      <c r="F18" s="6">
        <f t="shared" si="5"/>
        <v>23.565867199575113</v>
      </c>
    </row>
    <row r="19" spans="1:6" x14ac:dyDescent="0.3">
      <c r="A19" t="s">
        <v>382</v>
      </c>
      <c r="B19" s="1">
        <v>2493421.16</v>
      </c>
      <c r="C19" s="1">
        <v>1592056.03</v>
      </c>
      <c r="D19" s="1">
        <f t="shared" si="3"/>
        <v>901365.13000000012</v>
      </c>
      <c r="E19" s="6">
        <f t="shared" si="4"/>
        <v>63.850265472199652</v>
      </c>
      <c r="F19" s="6">
        <f t="shared" si="5"/>
        <v>0.32413664238218792</v>
      </c>
    </row>
    <row r="20" spans="1:6" x14ac:dyDescent="0.3">
      <c r="A20" t="s">
        <v>383</v>
      </c>
      <c r="B20" s="1">
        <v>40139191</v>
      </c>
      <c r="C20" s="1">
        <v>23626776.91</v>
      </c>
      <c r="D20" s="1">
        <f t="shared" si="3"/>
        <v>16512414.09</v>
      </c>
      <c r="E20" s="6">
        <f t="shared" si="4"/>
        <v>58.862115357531742</v>
      </c>
      <c r="F20" s="6">
        <f t="shared" si="5"/>
        <v>5.2179643003740832</v>
      </c>
    </row>
    <row r="21" spans="1:6" x14ac:dyDescent="0.3">
      <c r="A21" t="s">
        <v>384</v>
      </c>
      <c r="B21" s="1">
        <v>0</v>
      </c>
      <c r="C21" s="1">
        <v>0</v>
      </c>
      <c r="D21" s="1">
        <f t="shared" si="3"/>
        <v>0</v>
      </c>
      <c r="E21" s="13" t="str">
        <f t="shared" si="4"/>
        <v>-</v>
      </c>
      <c r="F21" s="6">
        <f t="shared" si="5"/>
        <v>0</v>
      </c>
    </row>
    <row r="22" spans="1:6" x14ac:dyDescent="0.3">
      <c r="A22" t="s">
        <v>385</v>
      </c>
      <c r="B22" s="1">
        <v>0</v>
      </c>
      <c r="C22" s="1">
        <v>0</v>
      </c>
      <c r="D22" s="1">
        <f t="shared" si="3"/>
        <v>0</v>
      </c>
      <c r="E22" s="13" t="str">
        <f t="shared" si="4"/>
        <v>-</v>
      </c>
      <c r="F22" s="6">
        <f t="shared" si="5"/>
        <v>0</v>
      </c>
    </row>
    <row r="23" spans="1:6" x14ac:dyDescent="0.3">
      <c r="A23" t="s">
        <v>386</v>
      </c>
      <c r="B23" s="1">
        <v>32190181.829999998</v>
      </c>
      <c r="C23" s="1">
        <v>17728392.449999999</v>
      </c>
      <c r="D23" s="1">
        <f t="shared" si="3"/>
        <v>14461789.379999999</v>
      </c>
      <c r="E23" s="6">
        <f t="shared" si="4"/>
        <v>55.073912112785351</v>
      </c>
      <c r="F23" s="6">
        <f t="shared" si="5"/>
        <v>4.1846189578531989</v>
      </c>
    </row>
    <row r="24" spans="1:6" x14ac:dyDescent="0.3">
      <c r="A24" s="4" t="s">
        <v>205</v>
      </c>
      <c r="B24" s="3">
        <f>SUM(B15:B23)</f>
        <v>726555511.02999997</v>
      </c>
      <c r="C24" s="3">
        <f>SUM(C15:C23)</f>
        <v>470839703.27999997</v>
      </c>
      <c r="D24" s="3">
        <f t="shared" si="3"/>
        <v>255715807.75</v>
      </c>
      <c r="E24" s="127">
        <f t="shared" si="4"/>
        <v>64.804367475310315</v>
      </c>
      <c r="F24" s="127">
        <f t="shared" si="5"/>
        <v>94.449853730101054</v>
      </c>
    </row>
    <row r="25" spans="1:6" x14ac:dyDescent="0.3">
      <c r="A25" s="128" t="s">
        <v>387</v>
      </c>
      <c r="B25" s="129">
        <v>5553296142.5500002</v>
      </c>
      <c r="C25" s="128"/>
      <c r="D25" s="128"/>
      <c r="E25" s="128"/>
      <c r="F25" s="130">
        <f>B24/B25*100</f>
        <v>13.083320110790551</v>
      </c>
    </row>
    <row r="27" spans="1:6" x14ac:dyDescent="0.3">
      <c r="A27" s="12">
        <v>2021</v>
      </c>
      <c r="B27" s="12" t="s">
        <v>373</v>
      </c>
      <c r="C27" s="12" t="s">
        <v>374</v>
      </c>
      <c r="D27" s="12" t="s">
        <v>375</v>
      </c>
      <c r="E27" s="12" t="s">
        <v>376</v>
      </c>
      <c r="F27" s="12" t="s">
        <v>377</v>
      </c>
    </row>
    <row r="28" spans="1:6" x14ac:dyDescent="0.3">
      <c r="A28" t="s">
        <v>378</v>
      </c>
      <c r="B28" s="1">
        <v>284038325.88999999</v>
      </c>
      <c r="C28" s="1">
        <v>208878285.93000001</v>
      </c>
      <c r="D28" s="1">
        <f>B28-C28</f>
        <v>75160039.959999979</v>
      </c>
      <c r="E28" s="6">
        <f>IF(B28&gt;0,C28/B28*100,"-")</f>
        <v>73.538768148807023</v>
      </c>
      <c r="F28" s="6">
        <f>B28/B$11*100</f>
        <v>36.924058694457486</v>
      </c>
    </row>
    <row r="29" spans="1:6" x14ac:dyDescent="0.3">
      <c r="A29" t="s">
        <v>379</v>
      </c>
      <c r="B29" s="1">
        <v>93540385.390000001</v>
      </c>
      <c r="C29" s="1">
        <v>56537959.960000001</v>
      </c>
      <c r="D29" s="1">
        <f t="shared" ref="D29:D37" si="6">B29-C29</f>
        <v>37002425.43</v>
      </c>
      <c r="E29" s="6">
        <f t="shared" ref="E29:E37" si="7">IF(B29&gt;0,C29/B29*100,"-")</f>
        <v>60.442299573895312</v>
      </c>
      <c r="F29" s="6">
        <f t="shared" ref="F29:F37" si="8">B29/B$11*100</f>
        <v>12.159945914412013</v>
      </c>
    </row>
    <row r="30" spans="1:6" x14ac:dyDescent="0.3">
      <c r="A30" t="s">
        <v>380</v>
      </c>
      <c r="B30" s="1">
        <v>49401525.780000001</v>
      </c>
      <c r="C30" s="1">
        <v>30975290.109999999</v>
      </c>
      <c r="D30" s="1">
        <f t="shared" si="6"/>
        <v>18426235.670000002</v>
      </c>
      <c r="E30" s="6">
        <f t="shared" si="7"/>
        <v>62.701079816729496</v>
      </c>
      <c r="F30" s="6">
        <f t="shared" si="8"/>
        <v>6.4220377013590024</v>
      </c>
    </row>
    <row r="31" spans="1:6" x14ac:dyDescent="0.3">
      <c r="A31" t="s">
        <v>381</v>
      </c>
      <c r="B31" s="1">
        <v>186634007.59999999</v>
      </c>
      <c r="C31" s="1">
        <v>136041860.53999999</v>
      </c>
      <c r="D31" s="1">
        <f t="shared" si="6"/>
        <v>50592147.060000002</v>
      </c>
      <c r="E31" s="6">
        <f t="shared" si="7"/>
        <v>72.892321334903372</v>
      </c>
      <c r="F31" s="6">
        <f t="shared" si="8"/>
        <v>24.26181406826424</v>
      </c>
    </row>
    <row r="32" spans="1:6" x14ac:dyDescent="0.3">
      <c r="A32" t="s">
        <v>382</v>
      </c>
      <c r="B32" s="1">
        <v>573819.80000000005</v>
      </c>
      <c r="C32" s="1">
        <v>112469.59</v>
      </c>
      <c r="D32" s="1">
        <f t="shared" si="6"/>
        <v>461350.21000000008</v>
      </c>
      <c r="E32" s="6">
        <f t="shared" si="7"/>
        <v>19.60015844695495</v>
      </c>
      <c r="F32" s="6">
        <f t="shared" si="8"/>
        <v>7.4594707981229538E-2</v>
      </c>
    </row>
    <row r="33" spans="1:6" x14ac:dyDescent="0.3">
      <c r="A33" t="s">
        <v>383</v>
      </c>
      <c r="B33" s="1">
        <v>33022678.210000001</v>
      </c>
      <c r="C33" s="1">
        <v>28981677.23</v>
      </c>
      <c r="D33" s="1">
        <f t="shared" si="6"/>
        <v>4041000.9800000004</v>
      </c>
      <c r="E33" s="6">
        <f t="shared" si="7"/>
        <v>87.762952010426901</v>
      </c>
      <c r="F33" s="6">
        <f t="shared" si="8"/>
        <v>4.2928407800376736</v>
      </c>
    </row>
    <row r="34" spans="1:6" x14ac:dyDescent="0.3">
      <c r="A34" t="s">
        <v>384</v>
      </c>
      <c r="B34" s="1">
        <v>0</v>
      </c>
      <c r="C34" s="1">
        <v>0</v>
      </c>
      <c r="D34" s="1">
        <f t="shared" si="6"/>
        <v>0</v>
      </c>
      <c r="E34" s="13" t="str">
        <f t="shared" si="7"/>
        <v>-</v>
      </c>
      <c r="F34" s="6">
        <f t="shared" si="8"/>
        <v>0</v>
      </c>
    </row>
    <row r="35" spans="1:6" x14ac:dyDescent="0.3">
      <c r="A35" t="s">
        <v>385</v>
      </c>
      <c r="B35" s="1">
        <v>0</v>
      </c>
      <c r="C35" s="1">
        <v>0</v>
      </c>
      <c r="D35" s="1">
        <f t="shared" si="6"/>
        <v>0</v>
      </c>
      <c r="E35" s="13" t="str">
        <f t="shared" si="7"/>
        <v>-</v>
      </c>
      <c r="F35" s="6">
        <f t="shared" si="8"/>
        <v>0</v>
      </c>
    </row>
    <row r="36" spans="1:6" x14ac:dyDescent="0.3">
      <c r="A36" t="s">
        <v>386</v>
      </c>
      <c r="B36" s="1">
        <v>29867309.440000001</v>
      </c>
      <c r="C36" s="1">
        <v>18171776.199999999</v>
      </c>
      <c r="D36" s="1">
        <f t="shared" si="6"/>
        <v>11695533.240000002</v>
      </c>
      <c r="E36" s="6">
        <f t="shared" si="7"/>
        <v>60.841691269530031</v>
      </c>
      <c r="F36" s="6">
        <f t="shared" si="8"/>
        <v>3.882653100959256</v>
      </c>
    </row>
    <row r="37" spans="1:6" x14ac:dyDescent="0.3">
      <c r="A37" s="4" t="s">
        <v>205</v>
      </c>
      <c r="B37" s="3">
        <f>SUM(B28:B36)</f>
        <v>677078052.11000001</v>
      </c>
      <c r="C37" s="3">
        <f>SUM(C28:C36)</f>
        <v>479699319.55999994</v>
      </c>
      <c r="D37" s="3">
        <f t="shared" si="6"/>
        <v>197378732.55000007</v>
      </c>
      <c r="E37" s="127">
        <f t="shared" si="7"/>
        <v>70.84845211938233</v>
      </c>
      <c r="F37" s="127">
        <f t="shared" si="8"/>
        <v>88.01794496747091</v>
      </c>
    </row>
    <row r="38" spans="1:6" x14ac:dyDescent="0.3">
      <c r="A38" s="128" t="s">
        <v>387</v>
      </c>
      <c r="B38" s="129">
        <f>4723492837.89+549135521.64+307696025.76</f>
        <v>5580324385.2900009</v>
      </c>
      <c r="C38" s="128"/>
      <c r="D38" s="128"/>
      <c r="E38" s="128"/>
      <c r="F38" s="130">
        <f>B37/B38*100</f>
        <v>12.133309918233603</v>
      </c>
    </row>
    <row r="40" spans="1:6" x14ac:dyDescent="0.3">
      <c r="A40" s="12">
        <v>2020</v>
      </c>
      <c r="B40" s="12" t="s">
        <v>373</v>
      </c>
      <c r="C40" s="12" t="s">
        <v>374</v>
      </c>
      <c r="D40" s="12" t="s">
        <v>375</v>
      </c>
      <c r="E40" s="12" t="s">
        <v>376</v>
      </c>
      <c r="F40" s="12" t="s">
        <v>377</v>
      </c>
    </row>
    <row r="41" spans="1:6" x14ac:dyDescent="0.3">
      <c r="A41" t="s">
        <v>378</v>
      </c>
      <c r="B41" s="1">
        <v>268537586.91000003</v>
      </c>
      <c r="C41" s="1">
        <v>179824199.06999999</v>
      </c>
      <c r="D41" s="1">
        <f>B41-C41</f>
        <v>88713387.840000033</v>
      </c>
      <c r="E41" s="6">
        <f>IF(B41&gt;0,C41/B41*100,"-")</f>
        <v>66.964256713257726</v>
      </c>
      <c r="F41" s="6">
        <f>B41/B$11*100</f>
        <v>34.909013034293167</v>
      </c>
    </row>
    <row r="42" spans="1:6" x14ac:dyDescent="0.3">
      <c r="A42" t="s">
        <v>379</v>
      </c>
      <c r="B42" s="1">
        <v>95208197.540000007</v>
      </c>
      <c r="C42" s="1">
        <v>59106765.25</v>
      </c>
      <c r="D42" s="1">
        <f t="shared" ref="D42:D50" si="9">B42-C42</f>
        <v>36101432.290000007</v>
      </c>
      <c r="E42" s="6">
        <f t="shared" ref="E42:E50" si="10">IF(B42&gt;0,C42/B42*100,"-")</f>
        <v>62.081592527962059</v>
      </c>
      <c r="F42" s="6">
        <f t="shared" ref="F42:F50" si="11">B42/B$11*100</f>
        <v>12.376756070312519</v>
      </c>
    </row>
    <row r="43" spans="1:6" x14ac:dyDescent="0.3">
      <c r="A43" t="s">
        <v>380</v>
      </c>
      <c r="B43" s="1">
        <v>51020219.909999996</v>
      </c>
      <c r="C43" s="1">
        <v>31494163.300000001</v>
      </c>
      <c r="D43" s="1">
        <f t="shared" si="9"/>
        <v>19526056.609999996</v>
      </c>
      <c r="E43" s="6">
        <f t="shared" si="10"/>
        <v>61.728787832659116</v>
      </c>
      <c r="F43" s="6">
        <f t="shared" si="11"/>
        <v>6.6324626743876083</v>
      </c>
    </row>
    <row r="44" spans="1:6" x14ac:dyDescent="0.3">
      <c r="A44" t="s">
        <v>381</v>
      </c>
      <c r="B44" s="1">
        <v>190552411.25</v>
      </c>
      <c r="C44" s="1">
        <v>136620743.97999999</v>
      </c>
      <c r="D44" s="1">
        <f t="shared" si="9"/>
        <v>53931667.270000011</v>
      </c>
      <c r="E44" s="6">
        <f t="shared" si="10"/>
        <v>71.69720030504206</v>
      </c>
      <c r="F44" s="6">
        <f t="shared" si="11"/>
        <v>24.7711938004107</v>
      </c>
    </row>
    <row r="45" spans="1:6" x14ac:dyDescent="0.3">
      <c r="A45" t="s">
        <v>382</v>
      </c>
      <c r="B45" s="1">
        <v>408442.9</v>
      </c>
      <c r="C45" s="1">
        <v>165312.39000000001</v>
      </c>
      <c r="D45" s="1">
        <f t="shared" si="9"/>
        <v>243130.51</v>
      </c>
      <c r="E45" s="6">
        <f t="shared" si="10"/>
        <v>40.473806742631588</v>
      </c>
      <c r="F45" s="6">
        <f t="shared" si="11"/>
        <v>5.3096248774452431E-2</v>
      </c>
    </row>
    <row r="46" spans="1:6" x14ac:dyDescent="0.3">
      <c r="A46" t="s">
        <v>383</v>
      </c>
      <c r="B46" s="1">
        <v>70176187.760000005</v>
      </c>
      <c r="C46" s="1">
        <v>23312373.140000001</v>
      </c>
      <c r="D46" s="1">
        <f t="shared" si="9"/>
        <v>46863814.620000005</v>
      </c>
      <c r="E46" s="6">
        <f t="shared" si="10"/>
        <v>33.21977708411216</v>
      </c>
      <c r="F46" s="6">
        <f t="shared" si="11"/>
        <v>9.1226762011229567</v>
      </c>
    </row>
    <row r="47" spans="1:6" x14ac:dyDescent="0.3">
      <c r="A47" t="s">
        <v>384</v>
      </c>
      <c r="B47" s="1">
        <v>0</v>
      </c>
      <c r="C47" s="1">
        <v>0</v>
      </c>
      <c r="D47" s="1">
        <f t="shared" si="9"/>
        <v>0</v>
      </c>
      <c r="E47" s="13" t="str">
        <f t="shared" si="10"/>
        <v>-</v>
      </c>
      <c r="F47" s="6">
        <f t="shared" si="11"/>
        <v>0</v>
      </c>
    </row>
    <row r="48" spans="1:6" x14ac:dyDescent="0.3">
      <c r="A48" t="s">
        <v>385</v>
      </c>
      <c r="B48" s="1">
        <v>0</v>
      </c>
      <c r="C48" s="1">
        <v>0</v>
      </c>
      <c r="D48" s="1">
        <f t="shared" si="9"/>
        <v>0</v>
      </c>
      <c r="E48" s="13" t="str">
        <f t="shared" si="10"/>
        <v>-</v>
      </c>
      <c r="F48" s="6">
        <f t="shared" si="11"/>
        <v>0</v>
      </c>
    </row>
    <row r="49" spans="1:8" x14ac:dyDescent="0.3">
      <c r="A49" t="s">
        <v>386</v>
      </c>
      <c r="B49" s="1">
        <v>29542189.559999999</v>
      </c>
      <c r="C49" s="1">
        <v>16454063.539999999</v>
      </c>
      <c r="D49" s="1">
        <f t="shared" si="9"/>
        <v>13088126.02</v>
      </c>
      <c r="E49" s="6">
        <f t="shared" si="10"/>
        <v>55.696831497820774</v>
      </c>
      <c r="F49" s="6">
        <f t="shared" si="11"/>
        <v>3.840388573824618</v>
      </c>
      <c r="H49" s="21"/>
    </row>
    <row r="50" spans="1:8" x14ac:dyDescent="0.3">
      <c r="A50" s="4" t="s">
        <v>205</v>
      </c>
      <c r="B50" s="3">
        <f>SUM(B41:B49)</f>
        <v>705445235.82999992</v>
      </c>
      <c r="C50" s="3">
        <f>SUM(C41:C49)</f>
        <v>446977620.67000002</v>
      </c>
      <c r="D50" s="3">
        <f t="shared" si="9"/>
        <v>258467615.15999991</v>
      </c>
      <c r="E50" s="127">
        <f t="shared" si="10"/>
        <v>63.361065886865511</v>
      </c>
      <c r="F50" s="127">
        <f t="shared" si="11"/>
        <v>91.705586603125994</v>
      </c>
      <c r="H50" s="21"/>
    </row>
    <row r="51" spans="1:8" x14ac:dyDescent="0.3">
      <c r="A51" s="128" t="s">
        <v>387</v>
      </c>
      <c r="B51" s="129">
        <v>4948714508.3999996</v>
      </c>
      <c r="C51" s="128"/>
      <c r="D51" s="128"/>
      <c r="E51" s="128"/>
      <c r="F51" s="130">
        <f>B50/B51*100</f>
        <v>14.255120893164678</v>
      </c>
      <c r="H51" s="21"/>
    </row>
    <row r="52" spans="1:8" x14ac:dyDescent="0.3">
      <c r="H52" s="7"/>
    </row>
    <row r="53" spans="1:8" x14ac:dyDescent="0.3">
      <c r="A53" s="12">
        <v>2019</v>
      </c>
      <c r="B53" s="12" t="s">
        <v>373</v>
      </c>
      <c r="C53" s="12" t="s">
        <v>374</v>
      </c>
      <c r="D53" s="12" t="s">
        <v>375</v>
      </c>
      <c r="H53" s="31"/>
    </row>
    <row r="54" spans="1:8" x14ac:dyDescent="0.3">
      <c r="A54" t="s">
        <v>378</v>
      </c>
      <c r="B54" s="1">
        <v>309102996.48000002</v>
      </c>
      <c r="C54" s="1">
        <v>222645519.99000001</v>
      </c>
      <c r="D54" s="1">
        <f>B54-C54</f>
        <v>86457476.49000001</v>
      </c>
      <c r="E54" s="6">
        <f>IF(B54&gt;0,C54/B54*100,"-")</f>
        <v>72.029557307900731</v>
      </c>
      <c r="F54" s="6">
        <f>B54/B$63*100</f>
        <v>44.831249698645657</v>
      </c>
    </row>
    <row r="55" spans="1:8" x14ac:dyDescent="0.3">
      <c r="A55" t="s">
        <v>379</v>
      </c>
      <c r="B55" s="1">
        <v>94372074.310000002</v>
      </c>
      <c r="C55" s="1">
        <v>57285385.32</v>
      </c>
      <c r="D55" s="1">
        <f t="shared" ref="D55:D63" si="12">B55-C55</f>
        <v>37086688.990000002</v>
      </c>
      <c r="E55" s="6">
        <f t="shared" ref="E55:E63" si="13">IF(B55&gt;0,C55/B55*100,"-")</f>
        <v>60.701627826707458</v>
      </c>
      <c r="F55" s="6">
        <f t="shared" ref="F55:F63" si="14">B55/B$63*100</f>
        <v>13.687405415510106</v>
      </c>
    </row>
    <row r="56" spans="1:8" x14ac:dyDescent="0.3">
      <c r="A56" t="s">
        <v>380</v>
      </c>
      <c r="B56" s="1">
        <v>52990528.229999997</v>
      </c>
      <c r="C56" s="1">
        <v>34098058.939999998</v>
      </c>
      <c r="D56" s="1">
        <f t="shared" si="12"/>
        <v>18892469.289999999</v>
      </c>
      <c r="E56" s="6">
        <f t="shared" si="13"/>
        <v>64.34745996869637</v>
      </c>
      <c r="F56" s="6">
        <f t="shared" si="14"/>
        <v>7.6855663962997935</v>
      </c>
    </row>
    <row r="57" spans="1:8" x14ac:dyDescent="0.3">
      <c r="A57" t="s">
        <v>381</v>
      </c>
      <c r="B57" s="1">
        <v>170559166.25</v>
      </c>
      <c r="C57" s="1">
        <v>114974483.53</v>
      </c>
      <c r="D57" s="1">
        <f t="shared" si="12"/>
        <v>55584682.719999999</v>
      </c>
      <c r="E57" s="6">
        <f t="shared" si="13"/>
        <v>67.410322211281326</v>
      </c>
      <c r="F57" s="6">
        <f t="shared" si="14"/>
        <v>24.737322697036078</v>
      </c>
    </row>
    <row r="58" spans="1:8" x14ac:dyDescent="0.3">
      <c r="A58" t="s">
        <v>382</v>
      </c>
      <c r="B58" s="1">
        <v>619870.66</v>
      </c>
      <c r="C58" s="1">
        <v>150.51</v>
      </c>
      <c r="D58" s="1">
        <f t="shared" si="12"/>
        <v>619720.15</v>
      </c>
      <c r="E58" s="6">
        <f t="shared" si="13"/>
        <v>2.4280871754762515E-2</v>
      </c>
      <c r="F58" s="6">
        <f t="shared" si="14"/>
        <v>8.9903937055887992E-2</v>
      </c>
    </row>
    <row r="59" spans="1:8" x14ac:dyDescent="0.3">
      <c r="A59" t="s">
        <v>383</v>
      </c>
      <c r="B59" s="1">
        <v>31884077.359999999</v>
      </c>
      <c r="C59" s="1">
        <v>19950947.57</v>
      </c>
      <c r="D59" s="1">
        <f t="shared" si="12"/>
        <v>11933129.789999999</v>
      </c>
      <c r="E59" s="6">
        <f t="shared" si="13"/>
        <v>62.573388418099107</v>
      </c>
      <c r="F59" s="6">
        <f t="shared" si="14"/>
        <v>4.6243583847935357</v>
      </c>
    </row>
    <row r="60" spans="1:8" x14ac:dyDescent="0.3">
      <c r="A60" t="s">
        <v>384</v>
      </c>
      <c r="B60" s="1">
        <v>0</v>
      </c>
      <c r="C60" s="1">
        <v>0</v>
      </c>
      <c r="D60" s="1">
        <f t="shared" si="12"/>
        <v>0</v>
      </c>
      <c r="E60" s="13" t="str">
        <f t="shared" si="13"/>
        <v>-</v>
      </c>
      <c r="F60" s="6">
        <f t="shared" si="14"/>
        <v>0</v>
      </c>
    </row>
    <row r="61" spans="1:8" x14ac:dyDescent="0.3">
      <c r="A61" t="s">
        <v>385</v>
      </c>
      <c r="B61" s="1">
        <v>0</v>
      </c>
      <c r="C61" s="1">
        <v>0</v>
      </c>
      <c r="D61" s="1">
        <f t="shared" si="12"/>
        <v>0</v>
      </c>
      <c r="E61" s="13" t="str">
        <f t="shared" si="13"/>
        <v>-</v>
      </c>
      <c r="F61" s="6">
        <f t="shared" si="14"/>
        <v>0</v>
      </c>
    </row>
    <row r="62" spans="1:8" x14ac:dyDescent="0.3">
      <c r="A62" t="s">
        <v>386</v>
      </c>
      <c r="B62" s="1">
        <v>29952393.210000001</v>
      </c>
      <c r="C62" s="1">
        <v>15692657.91</v>
      </c>
      <c r="D62" s="1">
        <f t="shared" si="12"/>
        <v>14259735.300000001</v>
      </c>
      <c r="E62" s="6">
        <f t="shared" si="13"/>
        <v>52.392000198370795</v>
      </c>
      <c r="F62" s="6">
        <f t="shared" si="14"/>
        <v>4.3441934706589382</v>
      </c>
    </row>
    <row r="63" spans="1:8" x14ac:dyDescent="0.3">
      <c r="A63" s="4" t="s">
        <v>205</v>
      </c>
      <c r="B63" s="3">
        <f>SUM(B54:B62)</f>
        <v>689481106.5</v>
      </c>
      <c r="C63" s="3">
        <f>SUM(C54:C62)</f>
        <v>464647203.76999998</v>
      </c>
      <c r="D63" s="3">
        <f t="shared" si="12"/>
        <v>224833902.73000002</v>
      </c>
      <c r="E63" s="127">
        <f t="shared" si="13"/>
        <v>67.390853699919333</v>
      </c>
      <c r="F63" s="127">
        <f t="shared" si="14"/>
        <v>100</v>
      </c>
    </row>
    <row r="64" spans="1:8" x14ac:dyDescent="0.3">
      <c r="A64" s="128" t="s">
        <v>387</v>
      </c>
      <c r="B64" s="129">
        <v>4862563100.6200008</v>
      </c>
      <c r="C64" s="128"/>
      <c r="D64" s="128"/>
      <c r="E64" s="128"/>
      <c r="F64" s="130">
        <f>B63/B64*100</f>
        <v>14.179376025209582</v>
      </c>
    </row>
    <row r="66" spans="1:6" x14ac:dyDescent="0.3">
      <c r="A66" s="12">
        <v>2018</v>
      </c>
      <c r="B66" s="12" t="s">
        <v>373</v>
      </c>
      <c r="C66" s="12" t="s">
        <v>374</v>
      </c>
      <c r="D66" s="12" t="s">
        <v>375</v>
      </c>
    </row>
    <row r="67" spans="1:6" x14ac:dyDescent="0.3">
      <c r="A67" t="s">
        <v>378</v>
      </c>
      <c r="B67" s="1">
        <v>312540769.55000001</v>
      </c>
      <c r="C67" s="1">
        <v>220660332</v>
      </c>
      <c r="D67" s="1">
        <f>B67-C67</f>
        <v>91880437.550000012</v>
      </c>
      <c r="E67" s="6">
        <f>IF(B67&gt;0,C67/B67*100,"-")</f>
        <v>70.602095309904499</v>
      </c>
      <c r="F67" s="6">
        <f>B67/B$76*100</f>
        <v>45.926495038133176</v>
      </c>
    </row>
    <row r="68" spans="1:6" x14ac:dyDescent="0.3">
      <c r="A68" t="s">
        <v>379</v>
      </c>
      <c r="B68" s="1">
        <v>78058641.019999996</v>
      </c>
      <c r="C68" s="1">
        <v>31775103.059999999</v>
      </c>
      <c r="D68" s="1">
        <f>B68-C68</f>
        <v>46283537.959999993</v>
      </c>
      <c r="E68" s="6">
        <f t="shared" ref="E68:E76" si="15">IF(B68&gt;0,C68/B68*100,"-")</f>
        <v>40.706707988752534</v>
      </c>
      <c r="F68" s="6">
        <f t="shared" ref="F68:F76" si="16">B68/B$76*100</f>
        <v>11.470374871893089</v>
      </c>
    </row>
    <row r="69" spans="1:6" x14ac:dyDescent="0.3">
      <c r="A69" t="s">
        <v>380</v>
      </c>
      <c r="B69" s="1">
        <v>52979681.009999998</v>
      </c>
      <c r="C69" s="1">
        <v>34283624.990000002</v>
      </c>
      <c r="D69" s="1">
        <f t="shared" ref="D69:D76" si="17">B69-C69</f>
        <v>18696056.019999996</v>
      </c>
      <c r="E69" s="6">
        <f t="shared" si="15"/>
        <v>64.710893566023771</v>
      </c>
      <c r="F69" s="6">
        <f t="shared" si="16"/>
        <v>7.7851317142750771</v>
      </c>
    </row>
    <row r="70" spans="1:6" x14ac:dyDescent="0.3">
      <c r="A70" t="s">
        <v>381</v>
      </c>
      <c r="B70" s="1">
        <v>172930576.06</v>
      </c>
      <c r="C70" s="1">
        <v>117103930.62</v>
      </c>
      <c r="D70" s="1">
        <f t="shared" si="17"/>
        <v>55826645.439999998</v>
      </c>
      <c r="E70" s="6">
        <f t="shared" si="15"/>
        <v>67.717307886240789</v>
      </c>
      <c r="F70" s="6">
        <f t="shared" si="16"/>
        <v>25.411389543822484</v>
      </c>
    </row>
    <row r="71" spans="1:6" x14ac:dyDescent="0.3">
      <c r="A71" t="s">
        <v>382</v>
      </c>
      <c r="B71" s="1">
        <v>564381.26</v>
      </c>
      <c r="C71" s="1">
        <v>252.16</v>
      </c>
      <c r="D71" s="1">
        <f t="shared" si="17"/>
        <v>564129.1</v>
      </c>
      <c r="E71" s="6">
        <f t="shared" si="15"/>
        <v>4.4679017159428715E-2</v>
      </c>
      <c r="F71" s="6">
        <f t="shared" si="16"/>
        <v>8.293335034122222E-2</v>
      </c>
    </row>
    <row r="72" spans="1:6" x14ac:dyDescent="0.3">
      <c r="A72" t="s">
        <v>383</v>
      </c>
      <c r="B72" s="1">
        <v>40620084.509999998</v>
      </c>
      <c r="C72" s="1">
        <v>20081765.850000001</v>
      </c>
      <c r="D72" s="1">
        <f t="shared" si="17"/>
        <v>20538318.659999996</v>
      </c>
      <c r="E72" s="6">
        <f t="shared" si="15"/>
        <v>49.438020851621324</v>
      </c>
      <c r="F72" s="6">
        <f t="shared" si="16"/>
        <v>5.9689432274166645</v>
      </c>
    </row>
    <row r="73" spans="1:6" x14ac:dyDescent="0.3">
      <c r="A73" t="s">
        <v>384</v>
      </c>
      <c r="B73" s="1">
        <v>0</v>
      </c>
      <c r="C73" s="1">
        <v>0</v>
      </c>
      <c r="D73" s="1">
        <f t="shared" si="17"/>
        <v>0</v>
      </c>
      <c r="E73" s="13" t="str">
        <f t="shared" si="15"/>
        <v>-</v>
      </c>
      <c r="F73" s="6">
        <f t="shared" si="16"/>
        <v>0</v>
      </c>
    </row>
    <row r="74" spans="1:6" x14ac:dyDescent="0.3">
      <c r="A74" t="s">
        <v>385</v>
      </c>
      <c r="B74" s="1">
        <v>0</v>
      </c>
      <c r="C74" s="1">
        <v>0</v>
      </c>
      <c r="D74" s="1">
        <f t="shared" si="17"/>
        <v>0</v>
      </c>
      <c r="E74" s="13" t="str">
        <f t="shared" si="15"/>
        <v>-</v>
      </c>
      <c r="F74" s="6">
        <f t="shared" si="16"/>
        <v>0</v>
      </c>
    </row>
    <row r="75" spans="1:6" x14ac:dyDescent="0.3">
      <c r="A75" t="s">
        <v>386</v>
      </c>
      <c r="B75" s="1">
        <v>22829754.359999999</v>
      </c>
      <c r="C75" s="1">
        <v>11991.99</v>
      </c>
      <c r="D75" s="1">
        <f t="shared" si="17"/>
        <v>22817762.370000001</v>
      </c>
      <c r="E75" s="6">
        <f t="shared" si="15"/>
        <v>5.2527897632622625E-2</v>
      </c>
      <c r="F75" s="6">
        <f t="shared" si="16"/>
        <v>3.3547322541182987</v>
      </c>
    </row>
    <row r="76" spans="1:6" x14ac:dyDescent="0.3">
      <c r="A76" s="4" t="s">
        <v>205</v>
      </c>
      <c r="B76" s="3">
        <f>SUM(B67:B75)</f>
        <v>680523887.76999998</v>
      </c>
      <c r="C76" s="3">
        <f>SUM(C67:C75)</f>
        <v>423917000.67000008</v>
      </c>
      <c r="D76" s="3">
        <f t="shared" si="17"/>
        <v>256606887.0999999</v>
      </c>
      <c r="E76" s="127">
        <f t="shared" si="15"/>
        <v>62.292743618321509</v>
      </c>
      <c r="F76" s="127">
        <f t="shared" si="16"/>
        <v>100</v>
      </c>
    </row>
    <row r="77" spans="1:6" x14ac:dyDescent="0.3">
      <c r="A77" s="128" t="s">
        <v>387</v>
      </c>
      <c r="B77" s="129">
        <v>4615091768.4800005</v>
      </c>
      <c r="C77" s="128"/>
      <c r="D77" s="128"/>
      <c r="E77" s="128"/>
      <c r="F77" s="130">
        <f>B76/B77*100</f>
        <v>14.745619846994575</v>
      </c>
    </row>
    <row r="79" spans="1:6" x14ac:dyDescent="0.3">
      <c r="A79" s="12">
        <v>2017</v>
      </c>
      <c r="B79" s="12" t="s">
        <v>373</v>
      </c>
      <c r="C79" s="12" t="s">
        <v>374</v>
      </c>
      <c r="D79" s="12" t="s">
        <v>375</v>
      </c>
    </row>
    <row r="80" spans="1:6" x14ac:dyDescent="0.3">
      <c r="A80" t="s">
        <v>378</v>
      </c>
      <c r="B80" s="1">
        <v>304066820.17000002</v>
      </c>
      <c r="C80" s="1">
        <v>230416661.78999999</v>
      </c>
      <c r="D80" s="1">
        <f>B80-C80</f>
        <v>73650158.380000025</v>
      </c>
      <c r="E80" s="6">
        <f>IF(B80&gt;0,C80/B80*100,"-")</f>
        <v>75.778298224441869</v>
      </c>
      <c r="F80" s="6">
        <f>B80/B$89*100</f>
        <v>47.099260710731407</v>
      </c>
    </row>
    <row r="81" spans="1:6" x14ac:dyDescent="0.3">
      <c r="A81" t="s">
        <v>379</v>
      </c>
      <c r="B81" s="1">
        <v>67941513.340000004</v>
      </c>
      <c r="C81" s="1">
        <v>32418581.120000001</v>
      </c>
      <c r="D81" s="1">
        <f>B81-C81</f>
        <v>35522932.219999999</v>
      </c>
      <c r="E81" s="6">
        <f t="shared" ref="E81:E89" si="18">IF(B81&gt;0,C81/B81*100,"-")</f>
        <v>47.715423937891345</v>
      </c>
      <c r="F81" s="6">
        <f t="shared" ref="F81:F89" si="19">B81/B$89*100</f>
        <v>10.523986300423104</v>
      </c>
    </row>
    <row r="82" spans="1:6" x14ac:dyDescent="0.3">
      <c r="A82" t="s">
        <v>380</v>
      </c>
      <c r="B82" s="1">
        <v>50685455.060000002</v>
      </c>
      <c r="C82" s="1">
        <v>31699127.010000002</v>
      </c>
      <c r="D82" s="1">
        <f t="shared" ref="D82:D89" si="20">B82-C82</f>
        <v>18986328.050000001</v>
      </c>
      <c r="E82" s="6">
        <f t="shared" si="18"/>
        <v>62.540874837713254</v>
      </c>
      <c r="F82" s="6">
        <f t="shared" si="19"/>
        <v>7.8510620158369138</v>
      </c>
    </row>
    <row r="83" spans="1:6" x14ac:dyDescent="0.3">
      <c r="A83" t="s">
        <v>381</v>
      </c>
      <c r="B83" s="1">
        <v>165928511.63</v>
      </c>
      <c r="C83" s="1">
        <v>112047333.40000001</v>
      </c>
      <c r="D83" s="1">
        <f t="shared" si="20"/>
        <v>53881178.229999989</v>
      </c>
      <c r="E83" s="6">
        <f t="shared" si="18"/>
        <v>67.527474512548906</v>
      </c>
      <c r="F83" s="6">
        <f t="shared" si="19"/>
        <v>25.701950065566727</v>
      </c>
    </row>
    <row r="84" spans="1:6" x14ac:dyDescent="0.3">
      <c r="A84" t="s">
        <v>382</v>
      </c>
      <c r="B84" s="1">
        <v>561295.69999999995</v>
      </c>
      <c r="C84" s="1">
        <v>24749.61</v>
      </c>
      <c r="D84" s="1">
        <f t="shared" si="20"/>
        <v>536546.09</v>
      </c>
      <c r="E84" s="6">
        <f t="shared" si="18"/>
        <v>4.4093710320602852</v>
      </c>
      <c r="F84" s="6">
        <f t="shared" si="19"/>
        <v>8.6943430708197947E-2</v>
      </c>
    </row>
    <row r="85" spans="1:6" x14ac:dyDescent="0.3">
      <c r="A85" t="s">
        <v>383</v>
      </c>
      <c r="B85" s="1">
        <v>40706734.200000003</v>
      </c>
      <c r="C85" s="1">
        <v>23328740.25</v>
      </c>
      <c r="D85" s="1">
        <f t="shared" si="20"/>
        <v>17377993.950000003</v>
      </c>
      <c r="E85" s="6">
        <f t="shared" si="18"/>
        <v>57.309289748918246</v>
      </c>
      <c r="F85" s="6">
        <f t="shared" si="19"/>
        <v>6.3053807899735057</v>
      </c>
    </row>
    <row r="86" spans="1:6" x14ac:dyDescent="0.3">
      <c r="A86" t="s">
        <v>384</v>
      </c>
      <c r="B86" s="1">
        <v>0</v>
      </c>
      <c r="C86" s="1">
        <v>0</v>
      </c>
      <c r="D86" s="1">
        <f t="shared" si="20"/>
        <v>0</v>
      </c>
      <c r="E86" s="6" t="str">
        <f t="shared" si="18"/>
        <v>-</v>
      </c>
      <c r="F86" s="6">
        <f t="shared" si="19"/>
        <v>0</v>
      </c>
    </row>
    <row r="87" spans="1:6" x14ac:dyDescent="0.3">
      <c r="A87" t="s">
        <v>385</v>
      </c>
      <c r="B87" s="1">
        <v>0</v>
      </c>
      <c r="C87" s="1">
        <v>0</v>
      </c>
      <c r="D87" s="1">
        <f t="shared" si="20"/>
        <v>0</v>
      </c>
      <c r="E87" s="13" t="str">
        <f t="shared" si="18"/>
        <v>-</v>
      </c>
      <c r="F87" s="6">
        <f t="shared" si="19"/>
        <v>0</v>
      </c>
    </row>
    <row r="88" spans="1:6" x14ac:dyDescent="0.3">
      <c r="A88" t="s">
        <v>386</v>
      </c>
      <c r="B88" s="1">
        <v>15696916.029999999</v>
      </c>
      <c r="C88" s="1">
        <v>77962.92</v>
      </c>
      <c r="D88" s="1">
        <f t="shared" si="20"/>
        <v>15618953.109999999</v>
      </c>
      <c r="E88" s="6">
        <f t="shared" si="18"/>
        <v>0.49667667107982866</v>
      </c>
      <c r="F88" s="6">
        <f t="shared" si="19"/>
        <v>2.4314166867601279</v>
      </c>
    </row>
    <row r="89" spans="1:6" x14ac:dyDescent="0.3">
      <c r="A89" s="4" t="s">
        <v>205</v>
      </c>
      <c r="B89" s="3">
        <f>SUM(B80:B88)</f>
        <v>645587246.13000011</v>
      </c>
      <c r="C89" s="3">
        <f>SUM(C80:C88)</f>
        <v>430013156.10000008</v>
      </c>
      <c r="D89" s="3">
        <f t="shared" si="20"/>
        <v>215574090.03000003</v>
      </c>
      <c r="E89" s="127">
        <f t="shared" si="18"/>
        <v>66.608062454413712</v>
      </c>
      <c r="F89" s="127">
        <f t="shared" si="19"/>
        <v>100</v>
      </c>
    </row>
    <row r="90" spans="1:6" x14ac:dyDescent="0.3">
      <c r="A90" s="128" t="s">
        <v>387</v>
      </c>
      <c r="B90" s="129">
        <v>4535294055.0200005</v>
      </c>
      <c r="C90" s="128"/>
      <c r="D90" s="128"/>
      <c r="E90" s="128"/>
      <c r="F90" s="130">
        <f>B89/B90*100</f>
        <v>14.234738438082447</v>
      </c>
    </row>
    <row r="92" spans="1:6" x14ac:dyDescent="0.3">
      <c r="A92" s="12">
        <v>2016</v>
      </c>
      <c r="B92" s="12" t="s">
        <v>373</v>
      </c>
      <c r="C92" s="12" t="s">
        <v>374</v>
      </c>
      <c r="D92" s="12" t="s">
        <v>375</v>
      </c>
    </row>
    <row r="93" spans="1:6" x14ac:dyDescent="0.3">
      <c r="A93" t="s">
        <v>378</v>
      </c>
      <c r="B93" s="1">
        <v>290329206.16000003</v>
      </c>
      <c r="C93" s="1">
        <v>210709786.05000001</v>
      </c>
      <c r="D93" s="1">
        <f>B93-C93</f>
        <v>79619420.110000014</v>
      </c>
      <c r="E93" s="6">
        <f>IF(B93&gt;0,C93/B93*100,"-")</f>
        <v>72.576158918671837</v>
      </c>
      <c r="F93" s="6">
        <f>B93/B$102*100</f>
        <v>44.621290139455603</v>
      </c>
    </row>
    <row r="94" spans="1:6" x14ac:dyDescent="0.3">
      <c r="A94" t="s">
        <v>379</v>
      </c>
      <c r="B94" s="1">
        <v>83945580.629999995</v>
      </c>
      <c r="C94" s="1">
        <v>23537497.780000001</v>
      </c>
      <c r="D94" s="1">
        <f>B94-C94</f>
        <v>60408082.849999994</v>
      </c>
      <c r="E94" s="6">
        <f t="shared" ref="E94:E102" si="21">IF(B94&gt;0,C94/B94*100,"-")</f>
        <v>28.038995743854922</v>
      </c>
      <c r="F94" s="6">
        <f t="shared" ref="F94:F102" si="22">B94/B$102*100</f>
        <v>12.901768164350679</v>
      </c>
    </row>
    <row r="95" spans="1:6" x14ac:dyDescent="0.3">
      <c r="A95" t="s">
        <v>380</v>
      </c>
      <c r="B95" s="1">
        <v>50557852.920000002</v>
      </c>
      <c r="C95" s="1">
        <v>30781520.41</v>
      </c>
      <c r="D95" s="1">
        <f t="shared" ref="D95:D102" si="23">B95-C95</f>
        <v>19776332.510000002</v>
      </c>
      <c r="E95" s="13">
        <f t="shared" si="21"/>
        <v>60.883757185470287</v>
      </c>
      <c r="F95" s="6">
        <f t="shared" si="22"/>
        <v>7.7703399317256006</v>
      </c>
    </row>
    <row r="96" spans="1:6" x14ac:dyDescent="0.3">
      <c r="A96" t="s">
        <v>381</v>
      </c>
      <c r="B96" s="1">
        <v>169459581.03999999</v>
      </c>
      <c r="C96" s="1">
        <v>106328665.8</v>
      </c>
      <c r="D96" s="1">
        <f t="shared" si="23"/>
        <v>63130915.239999995</v>
      </c>
      <c r="E96" s="6">
        <f t="shared" si="21"/>
        <v>62.745738628317341</v>
      </c>
      <c r="F96" s="6">
        <f t="shared" si="22"/>
        <v>26.0445899760057</v>
      </c>
    </row>
    <row r="97" spans="1:9" x14ac:dyDescent="0.3">
      <c r="A97" t="s">
        <v>382</v>
      </c>
      <c r="B97" s="1">
        <v>794.06</v>
      </c>
      <c r="C97" s="1">
        <v>794.06</v>
      </c>
      <c r="D97" s="1">
        <f t="shared" si="23"/>
        <v>0</v>
      </c>
      <c r="E97" s="6">
        <f t="shared" si="21"/>
        <v>100</v>
      </c>
      <c r="F97" s="6">
        <f t="shared" si="22"/>
        <v>1.2204070722602257E-4</v>
      </c>
    </row>
    <row r="98" spans="1:9" x14ac:dyDescent="0.3">
      <c r="A98" t="s">
        <v>383</v>
      </c>
      <c r="B98" s="1">
        <v>40661821.390000001</v>
      </c>
      <c r="C98" s="1">
        <v>23845956.079999998</v>
      </c>
      <c r="D98" s="1">
        <f t="shared" si="23"/>
        <v>16815865.310000002</v>
      </c>
      <c r="E98" s="6">
        <f t="shared" si="21"/>
        <v>58.644584194313673</v>
      </c>
      <c r="F98" s="6">
        <f t="shared" si="22"/>
        <v>6.2493985839027433</v>
      </c>
    </row>
    <row r="99" spans="1:9" x14ac:dyDescent="0.3">
      <c r="A99" t="s">
        <v>384</v>
      </c>
      <c r="B99" s="1">
        <v>0</v>
      </c>
      <c r="C99" s="1">
        <v>0</v>
      </c>
      <c r="D99" s="1">
        <f t="shared" si="23"/>
        <v>0</v>
      </c>
      <c r="E99" s="6" t="str">
        <f t="shared" si="21"/>
        <v>-</v>
      </c>
      <c r="F99" s="6">
        <f t="shared" si="22"/>
        <v>0</v>
      </c>
    </row>
    <row r="100" spans="1:9" x14ac:dyDescent="0.3">
      <c r="A100" t="s">
        <v>385</v>
      </c>
      <c r="B100" s="1">
        <v>0</v>
      </c>
      <c r="C100" s="1">
        <v>0</v>
      </c>
      <c r="D100" s="1">
        <f t="shared" si="23"/>
        <v>0</v>
      </c>
      <c r="E100" s="13" t="str">
        <f t="shared" si="21"/>
        <v>-</v>
      </c>
      <c r="F100" s="6">
        <f t="shared" si="22"/>
        <v>0</v>
      </c>
    </row>
    <row r="101" spans="1:9" x14ac:dyDescent="0.3">
      <c r="A101" t="s">
        <v>386</v>
      </c>
      <c r="B101" s="1">
        <v>15696916.029999999</v>
      </c>
      <c r="C101" s="1">
        <v>11991.99</v>
      </c>
      <c r="D101" s="1">
        <f t="shared" si="23"/>
        <v>15684924.039999999</v>
      </c>
      <c r="E101" s="6">
        <f t="shared" si="21"/>
        <v>7.6397108687342577E-2</v>
      </c>
      <c r="F101" s="6">
        <f t="shared" si="22"/>
        <v>2.4124911638524678</v>
      </c>
    </row>
    <row r="102" spans="1:9" x14ac:dyDescent="0.3">
      <c r="A102" s="4" t="s">
        <v>205</v>
      </c>
      <c r="B102" s="3">
        <f>SUM(B93:B101)</f>
        <v>650651752.2299999</v>
      </c>
      <c r="C102" s="3">
        <f>SUM(C93:C101)</f>
        <v>395216212.17000002</v>
      </c>
      <c r="D102" s="3">
        <f t="shared" si="23"/>
        <v>255435540.05999988</v>
      </c>
      <c r="E102" s="127">
        <f t="shared" si="21"/>
        <v>60.741588847715022</v>
      </c>
      <c r="F102" s="127">
        <f t="shared" si="22"/>
        <v>100</v>
      </c>
    </row>
    <row r="103" spans="1:9" x14ac:dyDescent="0.3">
      <c r="A103" s="128" t="s">
        <v>387</v>
      </c>
      <c r="B103" s="129">
        <v>4646456303.7299995</v>
      </c>
      <c r="C103" s="128"/>
      <c r="D103" s="128"/>
      <c r="E103" s="128"/>
      <c r="F103" s="130">
        <f>B102/B103*100</f>
        <v>14.003182418990603</v>
      </c>
    </row>
    <row r="105" spans="1:9" x14ac:dyDescent="0.3">
      <c r="B105" s="131">
        <v>2016</v>
      </c>
      <c r="C105" s="131">
        <v>2017</v>
      </c>
      <c r="D105" s="131">
        <v>2018</v>
      </c>
      <c r="E105" s="131">
        <v>2019</v>
      </c>
      <c r="F105" s="131">
        <v>2020</v>
      </c>
      <c r="G105" s="131">
        <v>2021</v>
      </c>
      <c r="H105" s="131">
        <v>2022</v>
      </c>
      <c r="I105" s="131">
        <v>2023</v>
      </c>
    </row>
    <row r="106" spans="1:9" x14ac:dyDescent="0.3">
      <c r="A106" t="s">
        <v>378</v>
      </c>
      <c r="B106" s="1">
        <f>B93</f>
        <v>290329206.16000003</v>
      </c>
      <c r="C106" s="1">
        <f>B80</f>
        <v>304066820.17000002</v>
      </c>
      <c r="D106" s="1">
        <f>B67</f>
        <v>312540769.55000001</v>
      </c>
      <c r="E106" s="1">
        <f>B54</f>
        <v>309102996.48000002</v>
      </c>
      <c r="F106" s="1">
        <f>B41</f>
        <v>268537586.91000003</v>
      </c>
      <c r="G106" s="1">
        <f>B28</f>
        <v>284038325.88999999</v>
      </c>
      <c r="H106" s="1">
        <f>B15</f>
        <v>312824606.07999998</v>
      </c>
      <c r="I106" s="1">
        <f>B2</f>
        <v>318102193.88</v>
      </c>
    </row>
    <row r="107" spans="1:9" x14ac:dyDescent="0.3">
      <c r="A107" t="s">
        <v>381</v>
      </c>
      <c r="B107" s="1">
        <f>B96</f>
        <v>169459581.03999999</v>
      </c>
      <c r="C107" s="1">
        <f>B83</f>
        <v>165928511.63</v>
      </c>
      <c r="D107" s="1">
        <f>B70</f>
        <v>172930576.06</v>
      </c>
      <c r="E107" s="1">
        <f>B57</f>
        <v>170559166.25</v>
      </c>
      <c r="F107" s="1">
        <f>B44</f>
        <v>190552411.25</v>
      </c>
      <c r="G107" s="1">
        <f>B31</f>
        <v>186634007.59999999</v>
      </c>
      <c r="H107" s="1">
        <f>B18</f>
        <v>181280436.22999999</v>
      </c>
      <c r="I107" s="1">
        <f>B5</f>
        <v>191390965.00999999</v>
      </c>
    </row>
    <row r="108" spans="1:9" x14ac:dyDescent="0.3">
      <c r="A108" t="s">
        <v>379</v>
      </c>
      <c r="B108" s="1">
        <f>B94</f>
        <v>83945580.629999995</v>
      </c>
      <c r="C108" s="1">
        <f>B81</f>
        <v>67941513.340000004</v>
      </c>
      <c r="D108" s="1">
        <f>B68</f>
        <v>78058641.019999996</v>
      </c>
      <c r="E108" s="1">
        <f>B55</f>
        <v>94372074.310000002</v>
      </c>
      <c r="F108" s="1">
        <f>B42</f>
        <v>95208197.540000007</v>
      </c>
      <c r="G108" s="1">
        <f>B29</f>
        <v>93540385.390000001</v>
      </c>
      <c r="H108" s="1">
        <f>B16</f>
        <v>106426748.33</v>
      </c>
      <c r="I108" s="1">
        <f>B3</f>
        <v>123380056.38</v>
      </c>
    </row>
    <row r="109" spans="1:9" x14ac:dyDescent="0.3">
      <c r="A109" t="s">
        <v>380</v>
      </c>
      <c r="B109" s="1">
        <f>B95</f>
        <v>50557852.920000002</v>
      </c>
      <c r="C109" s="1">
        <f>B82</f>
        <v>50685455.060000002</v>
      </c>
      <c r="D109" s="1">
        <f>B69</f>
        <v>52979681.009999998</v>
      </c>
      <c r="E109" s="1">
        <f>B56</f>
        <v>52990528.229999997</v>
      </c>
      <c r="F109" s="1">
        <f>B43</f>
        <v>51020219.909999996</v>
      </c>
      <c r="G109" s="1">
        <f>B30</f>
        <v>49401525.780000001</v>
      </c>
      <c r="H109" s="1">
        <f>B17</f>
        <v>51200926.399999999</v>
      </c>
      <c r="I109" s="1">
        <f>B4</f>
        <v>54601562.920000002</v>
      </c>
    </row>
    <row r="110" spans="1:9" x14ac:dyDescent="0.3">
      <c r="A110" t="s">
        <v>383</v>
      </c>
      <c r="B110" s="1">
        <f>B98</f>
        <v>40661821.390000001</v>
      </c>
      <c r="C110" s="1">
        <f>B85</f>
        <v>40706734.200000003</v>
      </c>
      <c r="D110" s="1">
        <f>B72</f>
        <v>40620084.509999998</v>
      </c>
      <c r="E110" s="1">
        <f>B59</f>
        <v>31884077.359999999</v>
      </c>
      <c r="F110" s="1">
        <f>B46</f>
        <v>70176187.760000005</v>
      </c>
      <c r="G110" s="1">
        <f>B33</f>
        <v>33022678.210000001</v>
      </c>
      <c r="H110" s="1">
        <f>B20</f>
        <v>40139191</v>
      </c>
      <c r="I110" s="1">
        <f>B7</f>
        <v>47379443.130000003</v>
      </c>
    </row>
    <row r="111" spans="1:9" x14ac:dyDescent="0.3">
      <c r="A111" t="s">
        <v>386</v>
      </c>
      <c r="B111" s="1">
        <f>B101</f>
        <v>15696916.029999999</v>
      </c>
      <c r="C111" s="1">
        <f>B88</f>
        <v>15696916.029999999</v>
      </c>
      <c r="D111" s="1">
        <f>B75</f>
        <v>22829754.359999999</v>
      </c>
      <c r="E111" s="1">
        <f>B62</f>
        <v>29952393.210000001</v>
      </c>
      <c r="F111" s="1">
        <f>B49</f>
        <v>29542189.559999999</v>
      </c>
      <c r="G111" s="1">
        <f>B36</f>
        <v>29867309.440000001</v>
      </c>
      <c r="H111" s="1">
        <f>B23</f>
        <v>32190181.829999998</v>
      </c>
      <c r="I111" s="1">
        <f>B10</f>
        <v>33591408.420000002</v>
      </c>
    </row>
    <row r="112" spans="1:9" x14ac:dyDescent="0.3">
      <c r="A112" t="s">
        <v>382</v>
      </c>
      <c r="B112" s="1">
        <f>B97</f>
        <v>794.06</v>
      </c>
      <c r="C112" s="1">
        <f>B84</f>
        <v>561295.69999999995</v>
      </c>
      <c r="D112" s="1">
        <f>B71</f>
        <v>564381.26</v>
      </c>
      <c r="E112" s="1">
        <f>B58</f>
        <v>619870.66</v>
      </c>
      <c r="F112" s="1">
        <f>B45</f>
        <v>408442.9</v>
      </c>
      <c r="G112" s="1">
        <f>B32</f>
        <v>573819.80000000005</v>
      </c>
      <c r="H112" s="1">
        <f>B19</f>
        <v>2493421.16</v>
      </c>
      <c r="I112" s="1">
        <f>B6</f>
        <v>804382.13</v>
      </c>
    </row>
    <row r="113" spans="1:9" x14ac:dyDescent="0.3">
      <c r="A113" t="s">
        <v>384</v>
      </c>
      <c r="B113" s="1">
        <f>B99</f>
        <v>0</v>
      </c>
      <c r="C113" s="1">
        <f>B86</f>
        <v>0</v>
      </c>
      <c r="D113" s="1">
        <f>B73</f>
        <v>0</v>
      </c>
      <c r="E113" s="1">
        <f>B60</f>
        <v>0</v>
      </c>
      <c r="F113" s="1">
        <f>B47</f>
        <v>0</v>
      </c>
      <c r="G113" s="1">
        <f>B34</f>
        <v>0</v>
      </c>
      <c r="H113" s="1">
        <f>B21</f>
        <v>0</v>
      </c>
      <c r="I113" s="1">
        <f>B8</f>
        <v>0</v>
      </c>
    </row>
    <row r="114" spans="1:9" x14ac:dyDescent="0.3">
      <c r="A114" t="s">
        <v>385</v>
      </c>
      <c r="B114" s="1">
        <f>B100</f>
        <v>0</v>
      </c>
      <c r="C114" s="1">
        <f>B87</f>
        <v>0</v>
      </c>
      <c r="D114" s="1">
        <f>B74</f>
        <v>0</v>
      </c>
      <c r="E114" s="1">
        <f>B61</f>
        <v>0</v>
      </c>
      <c r="F114" s="1">
        <f>B48</f>
        <v>0</v>
      </c>
      <c r="G114" s="1">
        <f>B35</f>
        <v>0</v>
      </c>
      <c r="H114" s="1">
        <f>B22</f>
        <v>0</v>
      </c>
      <c r="I114" s="1">
        <f>B9</f>
        <v>0</v>
      </c>
    </row>
    <row r="115" spans="1:9" x14ac:dyDescent="0.3">
      <c r="B115" s="3">
        <f t="shared" ref="B115:I115" si="24">SUM(B106:B114)</f>
        <v>650651752.2299999</v>
      </c>
      <c r="C115" s="3">
        <f t="shared" si="24"/>
        <v>645587246.13000011</v>
      </c>
      <c r="D115" s="3">
        <f t="shared" si="24"/>
        <v>680523887.76999998</v>
      </c>
      <c r="E115" s="3">
        <f t="shared" si="24"/>
        <v>689481106.5</v>
      </c>
      <c r="F115" s="3">
        <f t="shared" si="24"/>
        <v>705445235.82999992</v>
      </c>
      <c r="G115" s="3">
        <f t="shared" si="24"/>
        <v>677078052.11000001</v>
      </c>
      <c r="H115" s="3">
        <f t="shared" ref="H115" si="25">SUM(H106:H114)</f>
        <v>726555511.02999997</v>
      </c>
      <c r="I115" s="3">
        <f t="shared" si="24"/>
        <v>769250011.86999989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" sqref="J1:J1048576"/>
    </sheetView>
  </sheetViews>
  <sheetFormatPr defaultRowHeight="14.4" x14ac:dyDescent="0.3"/>
  <cols>
    <col min="1" max="1" width="40.6640625" bestFit="1" customWidth="1"/>
    <col min="2" max="9" width="12.5546875" bestFit="1" customWidth="1"/>
  </cols>
  <sheetData>
    <row r="1" spans="1:10" x14ac:dyDescent="0.3"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2022</v>
      </c>
    </row>
    <row r="2" spans="1:10" x14ac:dyDescent="0.3">
      <c r="A2" s="5" t="s">
        <v>39</v>
      </c>
      <c r="B2" s="1">
        <v>132706973.61</v>
      </c>
      <c r="C2" s="1">
        <v>143462624.03</v>
      </c>
      <c r="D2" s="1">
        <v>158037912.99000001</v>
      </c>
      <c r="E2" s="1">
        <v>147964413.09999999</v>
      </c>
      <c r="F2" s="1">
        <v>150165420.68000001</v>
      </c>
      <c r="G2" s="1">
        <v>158252581.88999999</v>
      </c>
      <c r="H2" s="1">
        <v>156853638.68000001</v>
      </c>
      <c r="I2" s="1">
        <v>149436285.56999999</v>
      </c>
      <c r="J2" s="6">
        <f t="shared" ref="J2:J17" si="0">I2/I$15*100</f>
        <v>19.426231163251391</v>
      </c>
    </row>
    <row r="3" spans="1:10" x14ac:dyDescent="0.3">
      <c r="A3" s="5" t="s">
        <v>40</v>
      </c>
      <c r="B3" s="1">
        <v>2077821.47</v>
      </c>
      <c r="C3" s="1">
        <v>2277759.2000000002</v>
      </c>
      <c r="D3" s="1">
        <v>2339110.65</v>
      </c>
      <c r="E3" s="1">
        <v>2387011</v>
      </c>
      <c r="F3" s="1">
        <v>2534825.16</v>
      </c>
      <c r="G3" s="1">
        <v>2139795.5499999998</v>
      </c>
      <c r="H3" s="1">
        <v>2421221.91</v>
      </c>
      <c r="I3" s="1">
        <v>2398516.4300000002</v>
      </c>
      <c r="J3" s="6">
        <f t="shared" si="0"/>
        <v>0.31179933602010279</v>
      </c>
    </row>
    <row r="4" spans="1:10" x14ac:dyDescent="0.3">
      <c r="A4" s="5" t="s">
        <v>41</v>
      </c>
      <c r="B4" s="1">
        <v>465506760.06</v>
      </c>
      <c r="C4" s="1">
        <v>419361738.19999999</v>
      </c>
      <c r="D4" s="1">
        <v>442416748.13999999</v>
      </c>
      <c r="E4" s="1">
        <v>448605387.48000002</v>
      </c>
      <c r="F4" s="1">
        <v>399725651.38</v>
      </c>
      <c r="G4" s="1">
        <v>395930587.19</v>
      </c>
      <c r="H4" s="1">
        <v>450682995.56999999</v>
      </c>
      <c r="I4" s="1">
        <v>485600810.01999998</v>
      </c>
      <c r="J4" s="6">
        <f t="shared" si="0"/>
        <v>63.126526148107345</v>
      </c>
    </row>
    <row r="5" spans="1:10" x14ac:dyDescent="0.3">
      <c r="A5" s="5" t="s">
        <v>42</v>
      </c>
      <c r="B5" s="1">
        <v>36051067.630000003</v>
      </c>
      <c r="C5" s="1">
        <v>71614958.310000002</v>
      </c>
      <c r="D5" s="1">
        <v>72313236.909999996</v>
      </c>
      <c r="E5" s="1">
        <v>82702353.859999999</v>
      </c>
      <c r="F5" s="1">
        <v>146030800.84999999</v>
      </c>
      <c r="G5" s="1">
        <v>107824287.34999999</v>
      </c>
      <c r="H5" s="1">
        <v>111182202.87</v>
      </c>
      <c r="I5" s="1">
        <v>114322269.41</v>
      </c>
      <c r="J5" s="6">
        <f t="shared" si="0"/>
        <v>14.861523251833347</v>
      </c>
    </row>
    <row r="6" spans="1:10" x14ac:dyDescent="0.3">
      <c r="A6" s="5" t="s">
        <v>43</v>
      </c>
      <c r="B6" s="1">
        <v>293895.01</v>
      </c>
      <c r="C6" s="1">
        <v>520629.92</v>
      </c>
      <c r="D6" s="1">
        <v>405513.53</v>
      </c>
      <c r="E6" s="1">
        <v>145125.85</v>
      </c>
      <c r="F6" s="1">
        <v>142013.04999999999</v>
      </c>
      <c r="G6" s="1">
        <v>88928.86</v>
      </c>
      <c r="H6" s="1">
        <v>68031.820000000007</v>
      </c>
      <c r="I6" s="1">
        <v>9015.06</v>
      </c>
      <c r="J6" s="6">
        <f t="shared" si="0"/>
        <v>1.1719284833839507E-3</v>
      </c>
    </row>
    <row r="7" spans="1:10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>
        <f t="shared" si="0"/>
        <v>0</v>
      </c>
    </row>
    <row r="8" spans="1:10" x14ac:dyDescent="0.3">
      <c r="A8" s="5" t="s">
        <v>45</v>
      </c>
      <c r="B8" s="1">
        <v>52445.33</v>
      </c>
      <c r="C8" s="1">
        <v>15950.94</v>
      </c>
      <c r="D8" s="1">
        <v>18942.29</v>
      </c>
      <c r="E8" s="1">
        <v>20787.47</v>
      </c>
      <c r="F8" s="1">
        <v>245660.24</v>
      </c>
      <c r="G8" s="1">
        <v>40776.019999999997</v>
      </c>
      <c r="H8" s="1">
        <v>32433.57</v>
      </c>
      <c r="I8" s="1">
        <v>27759.81</v>
      </c>
      <c r="J8" s="6">
        <f t="shared" si="0"/>
        <v>3.6086850262035562E-3</v>
      </c>
    </row>
    <row r="9" spans="1:10" x14ac:dyDescent="0.3">
      <c r="A9" s="5" t="s">
        <v>46</v>
      </c>
      <c r="B9" s="1">
        <v>801560.81</v>
      </c>
      <c r="C9" s="1">
        <v>603148.39</v>
      </c>
      <c r="D9" s="1">
        <v>1199720.71</v>
      </c>
      <c r="E9" s="1">
        <v>2067281.36</v>
      </c>
      <c r="F9" s="1">
        <v>971594.34</v>
      </c>
      <c r="G9" s="1">
        <v>7144134.4199999999</v>
      </c>
      <c r="H9" s="1">
        <v>1525777.12</v>
      </c>
      <c r="I9" s="1">
        <v>3583272.14</v>
      </c>
      <c r="J9" s="6">
        <f t="shared" si="0"/>
        <v>0.46581372554172285</v>
      </c>
    </row>
    <row r="10" spans="1:10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6">
        <f t="shared" si="0"/>
        <v>0</v>
      </c>
    </row>
    <row r="11" spans="1:10" x14ac:dyDescent="0.3">
      <c r="A11" s="5" t="s">
        <v>48</v>
      </c>
      <c r="B11" s="1">
        <v>7522738.0899999999</v>
      </c>
      <c r="C11" s="1">
        <v>2730437.14</v>
      </c>
      <c r="D11" s="1">
        <v>3548402.55</v>
      </c>
      <c r="E11" s="1">
        <v>4989074.9000000004</v>
      </c>
      <c r="F11" s="1">
        <v>5410437.96</v>
      </c>
      <c r="G11" s="1">
        <v>5146682.01</v>
      </c>
      <c r="H11" s="1">
        <v>2897217.5</v>
      </c>
      <c r="I11" s="1">
        <v>12847427.800000001</v>
      </c>
      <c r="J11" s="6">
        <f t="shared" si="0"/>
        <v>1.6701238346765088</v>
      </c>
    </row>
    <row r="12" spans="1:10" x14ac:dyDescent="0.3">
      <c r="A12" s="5" t="s">
        <v>49</v>
      </c>
      <c r="B12" s="1">
        <v>5000000</v>
      </c>
      <c r="C12" s="1">
        <v>5000000</v>
      </c>
      <c r="D12" s="1">
        <v>244300</v>
      </c>
      <c r="E12" s="1">
        <v>599671.48</v>
      </c>
      <c r="F12" s="1">
        <v>218832.17</v>
      </c>
      <c r="G12" s="1">
        <v>510278.82</v>
      </c>
      <c r="H12" s="1">
        <v>890501.54</v>
      </c>
      <c r="I12" s="1">
        <v>1024655.84</v>
      </c>
      <c r="J12" s="6">
        <f t="shared" si="0"/>
        <v>0.13320192706002046</v>
      </c>
    </row>
    <row r="13" spans="1:10" x14ac:dyDescent="0.3">
      <c r="A13" s="5" t="s">
        <v>50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6">
        <f t="shared" si="0"/>
        <v>0</v>
      </c>
    </row>
    <row r="14" spans="1:10" x14ac:dyDescent="0.3">
      <c r="A14" s="5" t="s">
        <v>51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1490.45</v>
      </c>
      <c r="I14" s="1">
        <v>0</v>
      </c>
      <c r="J14" s="6">
        <f t="shared" si="0"/>
        <v>0</v>
      </c>
    </row>
    <row r="15" spans="1:10" x14ac:dyDescent="0.3">
      <c r="A15" s="132" t="s">
        <v>388</v>
      </c>
      <c r="B15" s="3">
        <f t="shared" ref="B15:H15" si="1">SUM(B2:B14)</f>
        <v>650013262.00999999</v>
      </c>
      <c r="C15" s="3">
        <f t="shared" si="1"/>
        <v>645587246.13</v>
      </c>
      <c r="D15" s="3">
        <f t="shared" si="1"/>
        <v>680523887.76999986</v>
      </c>
      <c r="E15" s="3">
        <f t="shared" si="1"/>
        <v>689481106.50000012</v>
      </c>
      <c r="F15" s="3">
        <f t="shared" si="1"/>
        <v>705445235.83000004</v>
      </c>
      <c r="G15" s="3">
        <f t="shared" ref="G15" si="2">SUM(G2:G14)</f>
        <v>677078052.11000001</v>
      </c>
      <c r="H15" s="3">
        <f t="shared" si="1"/>
        <v>726555511.03000009</v>
      </c>
      <c r="I15" s="3">
        <f t="shared" ref="I15" si="3">SUM(I2:I14)</f>
        <v>769250012.0799998</v>
      </c>
      <c r="J15" s="6">
        <f t="shared" si="0"/>
        <v>100</v>
      </c>
    </row>
    <row r="16" spans="1:10" x14ac:dyDescent="0.3">
      <c r="A16" s="132" t="s">
        <v>389</v>
      </c>
      <c r="B16" s="3">
        <f t="shared" ref="B16:H16" si="4">SUM(B2:B9)</f>
        <v>637490523.91999996</v>
      </c>
      <c r="C16" s="3">
        <f t="shared" si="4"/>
        <v>637856808.99000001</v>
      </c>
      <c r="D16" s="3">
        <f t="shared" si="4"/>
        <v>676731185.21999991</v>
      </c>
      <c r="E16" s="3">
        <f t="shared" si="4"/>
        <v>683892360.12000012</v>
      </c>
      <c r="F16" s="3">
        <f t="shared" si="4"/>
        <v>699815965.70000005</v>
      </c>
      <c r="G16" s="3">
        <f t="shared" ref="G16" si="5">SUM(G2:G9)</f>
        <v>671421091.27999997</v>
      </c>
      <c r="H16" s="3">
        <f t="shared" si="4"/>
        <v>722766301.54000008</v>
      </c>
      <c r="I16" s="3">
        <f t="shared" ref="I16" si="6">SUM(I2:I9)</f>
        <v>755377928.43999982</v>
      </c>
      <c r="J16" s="6">
        <f t="shared" si="0"/>
        <v>98.196674238263469</v>
      </c>
    </row>
    <row r="17" spans="1:10" x14ac:dyDescent="0.3">
      <c r="A17" s="132" t="s">
        <v>390</v>
      </c>
      <c r="B17" s="3">
        <f t="shared" ref="B17:H17" si="7">SUM(B10:B14)</f>
        <v>12522738.09</v>
      </c>
      <c r="C17" s="3">
        <f t="shared" si="7"/>
        <v>7730437.1400000006</v>
      </c>
      <c r="D17" s="3">
        <f t="shared" si="7"/>
        <v>3792702.55</v>
      </c>
      <c r="E17" s="3">
        <f t="shared" si="7"/>
        <v>5588746.3800000008</v>
      </c>
      <c r="F17" s="3">
        <f t="shared" si="7"/>
        <v>5629270.1299999999</v>
      </c>
      <c r="G17" s="3">
        <f t="shared" ref="G17" si="8">SUM(G10:G14)</f>
        <v>5656960.8300000001</v>
      </c>
      <c r="H17" s="3">
        <f t="shared" si="7"/>
        <v>3789209.49</v>
      </c>
      <c r="I17" s="3">
        <f t="shared" ref="I17" si="9">SUM(I10:I14)</f>
        <v>13872083.640000001</v>
      </c>
      <c r="J17" s="6">
        <f t="shared" si="0"/>
        <v>1.8033257617365295</v>
      </c>
    </row>
    <row r="18" spans="1:10" x14ac:dyDescent="0.3">
      <c r="A18" s="133" t="s">
        <v>391</v>
      </c>
      <c r="B18" s="134">
        <f>B16/B15*100</f>
        <v>98.07346421651819</v>
      </c>
      <c r="C18" s="134">
        <f t="shared" ref="C18:H18" si="10">C16/C15*100</f>
        <v>98.802572822443381</v>
      </c>
      <c r="D18" s="134">
        <f t="shared" si="10"/>
        <v>99.44267899802486</v>
      </c>
      <c r="E18" s="134">
        <f t="shared" si="10"/>
        <v>99.189427189909523</v>
      </c>
      <c r="F18" s="134">
        <f t="shared" si="10"/>
        <v>99.202025920073467</v>
      </c>
      <c r="G18" s="134">
        <f t="shared" ref="G18" si="11">G16/G15*100</f>
        <v>99.164503883655499</v>
      </c>
      <c r="H18" s="134">
        <f t="shared" si="10"/>
        <v>99.478469376052459</v>
      </c>
      <c r="I18" s="134">
        <f t="shared" ref="I18" si="12">I16/I15*100</f>
        <v>98.196674238263469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opLeftCell="C1" workbookViewId="0">
      <selection activeCell="K2" sqref="K2:K23"/>
    </sheetView>
  </sheetViews>
  <sheetFormatPr defaultRowHeight="14.4" x14ac:dyDescent="0.3"/>
  <cols>
    <col min="1" max="1" width="36.44140625" bestFit="1" customWidth="1"/>
    <col min="2" max="3" width="12.6640625" bestFit="1" customWidth="1"/>
    <col min="4" max="11" width="13.5546875" bestFit="1" customWidth="1"/>
    <col min="12" max="12" width="12.6640625" bestFit="1" customWidth="1"/>
    <col min="13" max="13" width="10" bestFit="1" customWidth="1"/>
  </cols>
  <sheetData>
    <row r="1" spans="1:12" x14ac:dyDescent="0.3">
      <c r="A1" s="44"/>
      <c r="B1" s="71">
        <v>2014</v>
      </c>
      <c r="C1" s="71">
        <v>2015</v>
      </c>
      <c r="D1" s="71">
        <v>2016</v>
      </c>
      <c r="E1" s="71">
        <v>2017</v>
      </c>
      <c r="F1" s="71">
        <v>2018</v>
      </c>
      <c r="G1" s="71">
        <v>2019</v>
      </c>
      <c r="H1" s="71">
        <v>2020</v>
      </c>
      <c r="I1" s="71">
        <v>2021</v>
      </c>
      <c r="J1" s="71">
        <v>2022</v>
      </c>
      <c r="K1" s="71">
        <v>2023</v>
      </c>
    </row>
    <row r="2" spans="1:12" x14ac:dyDescent="0.3">
      <c r="A2" t="s">
        <v>5</v>
      </c>
      <c r="B2" s="1">
        <v>684012868.88</v>
      </c>
      <c r="C2" s="1">
        <v>602644447.77999997</v>
      </c>
      <c r="D2" s="1">
        <v>925457017.82000005</v>
      </c>
      <c r="E2" s="1">
        <v>959768769.86000001</v>
      </c>
      <c r="F2" s="1">
        <v>1020084666.84</v>
      </c>
      <c r="G2" s="1">
        <v>1044757068.0599999</v>
      </c>
      <c r="H2" s="1">
        <v>1152297210.8099999</v>
      </c>
      <c r="I2" s="1">
        <v>937789891.90999997</v>
      </c>
      <c r="J2" s="1">
        <v>1407079502.2</v>
      </c>
      <c r="K2" s="1">
        <v>1513905707.7</v>
      </c>
    </row>
    <row r="3" spans="1:12" x14ac:dyDescent="0.3">
      <c r="A3" t="s">
        <v>6</v>
      </c>
      <c r="B3" s="1">
        <v>6490388280</v>
      </c>
      <c r="C3" s="1">
        <v>7110470115.7299995</v>
      </c>
      <c r="D3" s="1">
        <v>7919965421.7799997</v>
      </c>
      <c r="E3" s="1">
        <v>7553795279.5699997</v>
      </c>
      <c r="F3" s="1">
        <v>7906809921.4799995</v>
      </c>
      <c r="G3" s="1">
        <v>8989973864.8299999</v>
      </c>
      <c r="H3" s="1">
        <v>9044363256.8400002</v>
      </c>
      <c r="I3" s="1">
        <v>9526177505.5599995</v>
      </c>
      <c r="J3" s="1">
        <v>10096201295</v>
      </c>
      <c r="K3" s="1">
        <v>10794459814</v>
      </c>
      <c r="L3" s="136">
        <f>K3/B3*100-100</f>
        <v>66.314546192296518</v>
      </c>
    </row>
    <row r="4" spans="1:12" x14ac:dyDescent="0.3">
      <c r="A4" t="s">
        <v>7</v>
      </c>
      <c r="B4" s="1">
        <v>5422648660</v>
      </c>
      <c r="C4" s="1">
        <v>3049336145.02</v>
      </c>
      <c r="D4" s="1">
        <v>3532578608.1199999</v>
      </c>
      <c r="E4" s="1">
        <v>2368206896.4099998</v>
      </c>
      <c r="F4" s="1">
        <v>2711435585.5300002</v>
      </c>
      <c r="G4" s="1">
        <v>2884822638.9099998</v>
      </c>
      <c r="H4" s="1">
        <v>2725467505.52</v>
      </c>
      <c r="I4" s="1">
        <v>2823844484.25</v>
      </c>
      <c r="J4" s="1">
        <v>3308488294.5999999</v>
      </c>
      <c r="K4" s="1">
        <v>3069669350.4000001</v>
      </c>
    </row>
    <row r="5" spans="1:12" x14ac:dyDescent="0.3">
      <c r="A5" t="s">
        <v>8</v>
      </c>
      <c r="B5" s="1"/>
      <c r="C5" s="1">
        <v>74665636.989999995</v>
      </c>
      <c r="D5" s="1">
        <v>134450560.81999999</v>
      </c>
      <c r="E5" s="1">
        <v>122170412.31999999</v>
      </c>
      <c r="F5" s="1">
        <v>41167927.990000002</v>
      </c>
      <c r="G5" s="1">
        <v>50414632.649999999</v>
      </c>
      <c r="H5" s="1">
        <v>77679550.189999998</v>
      </c>
      <c r="I5" s="1">
        <v>99894123.519999996</v>
      </c>
      <c r="J5" s="1">
        <v>110601004.33</v>
      </c>
      <c r="K5" s="1">
        <v>136388517.37</v>
      </c>
    </row>
    <row r="6" spans="1:12" x14ac:dyDescent="0.3">
      <c r="A6" t="s">
        <v>9</v>
      </c>
      <c r="B6" s="1"/>
      <c r="C6" s="1">
        <v>657296910.13999999</v>
      </c>
      <c r="D6" s="1">
        <v>573680268.14999998</v>
      </c>
      <c r="E6" s="1">
        <v>583707596.37</v>
      </c>
      <c r="F6" s="1">
        <v>722133079.85000002</v>
      </c>
      <c r="G6" s="1">
        <v>824116970.84000003</v>
      </c>
      <c r="H6" s="1">
        <v>838323291.91999996</v>
      </c>
      <c r="I6" s="1">
        <v>755872492.5</v>
      </c>
      <c r="J6" s="1">
        <v>935629808.02999997</v>
      </c>
      <c r="K6" s="1">
        <v>1106841017.7</v>
      </c>
    </row>
    <row r="7" spans="1:12" x14ac:dyDescent="0.3">
      <c r="A7" s="4" t="s">
        <v>0</v>
      </c>
      <c r="B7" s="3">
        <v>2986265134.5900002</v>
      </c>
      <c r="C7" s="3">
        <f>C2+C3-C4-C5-C6</f>
        <v>3931815871.3600001</v>
      </c>
      <c r="D7" s="3">
        <f>D2+D3-D4-D5-D6</f>
        <v>4604713002.5100012</v>
      </c>
      <c r="E7" s="3">
        <f>E2+E3-E4-E5-E6</f>
        <v>5439479144.3299999</v>
      </c>
      <c r="F7" s="3">
        <f>F2+F3-F4-F5-F6</f>
        <v>5452157994.9499989</v>
      </c>
      <c r="G7" s="3">
        <f t="shared" ref="G7:K7" si="0">G2+G3-G4-G5-G6</f>
        <v>6275376690.4899998</v>
      </c>
      <c r="H7" s="3">
        <f t="shared" si="0"/>
        <v>6555190120.0199995</v>
      </c>
      <c r="I7" s="3">
        <f t="shared" ref="I7:J7" si="1">I2+I3-I4-I5-I6</f>
        <v>6784356297.1999989</v>
      </c>
      <c r="J7" s="3">
        <f t="shared" si="1"/>
        <v>7148561690.2400007</v>
      </c>
      <c r="K7" s="3">
        <f t="shared" si="0"/>
        <v>7995466636.2300005</v>
      </c>
    </row>
    <row r="8" spans="1:12" x14ac:dyDescent="0.3">
      <c r="A8" t="s">
        <v>10</v>
      </c>
      <c r="B8" s="1">
        <v>1722889993.49</v>
      </c>
      <c r="C8" s="1">
        <v>2246203755.2600002</v>
      </c>
      <c r="D8" s="1">
        <v>2552691558.5999999</v>
      </c>
      <c r="E8" s="1">
        <v>3150432546.9099998</v>
      </c>
      <c r="F8" s="1">
        <v>3639991061.0300002</v>
      </c>
      <c r="G8" s="1">
        <v>4392617700.5900002</v>
      </c>
      <c r="H8" s="1">
        <v>4769602879.6800003</v>
      </c>
      <c r="I8" s="1">
        <v>4996681868.7399998</v>
      </c>
      <c r="J8" s="1">
        <v>5689968918.1000004</v>
      </c>
      <c r="K8" s="1">
        <v>6472589261.5</v>
      </c>
      <c r="L8" s="1"/>
    </row>
    <row r="9" spans="1:12" x14ac:dyDescent="0.3">
      <c r="A9" t="s">
        <v>11</v>
      </c>
      <c r="B9" s="1"/>
      <c r="C9" s="1"/>
      <c r="D9" s="1"/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2" x14ac:dyDescent="0.3">
      <c r="A10" t="s">
        <v>12</v>
      </c>
      <c r="B10" s="1"/>
      <c r="C10" s="1"/>
      <c r="D10" s="1"/>
      <c r="E10" s="1">
        <v>0</v>
      </c>
      <c r="F10" s="1">
        <v>21340970.190000001</v>
      </c>
      <c r="G10" s="1">
        <v>21338686.780000001</v>
      </c>
      <c r="H10" s="1">
        <v>50439223.229999997</v>
      </c>
      <c r="I10" s="1">
        <v>75482332.140000001</v>
      </c>
      <c r="J10" s="1">
        <v>87689993.700000003</v>
      </c>
      <c r="K10" s="1">
        <v>133303957.7</v>
      </c>
    </row>
    <row r="11" spans="1:12" x14ac:dyDescent="0.3">
      <c r="A11" t="s">
        <v>13</v>
      </c>
      <c r="B11" s="1"/>
      <c r="C11" s="1"/>
      <c r="D11" s="1"/>
      <c r="E11" s="1">
        <v>469995409.08999997</v>
      </c>
      <c r="F11" s="1">
        <v>329706091.51999998</v>
      </c>
      <c r="G11" s="1">
        <v>250196482.69</v>
      </c>
      <c r="H11" s="1">
        <v>164771429.53</v>
      </c>
      <c r="I11" s="1">
        <v>207231796.47</v>
      </c>
      <c r="J11" s="1">
        <v>145537599.15000001</v>
      </c>
      <c r="K11" s="1">
        <v>145129618.44</v>
      </c>
    </row>
    <row r="12" spans="1:12" x14ac:dyDescent="0.3">
      <c r="A12" t="s">
        <v>14</v>
      </c>
      <c r="B12" s="1">
        <v>332142571.02999997</v>
      </c>
      <c r="C12" s="1">
        <v>714923872.19000006</v>
      </c>
      <c r="D12" s="1">
        <v>781543898.96000004</v>
      </c>
      <c r="E12" s="1">
        <v>578833290.34000003</v>
      </c>
      <c r="F12" s="1">
        <v>431693764.06999999</v>
      </c>
      <c r="G12" s="1">
        <v>434905415.05000001</v>
      </c>
      <c r="H12" s="1">
        <v>509038838.67000002</v>
      </c>
      <c r="I12" s="1">
        <v>366581496.81</v>
      </c>
      <c r="J12" s="1">
        <v>286954250.67000002</v>
      </c>
      <c r="K12" s="1">
        <v>317438143.68000001</v>
      </c>
    </row>
    <row r="13" spans="1:12" x14ac:dyDescent="0.3">
      <c r="A13" s="4" t="s">
        <v>1</v>
      </c>
      <c r="B13" s="3">
        <f>SUM(B8:B12)</f>
        <v>2055032564.52</v>
      </c>
      <c r="C13" s="3">
        <f>SUM(C8:C12)</f>
        <v>2961127627.4500003</v>
      </c>
      <c r="D13" s="3">
        <f>SUM(D8:D12)</f>
        <v>3334235457.5599999</v>
      </c>
      <c r="E13" s="3">
        <f>SUM(E8:E12)</f>
        <v>4199261246.3400002</v>
      </c>
      <c r="F13" s="3">
        <f>SUM(F8:F12)</f>
        <v>4422731886.8100004</v>
      </c>
      <c r="G13" s="3">
        <f t="shared" ref="G13:K13" si="2">SUM(G8:G12)</f>
        <v>5099058285.1099997</v>
      </c>
      <c r="H13" s="3">
        <f t="shared" si="2"/>
        <v>5493852371.1099997</v>
      </c>
      <c r="I13" s="3">
        <f t="shared" ref="I13" si="3">SUM(I8:I12)</f>
        <v>5645977494.1600008</v>
      </c>
      <c r="J13" s="3">
        <f t="shared" ref="J13" si="4">SUM(J8:J12)</f>
        <v>6210150761.6199999</v>
      </c>
      <c r="K13" s="3">
        <f t="shared" si="2"/>
        <v>7068460981.3199997</v>
      </c>
    </row>
    <row r="14" spans="1:12" x14ac:dyDescent="0.3">
      <c r="A14" t="s">
        <v>16</v>
      </c>
      <c r="B14" s="1">
        <v>117890194.73</v>
      </c>
      <c r="C14" s="1">
        <v>142700044.58000001</v>
      </c>
      <c r="D14" s="1">
        <v>159130670.56</v>
      </c>
      <c r="E14" s="1">
        <v>196577742.34999999</v>
      </c>
      <c r="F14" s="1">
        <v>194971655.68000001</v>
      </c>
      <c r="G14" s="1">
        <v>205242354.15000001</v>
      </c>
      <c r="H14" s="1">
        <v>216774862.09999999</v>
      </c>
      <c r="I14" s="1">
        <v>199808013.55000001</v>
      </c>
      <c r="J14" s="1">
        <v>170033600.06</v>
      </c>
      <c r="K14" s="1">
        <v>211898441.83000001</v>
      </c>
    </row>
    <row r="15" spans="1:12" x14ac:dyDescent="0.3">
      <c r="A15" t="s">
        <v>15</v>
      </c>
      <c r="B15" s="1">
        <v>563755058.21000004</v>
      </c>
      <c r="C15" s="1">
        <v>477133274.51999998</v>
      </c>
      <c r="D15" s="1">
        <v>521047382.07999998</v>
      </c>
      <c r="E15" s="1">
        <v>597060545.10000002</v>
      </c>
      <c r="F15" s="1">
        <v>557450581.73000002</v>
      </c>
      <c r="G15" s="1">
        <v>663430897.86000001</v>
      </c>
      <c r="H15" s="1">
        <v>646476153.38999999</v>
      </c>
      <c r="I15" s="1">
        <v>725048117.53999996</v>
      </c>
      <c r="J15" s="1">
        <v>692835177.35000002</v>
      </c>
      <c r="K15" s="1">
        <v>616077365.46000004</v>
      </c>
    </row>
    <row r="16" spans="1:12" x14ac:dyDescent="0.3">
      <c r="A16" t="s">
        <v>17</v>
      </c>
      <c r="B16" s="1">
        <v>284929120.91000003</v>
      </c>
      <c r="C16" s="1">
        <v>307723159</v>
      </c>
      <c r="D16" s="1">
        <v>394885203.18000001</v>
      </c>
      <c r="E16" s="1">
        <v>398572495.81999999</v>
      </c>
      <c r="F16" s="1">
        <v>366729234.5</v>
      </c>
      <c r="G16" s="1">
        <v>344768528.33999997</v>
      </c>
      <c r="H16" s="1">
        <v>216218709.47</v>
      </c>
      <c r="I16" s="1">
        <v>174147900.69999999</v>
      </c>
      <c r="J16" s="1">
        <v>208344516.94</v>
      </c>
      <c r="K16" s="1">
        <v>178572906.11000001</v>
      </c>
    </row>
    <row r="17" spans="1:12" x14ac:dyDescent="0.3">
      <c r="A17" t="s">
        <v>18</v>
      </c>
      <c r="B17" s="1">
        <v>144499061.24000001</v>
      </c>
      <c r="C17" s="1">
        <v>143390099.37</v>
      </c>
      <c r="D17" s="1">
        <v>150330939.40000001</v>
      </c>
      <c r="E17" s="1">
        <v>166818511.06999999</v>
      </c>
      <c r="F17" s="1">
        <v>168763685.69</v>
      </c>
      <c r="G17" s="1">
        <v>154707004.86000001</v>
      </c>
      <c r="H17" s="1">
        <v>137636931.96000001</v>
      </c>
      <c r="I17" s="1">
        <v>137580532.30000001</v>
      </c>
      <c r="J17" s="1">
        <v>115864437.41</v>
      </c>
      <c r="K17" s="1">
        <v>132783801.91</v>
      </c>
    </row>
    <row r="18" spans="1:12" x14ac:dyDescent="0.3">
      <c r="A18" t="s">
        <v>19</v>
      </c>
      <c r="B18" s="1">
        <v>105429651.90000001</v>
      </c>
      <c r="C18" s="1">
        <v>112853561.48999999</v>
      </c>
      <c r="D18" s="1">
        <v>121991951.75</v>
      </c>
      <c r="E18" s="1">
        <v>137382478.94</v>
      </c>
      <c r="F18" s="1">
        <v>139622811.34999999</v>
      </c>
      <c r="G18" s="1">
        <v>146704716.5</v>
      </c>
      <c r="H18" s="1">
        <v>129602253.43000001</v>
      </c>
      <c r="I18" s="1">
        <v>135295353.11000001</v>
      </c>
      <c r="J18" s="1">
        <v>106941532.84999999</v>
      </c>
      <c r="K18" s="1">
        <v>106491067.53</v>
      </c>
    </row>
    <row r="19" spans="1:12" x14ac:dyDescent="0.3">
      <c r="A19" s="4" t="s">
        <v>2</v>
      </c>
      <c r="B19" s="3">
        <f>SUM(B14:B18)</f>
        <v>1216503086.9900002</v>
      </c>
      <c r="C19" s="3">
        <f>SUM(C14:C18)</f>
        <v>1183800138.96</v>
      </c>
      <c r="D19" s="3">
        <f>SUM(D14:D18)</f>
        <v>1347386146.97</v>
      </c>
      <c r="E19" s="3">
        <f>SUM(E14:E18)</f>
        <v>1496411773.28</v>
      </c>
      <c r="F19" s="3">
        <f>SUM(F14:F18)</f>
        <v>1427537968.95</v>
      </c>
      <c r="G19" s="3">
        <f t="shared" ref="G19:K19" si="5">SUM(G14:G18)</f>
        <v>1514853501.71</v>
      </c>
      <c r="H19" s="3">
        <f t="shared" si="5"/>
        <v>1346708910.3500001</v>
      </c>
      <c r="I19" s="3">
        <f t="shared" ref="I19:J19" si="6">SUM(I14:I18)</f>
        <v>1371879917.1999998</v>
      </c>
      <c r="J19" s="3">
        <f t="shared" si="6"/>
        <v>1294019264.6100001</v>
      </c>
      <c r="K19" s="3">
        <f t="shared" si="5"/>
        <v>1245823582.8400002</v>
      </c>
    </row>
    <row r="20" spans="1:12" x14ac:dyDescent="0.3">
      <c r="A20" s="4" t="s">
        <v>3</v>
      </c>
      <c r="B20" s="3">
        <v>567879896.12</v>
      </c>
      <c r="C20" s="3">
        <v>588570560.92999995</v>
      </c>
      <c r="D20" s="3">
        <v>649092163.94000006</v>
      </c>
      <c r="E20" s="3">
        <v>410640900.68000001</v>
      </c>
      <c r="F20" s="3">
        <v>184674195.55000001</v>
      </c>
      <c r="G20" s="3">
        <v>199440744.02000001</v>
      </c>
      <c r="H20" s="3">
        <v>221649668.72</v>
      </c>
      <c r="I20" s="3">
        <v>244743094.69</v>
      </c>
      <c r="J20" s="3">
        <v>93896365.519999996</v>
      </c>
      <c r="K20" s="3">
        <v>101612190.66</v>
      </c>
    </row>
    <row r="21" spans="1:12" x14ac:dyDescent="0.3">
      <c r="A21" s="72" t="s">
        <v>4</v>
      </c>
      <c r="B21" s="40">
        <f>B7-B13-B19-B20</f>
        <v>-853150413.04000008</v>
      </c>
      <c r="C21" s="40">
        <f>C7-C13-C19-C20</f>
        <v>-801682455.98000014</v>
      </c>
      <c r="D21" s="40">
        <f>D7-D13-D19-D20</f>
        <v>-726000765.95999885</v>
      </c>
      <c r="E21" s="40">
        <f>E7-E13-E19-E20</f>
        <v>-666834775.97000027</v>
      </c>
      <c r="F21" s="40">
        <f>F7-F13-F19-F20</f>
        <v>-582786056.36000156</v>
      </c>
      <c r="G21" s="40">
        <f t="shared" ref="G21" si="7">G7-G13-G19-G20</f>
        <v>-537975840.3499999</v>
      </c>
      <c r="H21" s="40">
        <f>H7-H13-H19-H20</f>
        <v>-507020830.16000032</v>
      </c>
      <c r="I21" s="40">
        <f>I7-I13-I19-I20</f>
        <v>-478244208.85000175</v>
      </c>
      <c r="J21" s="40">
        <f>J7-J13-J19-J20</f>
        <v>-449504701.50999928</v>
      </c>
      <c r="K21" s="40">
        <f>K7-K13-K19-K20</f>
        <v>-420430118.58999932</v>
      </c>
    </row>
    <row r="22" spans="1:12" x14ac:dyDescent="0.3">
      <c r="A22" t="s">
        <v>361</v>
      </c>
      <c r="B22" s="1">
        <v>-198102148.06999999</v>
      </c>
      <c r="C22" s="1">
        <v>-310620322.16000003</v>
      </c>
      <c r="D22" s="1">
        <v>-74004308.730000004</v>
      </c>
      <c r="E22" s="1">
        <v>-216193627.06</v>
      </c>
      <c r="F22" s="1">
        <v>-358364503</v>
      </c>
      <c r="G22" s="1">
        <v>-37849347.719999999</v>
      </c>
      <c r="H22" s="1">
        <v>-342090720.33999997</v>
      </c>
      <c r="I22" s="1">
        <v>-327627760.55000001</v>
      </c>
      <c r="J22" s="1">
        <v>-94612796.849999994</v>
      </c>
      <c r="K22" s="1">
        <v>-98887928.659999996</v>
      </c>
      <c r="L22" s="1"/>
    </row>
    <row r="23" spans="1:12" x14ac:dyDescent="0.3">
      <c r="A23" t="s">
        <v>360</v>
      </c>
      <c r="B23" s="6">
        <f>B8/B3*100</f>
        <v>26.545253059806157</v>
      </c>
      <c r="C23" s="6">
        <f>C8/C3*100</f>
        <v>31.590087838086532</v>
      </c>
      <c r="D23" s="6">
        <f>D8/D3*100</f>
        <v>32.231094741652122</v>
      </c>
      <c r="E23" s="6">
        <f>E8/E3*100</f>
        <v>41.706618068279688</v>
      </c>
      <c r="F23" s="6">
        <f>F8/F3*100</f>
        <v>46.036152344340984</v>
      </c>
      <c r="G23" s="6">
        <f t="shared" ref="G23" si="8">G8/G3*100</f>
        <v>48.861295556981737</v>
      </c>
      <c r="H23" s="6">
        <f>H8/H3*100</f>
        <v>52.735640356692691</v>
      </c>
      <c r="I23" s="6">
        <f>I8/I3*100</f>
        <v>52.452118027652347</v>
      </c>
      <c r="J23" s="6">
        <f>J8/J3*100</f>
        <v>56.35752251609599</v>
      </c>
      <c r="K23" s="6">
        <f>K8/K3*100</f>
        <v>59.962141441346603</v>
      </c>
      <c r="L23" s="1"/>
    </row>
  </sheetData>
  <conditionalFormatting sqref="C21:G21 K21">
    <cfRule type="cellIs" dxfId="129" priority="18" operator="greaterThan">
      <formula>0</formula>
    </cfRule>
  </conditionalFormatting>
  <conditionalFormatting sqref="C21:G21 K21">
    <cfRule type="cellIs" dxfId="128" priority="15" operator="greaterThan">
      <formula>0</formula>
    </cfRule>
    <cfRule type="cellIs" dxfId="127" priority="16" operator="lessThan">
      <formula>0</formula>
    </cfRule>
  </conditionalFormatting>
  <conditionalFormatting sqref="B21">
    <cfRule type="cellIs" dxfId="126" priority="12" operator="greaterThan">
      <formula>0</formula>
    </cfRule>
  </conditionalFormatting>
  <conditionalFormatting sqref="B21">
    <cfRule type="cellIs" dxfId="125" priority="10" operator="greaterThan">
      <formula>0</formula>
    </cfRule>
    <cfRule type="cellIs" dxfId="124" priority="11" operator="lessThan">
      <formula>0</formula>
    </cfRule>
  </conditionalFormatting>
  <conditionalFormatting sqref="H21">
    <cfRule type="cellIs" dxfId="123" priority="9" operator="greaterThan">
      <formula>0</formula>
    </cfRule>
  </conditionalFormatting>
  <conditionalFormatting sqref="H21">
    <cfRule type="cellIs" dxfId="122" priority="7" operator="greaterThan">
      <formula>0</formula>
    </cfRule>
    <cfRule type="cellIs" dxfId="121" priority="8" operator="lessThan">
      <formula>0</formula>
    </cfRule>
  </conditionalFormatting>
  <conditionalFormatting sqref="I21">
    <cfRule type="cellIs" dxfId="120" priority="6" operator="greaterThan">
      <formula>0</formula>
    </cfRule>
  </conditionalFormatting>
  <conditionalFormatting sqref="I21">
    <cfRule type="cellIs" dxfId="119" priority="4" operator="greaterThan">
      <formula>0</formula>
    </cfRule>
    <cfRule type="cellIs" dxfId="118" priority="5" operator="lessThan">
      <formula>0</formula>
    </cfRule>
  </conditionalFormatting>
  <conditionalFormatting sqref="J21">
    <cfRule type="cellIs" dxfId="117" priority="3" operator="greaterThan">
      <formula>0</formula>
    </cfRule>
  </conditionalFormatting>
  <conditionalFormatting sqref="J21">
    <cfRule type="cellIs" dxfId="116" priority="1" operator="greaterThan">
      <formula>0</formula>
    </cfRule>
    <cfRule type="cellIs" dxfId="11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59.21875" bestFit="1" customWidth="1"/>
    <col min="2" max="2" width="10.88671875" customWidth="1"/>
    <col min="3" max="12" width="12.6640625" bestFit="1" customWidth="1"/>
    <col min="13" max="13" width="12.33203125" bestFit="1" customWidth="1"/>
  </cols>
  <sheetData>
    <row r="1" spans="1:13" x14ac:dyDescent="0.3">
      <c r="A1" s="151" t="s">
        <v>395</v>
      </c>
      <c r="B1" s="151"/>
      <c r="C1" s="12">
        <v>2014</v>
      </c>
      <c r="D1" s="12">
        <v>2015</v>
      </c>
      <c r="E1" s="12">
        <v>2016</v>
      </c>
      <c r="F1" s="12">
        <v>2017</v>
      </c>
      <c r="G1" s="12">
        <v>2018</v>
      </c>
      <c r="H1" s="144">
        <v>2019</v>
      </c>
      <c r="I1" s="144">
        <v>2020</v>
      </c>
      <c r="J1" s="144">
        <v>2021</v>
      </c>
      <c r="K1" s="144">
        <v>2022</v>
      </c>
      <c r="L1" s="144">
        <v>2023</v>
      </c>
      <c r="M1" s="144" t="s">
        <v>264</v>
      </c>
    </row>
    <row r="2" spans="1:13" x14ac:dyDescent="0.3">
      <c r="A2" t="s">
        <v>234</v>
      </c>
      <c r="B2" s="29" t="s">
        <v>258</v>
      </c>
      <c r="C2" s="96">
        <v>2890557648.27</v>
      </c>
      <c r="D2" s="96">
        <v>2869812130.2600002</v>
      </c>
      <c r="E2" s="1">
        <v>2623766777.1799998</v>
      </c>
      <c r="F2" s="1">
        <v>2625405748.1199999</v>
      </c>
      <c r="G2" s="1">
        <v>2785573164.9699998</v>
      </c>
      <c r="H2" s="1">
        <v>2811941178.2399998</v>
      </c>
      <c r="I2" s="1">
        <v>2592099955.9200001</v>
      </c>
      <c r="J2" s="1">
        <v>2687881610.6599998</v>
      </c>
      <c r="K2" s="1">
        <v>2772168390.1999998</v>
      </c>
      <c r="L2" s="1">
        <v>2938986330.6999998</v>
      </c>
      <c r="M2" s="1">
        <f>L2-K2</f>
        <v>166817940.5</v>
      </c>
    </row>
    <row r="3" spans="1:13" x14ac:dyDescent="0.3">
      <c r="A3" t="s">
        <v>235</v>
      </c>
      <c r="B3" s="29" t="s">
        <v>258</v>
      </c>
      <c r="C3" s="96"/>
      <c r="D3" s="96"/>
      <c r="E3" s="1">
        <v>168434709.22999999</v>
      </c>
      <c r="F3" s="1">
        <v>182790300.22999999</v>
      </c>
      <c r="G3" s="1">
        <v>176519984.24000001</v>
      </c>
      <c r="H3" s="1">
        <v>176520771.78999999</v>
      </c>
      <c r="I3" s="1">
        <v>186907586.74000001</v>
      </c>
      <c r="J3" s="1">
        <v>232615869.11000001</v>
      </c>
      <c r="K3" s="1">
        <v>246528867.87</v>
      </c>
      <c r="L3" s="1">
        <v>268197226.78999999</v>
      </c>
      <c r="M3" s="1">
        <f t="shared" ref="M3:M29" si="0">L3-K3</f>
        <v>21668358.919999987</v>
      </c>
    </row>
    <row r="4" spans="1:13" x14ac:dyDescent="0.3">
      <c r="A4" t="s">
        <v>236</v>
      </c>
      <c r="B4" s="29" t="s">
        <v>258</v>
      </c>
      <c r="C4" s="96">
        <v>1044876785.42</v>
      </c>
      <c r="D4" s="96">
        <v>1081785360.3399999</v>
      </c>
      <c r="E4" s="1">
        <v>1244690003.5999999</v>
      </c>
      <c r="F4" s="1">
        <v>1034954614.66</v>
      </c>
      <c r="G4" s="1">
        <v>987153515.64999998</v>
      </c>
      <c r="H4" s="1">
        <v>1030209206.66</v>
      </c>
      <c r="I4" s="1">
        <v>1486610602.1900001</v>
      </c>
      <c r="J4" s="1">
        <v>1393403107.0599999</v>
      </c>
      <c r="K4" s="1">
        <v>1176461487.22</v>
      </c>
      <c r="L4" s="1">
        <v>1286756130.5</v>
      </c>
      <c r="M4" s="1">
        <f t="shared" si="0"/>
        <v>110294643.27999997</v>
      </c>
    </row>
    <row r="5" spans="1:13" x14ac:dyDescent="0.3">
      <c r="A5" t="s">
        <v>237</v>
      </c>
      <c r="B5" s="29" t="s">
        <v>258</v>
      </c>
      <c r="C5" s="96">
        <v>445991144.36000001</v>
      </c>
      <c r="D5" s="96">
        <v>655828786.24000001</v>
      </c>
      <c r="E5" s="1">
        <v>415055354.62</v>
      </c>
      <c r="F5" s="1">
        <v>410168769.19</v>
      </c>
      <c r="G5" s="1">
        <v>406081538.19999999</v>
      </c>
      <c r="H5" s="1">
        <v>546557306.00999999</v>
      </c>
      <c r="I5" s="1">
        <v>362960238.06999999</v>
      </c>
      <c r="J5" s="1">
        <v>427849062.74000001</v>
      </c>
      <c r="K5" s="1">
        <v>478875334.82999998</v>
      </c>
      <c r="L5" s="1">
        <v>559859116.13</v>
      </c>
      <c r="M5" s="1">
        <f t="shared" si="0"/>
        <v>80983781.300000012</v>
      </c>
    </row>
    <row r="6" spans="1:13" x14ac:dyDescent="0.3">
      <c r="A6" t="s">
        <v>238</v>
      </c>
      <c r="B6" s="29" t="s">
        <v>258</v>
      </c>
      <c r="C6" s="96"/>
      <c r="D6" s="96"/>
      <c r="E6" s="1">
        <v>5552</v>
      </c>
      <c r="F6" s="1">
        <v>12284.2</v>
      </c>
      <c r="G6" s="1">
        <v>29866.28</v>
      </c>
      <c r="H6" s="1">
        <v>1613.78</v>
      </c>
      <c r="I6" s="1">
        <v>-14251.83</v>
      </c>
      <c r="J6" s="1">
        <v>29627.16</v>
      </c>
      <c r="K6" s="1">
        <v>22274.93</v>
      </c>
      <c r="L6" s="1">
        <v>-32205.119999999999</v>
      </c>
      <c r="M6" s="1">
        <f t="shared" si="0"/>
        <v>-54480.05</v>
      </c>
    </row>
    <row r="7" spans="1:13" x14ac:dyDescent="0.3">
      <c r="A7" t="s">
        <v>239</v>
      </c>
      <c r="B7" s="29" t="s">
        <v>258</v>
      </c>
      <c r="C7" s="96"/>
      <c r="D7" s="96"/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f t="shared" si="0"/>
        <v>0</v>
      </c>
    </row>
    <row r="8" spans="1:13" x14ac:dyDescent="0.3">
      <c r="A8" t="s">
        <v>240</v>
      </c>
      <c r="B8" s="29" t="s">
        <v>258</v>
      </c>
      <c r="C8" s="96"/>
      <c r="D8" s="96"/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63778.03</v>
      </c>
      <c r="K8" s="1">
        <v>55470.69</v>
      </c>
      <c r="L8" s="1">
        <v>0</v>
      </c>
      <c r="M8" s="1">
        <f t="shared" si="0"/>
        <v>-55470.69</v>
      </c>
    </row>
    <row r="9" spans="1:13" x14ac:dyDescent="0.3">
      <c r="A9" s="35" t="s">
        <v>241</v>
      </c>
      <c r="B9" s="36" t="s">
        <v>258</v>
      </c>
      <c r="C9" s="97">
        <f>182646663.23+398010800.02+34717304.49+20899619.1</f>
        <v>636274386.84000003</v>
      </c>
      <c r="D9" s="97">
        <f>197071057.43+157137862.54+78769490.19+53507304.06</f>
        <v>486485714.22000003</v>
      </c>
      <c r="E9" s="37">
        <v>442114217.66000003</v>
      </c>
      <c r="F9" s="37">
        <v>698199847.39999998</v>
      </c>
      <c r="G9" s="37">
        <v>423712100.64999998</v>
      </c>
      <c r="H9" s="37">
        <v>384327919.52999997</v>
      </c>
      <c r="I9" s="37">
        <v>247962866.59</v>
      </c>
      <c r="J9" s="37">
        <v>333021518.01999998</v>
      </c>
      <c r="K9" s="37">
        <v>358689468.66000003</v>
      </c>
      <c r="L9" s="37">
        <v>486308104.13999999</v>
      </c>
      <c r="M9" s="1">
        <f t="shared" si="0"/>
        <v>127618635.47999996</v>
      </c>
    </row>
    <row r="10" spans="1:13" x14ac:dyDescent="0.3">
      <c r="A10" s="38" t="s">
        <v>262</v>
      </c>
      <c r="B10" s="39" t="s">
        <v>258</v>
      </c>
      <c r="C10" s="95">
        <f>SUM(C2:C9)</f>
        <v>5017699964.8900003</v>
      </c>
      <c r="D10" s="95">
        <f>SUM(D2:D9)</f>
        <v>5093911991.0600004</v>
      </c>
      <c r="E10" s="95">
        <f>SUM(E2:E9)</f>
        <v>4894066614.29</v>
      </c>
      <c r="F10" s="95">
        <f>SUM(F2:F9)</f>
        <v>4951531563.7999992</v>
      </c>
      <c r="G10" s="95">
        <f>SUM(G2:G9)</f>
        <v>4779070169.9899998</v>
      </c>
      <c r="H10" s="95">
        <f t="shared" ref="H10:L10" si="1">SUM(H2:H9)</f>
        <v>4949557996.0099993</v>
      </c>
      <c r="I10" s="95">
        <f t="shared" si="1"/>
        <v>4876526997.6800003</v>
      </c>
      <c r="J10" s="95">
        <f t="shared" ref="J10" si="2">SUM(J2:J9)</f>
        <v>5074864572.7799988</v>
      </c>
      <c r="K10" s="95">
        <f t="shared" ref="K10" si="3">SUM(K2:K9)</f>
        <v>5032801294.3999996</v>
      </c>
      <c r="L10" s="95">
        <f t="shared" si="1"/>
        <v>5540074703.1400003</v>
      </c>
      <c r="M10" s="11">
        <f t="shared" si="0"/>
        <v>507273408.74000072</v>
      </c>
    </row>
    <row r="11" spans="1:13" x14ac:dyDescent="0.3">
      <c r="A11" t="s">
        <v>242</v>
      </c>
      <c r="B11" s="29" t="s">
        <v>259</v>
      </c>
      <c r="C11" s="96">
        <v>12628980.9</v>
      </c>
      <c r="D11" s="96">
        <v>10717649.17</v>
      </c>
      <c r="E11" s="1">
        <v>8835984.3800000008</v>
      </c>
      <c r="F11" s="1">
        <v>10923315.15</v>
      </c>
      <c r="G11" s="1">
        <v>11881738.279999999</v>
      </c>
      <c r="H11" s="1">
        <v>8369678.4900000002</v>
      </c>
      <c r="I11" s="1">
        <v>13699393.689999999</v>
      </c>
      <c r="J11" s="1">
        <v>13844199.939999999</v>
      </c>
      <c r="K11" s="1">
        <v>10832089.5</v>
      </c>
      <c r="L11" s="1">
        <v>10161145.27</v>
      </c>
      <c r="M11" s="1">
        <f t="shared" si="0"/>
        <v>-670944.23000000045</v>
      </c>
    </row>
    <row r="12" spans="1:13" x14ac:dyDescent="0.3">
      <c r="A12" t="s">
        <v>243</v>
      </c>
      <c r="B12" s="29" t="s">
        <v>259</v>
      </c>
      <c r="C12" s="96">
        <v>2687292931.0500002</v>
      </c>
      <c r="D12" s="96">
        <v>3288464169.8899999</v>
      </c>
      <c r="E12" s="1">
        <v>2671001027.6799998</v>
      </c>
      <c r="F12" s="1">
        <v>2573809908.5</v>
      </c>
      <c r="G12" s="1">
        <v>2578453834.9200001</v>
      </c>
      <c r="H12" s="1">
        <v>2652284741.29</v>
      </c>
      <c r="I12" s="1">
        <v>2659671065.3000002</v>
      </c>
      <c r="J12" s="1">
        <v>2775977372.0599999</v>
      </c>
      <c r="K12" s="1">
        <v>2995088512.6999998</v>
      </c>
      <c r="L12" s="1">
        <v>3046050093.0999999</v>
      </c>
      <c r="M12" s="1">
        <f t="shared" si="0"/>
        <v>50961580.400000095</v>
      </c>
    </row>
    <row r="13" spans="1:13" x14ac:dyDescent="0.3">
      <c r="A13" t="s">
        <v>244</v>
      </c>
      <c r="B13" s="29" t="s">
        <v>259</v>
      </c>
      <c r="C13" s="96">
        <v>113592408.92</v>
      </c>
      <c r="D13" s="96">
        <v>103588262.8</v>
      </c>
      <c r="E13" s="1">
        <v>96769461.340000004</v>
      </c>
      <c r="F13" s="1">
        <v>88345305.859999999</v>
      </c>
      <c r="G13" s="1">
        <v>116310780.93000001</v>
      </c>
      <c r="H13" s="1">
        <v>92490672.959999993</v>
      </c>
      <c r="I13" s="1">
        <v>91655950.049999997</v>
      </c>
      <c r="J13" s="1">
        <v>91584685.459999993</v>
      </c>
      <c r="K13" s="1">
        <v>90876782.400000006</v>
      </c>
      <c r="L13" s="1">
        <v>96839791.540000007</v>
      </c>
      <c r="M13" s="1">
        <f t="shared" si="0"/>
        <v>5963009.1400000006</v>
      </c>
    </row>
    <row r="14" spans="1:13" x14ac:dyDescent="0.3">
      <c r="A14" t="s">
        <v>245</v>
      </c>
      <c r="B14" s="29" t="s">
        <v>259</v>
      </c>
      <c r="C14" s="96">
        <v>519016200.94999999</v>
      </c>
      <c r="D14" s="96">
        <v>375116462.75999999</v>
      </c>
      <c r="E14" s="1">
        <v>371098062.49000001</v>
      </c>
      <c r="F14" s="1">
        <v>405787492.62</v>
      </c>
      <c r="G14" s="1">
        <v>396215523.75</v>
      </c>
      <c r="H14" s="1">
        <v>409595393.44999999</v>
      </c>
      <c r="I14" s="1">
        <v>489222001.69999999</v>
      </c>
      <c r="J14" s="1">
        <v>643745549.16999996</v>
      </c>
      <c r="K14" s="1">
        <v>461971676.44</v>
      </c>
      <c r="L14" s="1">
        <v>366436263.98000002</v>
      </c>
      <c r="M14" s="1">
        <f t="shared" si="0"/>
        <v>-95535412.459999979</v>
      </c>
    </row>
    <row r="15" spans="1:13" x14ac:dyDescent="0.3">
      <c r="A15" t="s">
        <v>246</v>
      </c>
      <c r="B15" s="29" t="s">
        <v>259</v>
      </c>
      <c r="C15" s="96">
        <v>975917218.75999999</v>
      </c>
      <c r="D15" s="96">
        <v>911160028.55999994</v>
      </c>
      <c r="E15" s="1">
        <v>895341879.52999997</v>
      </c>
      <c r="F15" s="1">
        <v>981375052.55999994</v>
      </c>
      <c r="G15" s="1">
        <v>1088316144.04</v>
      </c>
      <c r="H15" s="1">
        <v>1031474168.89</v>
      </c>
      <c r="I15" s="1">
        <v>1060638619.1799999</v>
      </c>
      <c r="J15" s="1">
        <v>1080461253.8499999</v>
      </c>
      <c r="K15" s="1">
        <v>1049244034.2</v>
      </c>
      <c r="L15" s="1">
        <v>1087744570</v>
      </c>
      <c r="M15" s="1">
        <f t="shared" si="0"/>
        <v>38500535.799999952</v>
      </c>
    </row>
    <row r="16" spans="1:13" x14ac:dyDescent="0.3">
      <c r="A16" t="s">
        <v>247</v>
      </c>
      <c r="B16" s="29" t="s">
        <v>259</v>
      </c>
      <c r="C16" s="96">
        <v>185170296.83000001</v>
      </c>
      <c r="D16" s="96">
        <v>175645405.88999999</v>
      </c>
      <c r="E16" s="1">
        <v>169392937.09999999</v>
      </c>
      <c r="F16" s="1">
        <v>972435839.25</v>
      </c>
      <c r="G16" s="1">
        <v>695468662.25999999</v>
      </c>
      <c r="H16" s="1">
        <v>888472257.5</v>
      </c>
      <c r="I16" s="1">
        <v>534868279.55000001</v>
      </c>
      <c r="J16" s="1">
        <v>412192291.12</v>
      </c>
      <c r="K16" s="1">
        <v>893703942.62</v>
      </c>
      <c r="L16" s="1">
        <v>1007266689.55</v>
      </c>
      <c r="M16" s="1">
        <f t="shared" si="0"/>
        <v>113562746.92999995</v>
      </c>
    </row>
    <row r="17" spans="1:13" x14ac:dyDescent="0.3">
      <c r="A17" t="s">
        <v>248</v>
      </c>
      <c r="B17" s="29" t="s">
        <v>259</v>
      </c>
      <c r="C17" s="96">
        <v>38666.01</v>
      </c>
      <c r="D17" s="96">
        <v>-444033.05</v>
      </c>
      <c r="E17" s="1">
        <v>-393443.23</v>
      </c>
      <c r="F17" s="1">
        <v>91018.39</v>
      </c>
      <c r="G17" s="1">
        <v>-223568.71</v>
      </c>
      <c r="H17" s="1">
        <v>784713.47</v>
      </c>
      <c r="I17" s="1">
        <v>-897283.37</v>
      </c>
      <c r="J17" s="1">
        <v>-1345472.74</v>
      </c>
      <c r="K17" s="1">
        <v>748445.56</v>
      </c>
      <c r="L17" s="1">
        <v>-445835.71</v>
      </c>
      <c r="M17" s="1">
        <f t="shared" si="0"/>
        <v>-1194281.27</v>
      </c>
    </row>
    <row r="18" spans="1:13" x14ac:dyDescent="0.3">
      <c r="A18" t="s">
        <v>249</v>
      </c>
      <c r="B18" s="29" t="s">
        <v>259</v>
      </c>
      <c r="C18" s="96"/>
      <c r="D18" s="96"/>
      <c r="E18" s="1">
        <v>66620026.770000003</v>
      </c>
      <c r="F18" s="1">
        <v>267284800.47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f t="shared" si="0"/>
        <v>0</v>
      </c>
    </row>
    <row r="19" spans="1:13" x14ac:dyDescent="0.3">
      <c r="A19" t="s">
        <v>14</v>
      </c>
      <c r="B19" s="29" t="s">
        <v>259</v>
      </c>
      <c r="C19" s="96"/>
      <c r="D19" s="96"/>
      <c r="E19" s="1">
        <v>311425479.77999997</v>
      </c>
      <c r="F19" s="1">
        <v>0</v>
      </c>
      <c r="G19" s="1">
        <v>0</v>
      </c>
      <c r="H19" s="1">
        <v>10566.45</v>
      </c>
      <c r="I19" s="1">
        <v>73386782.930000007</v>
      </c>
      <c r="J19" s="1">
        <v>99133158.5</v>
      </c>
      <c r="K19" s="1">
        <v>4792540.8</v>
      </c>
      <c r="L19" s="1">
        <v>52676269.159999996</v>
      </c>
      <c r="M19" s="1">
        <f t="shared" si="0"/>
        <v>47883728.359999999</v>
      </c>
    </row>
    <row r="20" spans="1:13" x14ac:dyDescent="0.3">
      <c r="A20" s="35" t="s">
        <v>250</v>
      </c>
      <c r="B20" s="36" t="s">
        <v>259</v>
      </c>
      <c r="C20" s="97">
        <v>22160360.050000001</v>
      </c>
      <c r="D20" s="97">
        <v>35910798.600000001</v>
      </c>
      <c r="E20" s="37">
        <v>78539420.540000007</v>
      </c>
      <c r="F20" s="37">
        <v>60699182.700000003</v>
      </c>
      <c r="G20" s="37">
        <v>102865754.11</v>
      </c>
      <c r="H20" s="37">
        <v>52070663.030000001</v>
      </c>
      <c r="I20" s="37">
        <v>46359247.060000002</v>
      </c>
      <c r="J20" s="37">
        <v>48027760.380000003</v>
      </c>
      <c r="K20" s="37">
        <v>127607452.73999999</v>
      </c>
      <c r="L20" s="37">
        <v>69222702.900000006</v>
      </c>
      <c r="M20" s="1">
        <f t="shared" si="0"/>
        <v>-58384749.839999989</v>
      </c>
    </row>
    <row r="21" spans="1:13" x14ac:dyDescent="0.3">
      <c r="A21" s="38" t="s">
        <v>263</v>
      </c>
      <c r="B21" s="39" t="s">
        <v>259</v>
      </c>
      <c r="C21" s="95">
        <f>SUM(C11:C20)</f>
        <v>4515817063.4700003</v>
      </c>
      <c r="D21" s="95">
        <f>SUM(D11:D20)</f>
        <v>4900158744.6200008</v>
      </c>
      <c r="E21" s="95">
        <f>SUM(E11:E20)</f>
        <v>4668630836.3800001</v>
      </c>
      <c r="F21" s="95">
        <f>SUM(F11:F20)</f>
        <v>5360751915.500001</v>
      </c>
      <c r="G21" s="95">
        <f>SUM(G11:G20)</f>
        <v>4989288869.5799999</v>
      </c>
      <c r="H21" s="95">
        <f t="shared" ref="H21:L21" si="4">SUM(H11:H20)</f>
        <v>5135552855.5299997</v>
      </c>
      <c r="I21" s="95">
        <f t="shared" si="4"/>
        <v>4968604056.0900011</v>
      </c>
      <c r="J21" s="95">
        <f t="shared" ref="J21:K21" si="5">SUM(J11:J20)</f>
        <v>5163620797.7399998</v>
      </c>
      <c r="K21" s="95">
        <f t="shared" si="5"/>
        <v>5634865476.96</v>
      </c>
      <c r="L21" s="95">
        <f t="shared" si="4"/>
        <v>5735951689.789999</v>
      </c>
      <c r="M21" s="11">
        <f t="shared" si="0"/>
        <v>101086212.82999897</v>
      </c>
    </row>
    <row r="22" spans="1:13" x14ac:dyDescent="0.3">
      <c r="A22" t="s">
        <v>251</v>
      </c>
      <c r="B22" s="29" t="s">
        <v>258</v>
      </c>
      <c r="C22" s="96">
        <v>21125108.68</v>
      </c>
      <c r="D22" s="96">
        <v>12915082.57</v>
      </c>
      <c r="E22" s="1">
        <v>81540703.859999999</v>
      </c>
      <c r="F22" s="1">
        <v>88178350.299999997</v>
      </c>
      <c r="G22" s="1">
        <v>79185032.269999996</v>
      </c>
      <c r="H22" s="1">
        <v>86406032.75</v>
      </c>
      <c r="I22" s="1">
        <v>94620550.920000002</v>
      </c>
      <c r="J22" s="1">
        <v>93053547.849999994</v>
      </c>
      <c r="K22" s="1">
        <v>119105753.98</v>
      </c>
      <c r="L22" s="1">
        <v>119526958.36</v>
      </c>
      <c r="M22" s="1">
        <f t="shared" si="0"/>
        <v>421204.37999999523</v>
      </c>
    </row>
    <row r="23" spans="1:13" x14ac:dyDescent="0.3">
      <c r="A23" t="s">
        <v>252</v>
      </c>
      <c r="B23" s="29" t="s">
        <v>259</v>
      </c>
      <c r="C23" s="96">
        <v>32602012.370000001</v>
      </c>
      <c r="D23" s="96">
        <v>32169440.32</v>
      </c>
      <c r="E23" s="1">
        <v>30063818.210000001</v>
      </c>
      <c r="F23" s="1">
        <v>45647139.020000003</v>
      </c>
      <c r="G23" s="1">
        <v>44425150.539999999</v>
      </c>
      <c r="H23" s="1">
        <v>21598523.559999999</v>
      </c>
      <c r="I23" s="1">
        <v>22137066.649999999</v>
      </c>
      <c r="J23" s="1">
        <v>23729659.579999998</v>
      </c>
      <c r="K23" s="1">
        <v>26651768.739999998</v>
      </c>
      <c r="L23" s="1">
        <v>35200862.149999999</v>
      </c>
      <c r="M23" s="1">
        <f t="shared" si="0"/>
        <v>8549093.4100000001</v>
      </c>
    </row>
    <row r="24" spans="1:13" x14ac:dyDescent="0.3">
      <c r="A24" t="s">
        <v>253</v>
      </c>
      <c r="B24" s="29" t="s">
        <v>258</v>
      </c>
      <c r="C24" s="96"/>
      <c r="D24" s="96"/>
      <c r="E24" s="1">
        <v>0</v>
      </c>
      <c r="F24" s="1">
        <v>19233227.039999999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f t="shared" si="0"/>
        <v>0</v>
      </c>
    </row>
    <row r="25" spans="1:13" x14ac:dyDescent="0.3">
      <c r="A25" t="s">
        <v>254</v>
      </c>
      <c r="B25" s="29" t="s">
        <v>258</v>
      </c>
      <c r="C25" s="96">
        <v>226867046.52000001</v>
      </c>
      <c r="D25" s="96">
        <v>910839780.95000005</v>
      </c>
      <c r="E25" s="1">
        <v>156126588.18000001</v>
      </c>
      <c r="F25" s="1">
        <v>864958907.90999997</v>
      </c>
      <c r="G25" s="1">
        <v>577417444.47000003</v>
      </c>
      <c r="H25" s="1">
        <v>442040749.42000002</v>
      </c>
      <c r="I25" s="1">
        <v>381932457.06</v>
      </c>
      <c r="J25" s="1">
        <v>346400186.5</v>
      </c>
      <c r="K25" s="1">
        <v>619739992.5</v>
      </c>
      <c r="L25" s="1">
        <v>443722656.89999998</v>
      </c>
      <c r="M25" s="1">
        <f t="shared" si="0"/>
        <v>-176017335.60000002</v>
      </c>
    </row>
    <row r="26" spans="1:13" x14ac:dyDescent="0.3">
      <c r="A26" t="s">
        <v>255</v>
      </c>
      <c r="B26" s="29" t="s">
        <v>259</v>
      </c>
      <c r="C26" s="96">
        <v>590913947.04999995</v>
      </c>
      <c r="D26" s="96">
        <v>507732121.98000002</v>
      </c>
      <c r="E26" s="1">
        <v>110415864.81999999</v>
      </c>
      <c r="F26" s="1">
        <v>357627690.44</v>
      </c>
      <c r="G26" s="1">
        <v>380042531.19999999</v>
      </c>
      <c r="H26" s="1">
        <v>325702137.37</v>
      </c>
      <c r="I26" s="1">
        <v>424390658.13999999</v>
      </c>
      <c r="J26" s="1">
        <v>485866125.47000003</v>
      </c>
      <c r="K26" s="1">
        <v>335831243.85000002</v>
      </c>
      <c r="L26" s="1">
        <v>258357775.50999999</v>
      </c>
      <c r="M26" s="1">
        <f t="shared" si="0"/>
        <v>-77473468.340000033</v>
      </c>
    </row>
    <row r="27" spans="1:13" x14ac:dyDescent="0.3">
      <c r="A27" t="s">
        <v>256</v>
      </c>
      <c r="B27" s="29" t="s">
        <v>259</v>
      </c>
      <c r="C27" s="96">
        <v>62234549.390000001</v>
      </c>
      <c r="D27" s="96">
        <v>59357476.530000001</v>
      </c>
      <c r="E27" s="1">
        <v>45522499.850000001</v>
      </c>
      <c r="F27" s="1">
        <v>49661983.689999998</v>
      </c>
      <c r="G27" s="1">
        <v>63548942.270000003</v>
      </c>
      <c r="H27" s="1">
        <v>57580551.219999999</v>
      </c>
      <c r="I27" s="1">
        <v>60563146.130000003</v>
      </c>
      <c r="J27" s="1">
        <v>62707263.25</v>
      </c>
      <c r="K27" s="1">
        <v>62429071.900000006</v>
      </c>
      <c r="L27" s="1">
        <v>65031281.049999997</v>
      </c>
      <c r="M27" s="1">
        <f t="shared" si="0"/>
        <v>2602209.1499999911</v>
      </c>
    </row>
    <row r="28" spans="1:13" x14ac:dyDescent="0.3">
      <c r="A28" s="10" t="s">
        <v>257</v>
      </c>
      <c r="B28" s="39" t="s">
        <v>260</v>
      </c>
      <c r="C28" s="40">
        <f>C10-C21+C22-C23+C24+C25-C26-C27</f>
        <v>64124547.810000166</v>
      </c>
      <c r="D28" s="40">
        <f>D10-D21+D22-D23+D24+D25-D26-D27</f>
        <v>518249071.12999964</v>
      </c>
      <c r="E28" s="40">
        <f>E10-E21+E22-E23+E24+E25-E26-E27</f>
        <v>277100887.06999987</v>
      </c>
      <c r="F28" s="40">
        <f>F10-F21+F22-F23+F24+F25-F26-F27</f>
        <v>110213320.39999831</v>
      </c>
      <c r="G28" s="40">
        <f>G10-G21+G22-G23+G24+G25-G26-G27</f>
        <v>-41632846.860000096</v>
      </c>
      <c r="H28" s="40">
        <f t="shared" ref="H28:L28" si="6">H10-H21+H22-H23+H24+H25-H26-H27</f>
        <v>-62429289.500000447</v>
      </c>
      <c r="I28" s="40">
        <f t="shared" si="6"/>
        <v>-122614921.3500008</v>
      </c>
      <c r="J28" s="40">
        <f t="shared" ref="J28:K28" si="7">J10-J21+J22-J23+J24+J25-J26-J27</f>
        <v>-221605538.91000104</v>
      </c>
      <c r="K28" s="40">
        <f t="shared" si="7"/>
        <v>-288130520.57000041</v>
      </c>
      <c r="L28" s="40">
        <f t="shared" si="6"/>
        <v>8782709.900001362</v>
      </c>
      <c r="M28" s="40">
        <f t="shared" si="0"/>
        <v>296913230.47000176</v>
      </c>
    </row>
    <row r="29" spans="1:13" x14ac:dyDescent="0.3">
      <c r="A29" s="74" t="s">
        <v>392</v>
      </c>
      <c r="B29" s="137"/>
      <c r="C29" s="138">
        <f>C10-SUM(C11:C15)+C17</f>
        <v>709290890.32000041</v>
      </c>
      <c r="D29" s="138">
        <f>D10-SUM(D11:D15)+D17</f>
        <v>404421384.8300001</v>
      </c>
      <c r="E29" s="138">
        <f>E10-SUM(E11:E15)+E17</f>
        <v>850626755.63999987</v>
      </c>
      <c r="F29" s="138">
        <f>F10-SUM(F11:F15)+F17</f>
        <v>891381507.49999917</v>
      </c>
      <c r="G29" s="138">
        <f>G10-SUM(G11:G15)+G17</f>
        <v>587668579.35999966</v>
      </c>
      <c r="H29" s="138">
        <f t="shared" ref="H29:L29" si="8">H10-SUM(H11:H15)+H17</f>
        <v>756128054.39999986</v>
      </c>
      <c r="I29" s="138">
        <f t="shared" si="8"/>
        <v>560742684.39000022</v>
      </c>
      <c r="J29" s="138">
        <f t="shared" si="8"/>
        <v>467906039.55999923</v>
      </c>
      <c r="K29" s="138">
        <f t="shared" ref="K29" si="9">K10-SUM(K11:K15)+K17</f>
        <v>425536644.71999985</v>
      </c>
      <c r="L29" s="138">
        <f t="shared" si="8"/>
        <v>932397003.54000092</v>
      </c>
      <c r="M29" s="138">
        <f t="shared" si="0"/>
        <v>506860358.82000107</v>
      </c>
    </row>
    <row r="30" spans="1:13" x14ac:dyDescent="0.3">
      <c r="C30" s="1"/>
      <c r="D30" s="1"/>
    </row>
  </sheetData>
  <mergeCells count="1">
    <mergeCell ref="A1:B1"/>
  </mergeCells>
  <conditionalFormatting sqref="L28:M29 H28 H29:J29 C28:G29">
    <cfRule type="cellIs" dxfId="114" priority="16" operator="greaterThan">
      <formula>0</formula>
    </cfRule>
  </conditionalFormatting>
  <conditionalFormatting sqref="D28">
    <cfRule type="cellIs" dxfId="113" priority="15" operator="greaterThan">
      <formula>0</formula>
    </cfRule>
  </conditionalFormatting>
  <conditionalFormatting sqref="L28:L29">
    <cfRule type="cellIs" dxfId="112" priority="13" operator="greaterThan">
      <formula>0</formula>
    </cfRule>
  </conditionalFormatting>
  <conditionalFormatting sqref="D28">
    <cfRule type="cellIs" dxfId="111" priority="12" operator="greaterThan">
      <formula>0</formula>
    </cfRule>
  </conditionalFormatting>
  <conditionalFormatting sqref="C28:C29 L29">
    <cfRule type="cellIs" dxfId="110" priority="10" operator="greaterThan">
      <formula>0</formula>
    </cfRule>
  </conditionalFormatting>
  <conditionalFormatting sqref="C28:C29 L29">
    <cfRule type="cellIs" dxfId="109" priority="9" operator="greaterThan">
      <formula>0</formula>
    </cfRule>
  </conditionalFormatting>
  <conditionalFormatting sqref="I28">
    <cfRule type="cellIs" dxfId="108" priority="8" operator="greaterThan">
      <formula>0</formula>
    </cfRule>
  </conditionalFormatting>
  <conditionalFormatting sqref="I28">
    <cfRule type="cellIs" dxfId="107" priority="7" operator="greaterThan">
      <formula>0</formula>
    </cfRule>
  </conditionalFormatting>
  <conditionalFormatting sqref="J28">
    <cfRule type="cellIs" dxfId="106" priority="6" operator="greaterThan">
      <formula>0</formula>
    </cfRule>
  </conditionalFormatting>
  <conditionalFormatting sqref="J28">
    <cfRule type="cellIs" dxfId="105" priority="5" operator="greaterThan">
      <formula>0</formula>
    </cfRule>
  </conditionalFormatting>
  <conditionalFormatting sqref="K28:K29">
    <cfRule type="cellIs" dxfId="104" priority="4" operator="greaterThan">
      <formula>0</formula>
    </cfRule>
  </conditionalFormatting>
  <conditionalFormatting sqref="K28:K29">
    <cfRule type="cellIs" dxfId="103" priority="3" operator="greaterThan">
      <formula>0</formula>
    </cfRule>
  </conditionalFormatting>
  <conditionalFormatting sqref="K29">
    <cfRule type="cellIs" dxfId="102" priority="2" operator="greaterThan">
      <formula>0</formula>
    </cfRule>
  </conditionalFormatting>
  <conditionalFormatting sqref="K29">
    <cfRule type="cellIs" dxfId="10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4" sqref="K4"/>
    </sheetView>
  </sheetViews>
  <sheetFormatPr defaultRowHeight="14.4" x14ac:dyDescent="0.3"/>
  <cols>
    <col min="1" max="1" width="37.6640625" customWidth="1"/>
    <col min="2" max="11" width="13.33203125" bestFit="1" customWidth="1"/>
    <col min="12" max="12" width="12.33203125" bestFit="1" customWidth="1"/>
  </cols>
  <sheetData>
    <row r="1" spans="1:12" x14ac:dyDescent="0.3">
      <c r="A1" s="44"/>
      <c r="B1" s="45">
        <v>2014</v>
      </c>
      <c r="C1" s="45">
        <v>2015</v>
      </c>
      <c r="D1" s="45">
        <v>2016</v>
      </c>
      <c r="E1" s="45">
        <v>2017</v>
      </c>
      <c r="F1" s="45">
        <v>2018</v>
      </c>
      <c r="G1" s="45">
        <v>2019</v>
      </c>
      <c r="H1" s="45">
        <v>2020</v>
      </c>
      <c r="I1" s="45">
        <v>2021</v>
      </c>
      <c r="J1" s="45">
        <v>2022</v>
      </c>
      <c r="K1" s="45">
        <v>2023</v>
      </c>
      <c r="L1" s="45" t="s">
        <v>264</v>
      </c>
    </row>
    <row r="2" spans="1:12" x14ac:dyDescent="0.3">
      <c r="A2" s="73" t="s">
        <v>344</v>
      </c>
      <c r="B2" s="66">
        <f>Conto_economico!C10</f>
        <v>5017699964.8900003</v>
      </c>
      <c r="C2" s="66">
        <f>Conto_economico!D10</f>
        <v>5093911991.0600004</v>
      </c>
      <c r="D2" s="66">
        <f>Conto_economico!E10</f>
        <v>4894066614.29</v>
      </c>
      <c r="E2" s="66">
        <f>Conto_economico!F10</f>
        <v>4951531563.7999992</v>
      </c>
      <c r="F2" s="66">
        <f>Conto_economico!G10</f>
        <v>4779070169.9899998</v>
      </c>
      <c r="G2" s="66">
        <f>Conto_economico!H10</f>
        <v>4949557996.0099993</v>
      </c>
      <c r="H2" s="66">
        <f>Conto_economico!I10</f>
        <v>4876526997.6800003</v>
      </c>
      <c r="I2" s="66">
        <f>Conto_economico!J10</f>
        <v>5074864572.7799988</v>
      </c>
      <c r="J2" s="66">
        <f>Conto_economico!K10</f>
        <v>5032801294.3999996</v>
      </c>
      <c r="K2" s="66">
        <f>Conto_economico!L10</f>
        <v>5540074703.1400003</v>
      </c>
      <c r="L2" s="66">
        <f>K2-J2</f>
        <v>507273408.74000072</v>
      </c>
    </row>
    <row r="3" spans="1:12" x14ac:dyDescent="0.3">
      <c r="A3" s="73" t="s">
        <v>339</v>
      </c>
      <c r="B3" s="66">
        <f>Conto_economico!C2</f>
        <v>2890557648.27</v>
      </c>
      <c r="C3" s="66">
        <f>Conto_economico!D2</f>
        <v>2869812130.2600002</v>
      </c>
      <c r="D3" s="66">
        <f>Conto_economico!E2</f>
        <v>2623766777.1799998</v>
      </c>
      <c r="E3" s="66">
        <f>Conto_economico!F2</f>
        <v>2625405748.1199999</v>
      </c>
      <c r="F3" s="66">
        <f>Conto_economico!G2</f>
        <v>2785573164.9699998</v>
      </c>
      <c r="G3" s="66">
        <f>Conto_economico!H2</f>
        <v>2811941178.2399998</v>
      </c>
      <c r="H3" s="66">
        <f>Conto_economico!I2</f>
        <v>2592099955.9200001</v>
      </c>
      <c r="I3" s="66">
        <f>Conto_economico!J2</f>
        <v>2687881610.6599998</v>
      </c>
      <c r="J3" s="66">
        <f>Conto_economico!K2</f>
        <v>2772168390.1999998</v>
      </c>
      <c r="K3" s="66">
        <f>Conto_economico!L2</f>
        <v>2938986330.6999998</v>
      </c>
      <c r="L3" s="66">
        <f t="shared" ref="L3:L16" si="0">K3-J3</f>
        <v>166817940.5</v>
      </c>
    </row>
    <row r="4" spans="1:12" x14ac:dyDescent="0.3">
      <c r="A4" s="73" t="s">
        <v>340</v>
      </c>
      <c r="B4" s="66">
        <f>Conto_economico!C4</f>
        <v>1044876785.42</v>
      </c>
      <c r="C4" s="66">
        <f>Conto_economico!D4</f>
        <v>1081785360.3399999</v>
      </c>
      <c r="D4" s="66">
        <f>Conto_economico!E4</f>
        <v>1244690003.5999999</v>
      </c>
      <c r="E4" s="66">
        <f>Conto_economico!F4</f>
        <v>1034954614.66</v>
      </c>
      <c r="F4" s="66">
        <f>Conto_economico!G4</f>
        <v>987153515.64999998</v>
      </c>
      <c r="G4" s="66">
        <f>Conto_economico!H4</f>
        <v>1030209206.66</v>
      </c>
      <c r="H4" s="66">
        <f>Conto_economico!I4</f>
        <v>1486610602.1900001</v>
      </c>
      <c r="I4" s="66">
        <f>Conto_economico!J4</f>
        <v>1393403107.0599999</v>
      </c>
      <c r="J4" s="66">
        <f>Conto_economico!K4</f>
        <v>1176461487.22</v>
      </c>
      <c r="K4" s="66">
        <f>Conto_economico!L4</f>
        <v>1286756130.5</v>
      </c>
      <c r="L4" s="66">
        <f t="shared" si="0"/>
        <v>110294643.27999997</v>
      </c>
    </row>
    <row r="5" spans="1:12" x14ac:dyDescent="0.3">
      <c r="A5" s="73" t="s">
        <v>345</v>
      </c>
      <c r="B5" s="67">
        <f>Conto_economico!C21</f>
        <v>4515817063.4700003</v>
      </c>
      <c r="C5" s="67">
        <f>Conto_economico!D21</f>
        <v>4900158744.6200008</v>
      </c>
      <c r="D5" s="67">
        <f>Conto_economico!E21</f>
        <v>4668630836.3800001</v>
      </c>
      <c r="E5" s="67">
        <f>Conto_economico!F21</f>
        <v>5360751915.500001</v>
      </c>
      <c r="F5" s="67">
        <f>Conto_economico!G21</f>
        <v>4989288869.5799999</v>
      </c>
      <c r="G5" s="67">
        <f>Conto_economico!H21</f>
        <v>5135552855.5299997</v>
      </c>
      <c r="H5" s="67">
        <f>Conto_economico!I21</f>
        <v>4968604056.0900011</v>
      </c>
      <c r="I5" s="67">
        <f>Conto_economico!J21</f>
        <v>5163620797.7399998</v>
      </c>
      <c r="J5" s="67">
        <f>Conto_economico!K21</f>
        <v>5634865476.96</v>
      </c>
      <c r="K5" s="67">
        <f>Conto_economico!L21</f>
        <v>5735951689.789999</v>
      </c>
      <c r="L5" s="66">
        <f t="shared" si="0"/>
        <v>101086212.82999897</v>
      </c>
    </row>
    <row r="6" spans="1:12" x14ac:dyDescent="0.3">
      <c r="A6" s="73" t="s">
        <v>341</v>
      </c>
      <c r="B6" s="66">
        <f>Conto_economico!C12</f>
        <v>2687292931.0500002</v>
      </c>
      <c r="C6" s="66">
        <f>Conto_economico!D12</f>
        <v>3288464169.8899999</v>
      </c>
      <c r="D6" s="66">
        <f>Conto_economico!E12</f>
        <v>2671001027.6799998</v>
      </c>
      <c r="E6" s="66">
        <f>Conto_economico!F12</f>
        <v>2573809908.5</v>
      </c>
      <c r="F6" s="66">
        <f>Conto_economico!G12</f>
        <v>2578453834.9200001</v>
      </c>
      <c r="G6" s="66">
        <f>Conto_economico!H12</f>
        <v>2652284741.29</v>
      </c>
      <c r="H6" s="66">
        <f>Conto_economico!I12</f>
        <v>2659671065.3000002</v>
      </c>
      <c r="I6" s="66">
        <f>Conto_economico!J12</f>
        <v>2775977372.0599999</v>
      </c>
      <c r="J6" s="66">
        <f>Conto_economico!K12</f>
        <v>2995088512.6999998</v>
      </c>
      <c r="K6" s="66">
        <f>Conto_economico!L12</f>
        <v>3046050093.0999999</v>
      </c>
      <c r="L6" s="66">
        <f t="shared" si="0"/>
        <v>50961580.400000095</v>
      </c>
    </row>
    <row r="7" spans="1:12" x14ac:dyDescent="0.3">
      <c r="A7" s="73" t="s">
        <v>342</v>
      </c>
      <c r="B7" s="66">
        <f>Conto_economico!C15</f>
        <v>975917218.75999999</v>
      </c>
      <c r="C7" s="66">
        <f>Conto_economico!D15</f>
        <v>911160028.55999994</v>
      </c>
      <c r="D7" s="66">
        <f>Conto_economico!E15</f>
        <v>895341879.52999997</v>
      </c>
      <c r="E7" s="66">
        <f>Conto_economico!F15</f>
        <v>981375052.55999994</v>
      </c>
      <c r="F7" s="66">
        <f>Conto_economico!G15</f>
        <v>1088316144.04</v>
      </c>
      <c r="G7" s="66">
        <f>Conto_economico!H15</f>
        <v>1031474168.89</v>
      </c>
      <c r="H7" s="66">
        <f>Conto_economico!I15</f>
        <v>1060638619.1799999</v>
      </c>
      <c r="I7" s="66">
        <f>Conto_economico!J15</f>
        <v>1080461253.8499999</v>
      </c>
      <c r="J7" s="66">
        <f>Conto_economico!K15</f>
        <v>1049244034.2</v>
      </c>
      <c r="K7" s="66">
        <f>Conto_economico!L15</f>
        <v>1087744570</v>
      </c>
      <c r="L7" s="66">
        <f t="shared" si="0"/>
        <v>38500535.799999952</v>
      </c>
    </row>
    <row r="8" spans="1:12" x14ac:dyDescent="0.3">
      <c r="A8" s="73" t="s">
        <v>343</v>
      </c>
      <c r="B8" s="66">
        <f>Conto_economico!C16</f>
        <v>185170296.83000001</v>
      </c>
      <c r="C8" s="66">
        <f>Conto_economico!D16</f>
        <v>175645405.88999999</v>
      </c>
      <c r="D8" s="66">
        <f>Conto_economico!E16</f>
        <v>169392937.09999999</v>
      </c>
      <c r="E8" s="66">
        <f>Conto_economico!F16</f>
        <v>972435839.25</v>
      </c>
      <c r="F8" s="66">
        <f>Conto_economico!G16</f>
        <v>695468662.25999999</v>
      </c>
      <c r="G8" s="66">
        <f>Conto_economico!H16</f>
        <v>888472257.5</v>
      </c>
      <c r="H8" s="66">
        <f>Conto_economico!I16</f>
        <v>534868279.55000001</v>
      </c>
      <c r="I8" s="66">
        <f>Conto_economico!J16</f>
        <v>412192291.12</v>
      </c>
      <c r="J8" s="66">
        <f>Conto_economico!K16</f>
        <v>893703942.62</v>
      </c>
      <c r="K8" s="66">
        <f>Conto_economico!L16</f>
        <v>1007266689.55</v>
      </c>
      <c r="L8" s="66">
        <f t="shared" si="0"/>
        <v>113562746.92999995</v>
      </c>
    </row>
    <row r="9" spans="1:12" x14ac:dyDescent="0.3">
      <c r="A9" s="50" t="s">
        <v>392</v>
      </c>
      <c r="B9" s="68">
        <f>Conto_economico!C29</f>
        <v>709290890.32000041</v>
      </c>
      <c r="C9" s="68">
        <f>Conto_economico!D29</f>
        <v>404421384.8300001</v>
      </c>
      <c r="D9" s="68">
        <f>Conto_economico!E29</f>
        <v>850626755.63999987</v>
      </c>
      <c r="E9" s="68">
        <f>Conto_economico!F29</f>
        <v>891381507.49999917</v>
      </c>
      <c r="F9" s="68">
        <f>Conto_economico!G29</f>
        <v>587668579.35999966</v>
      </c>
      <c r="G9" s="68">
        <f>Conto_economico!H29</f>
        <v>756128054.39999986</v>
      </c>
      <c r="H9" s="68">
        <f>Conto_economico!I29</f>
        <v>560742684.39000022</v>
      </c>
      <c r="I9" s="68">
        <f>Conto_economico!J29</f>
        <v>467906039.55999923</v>
      </c>
      <c r="J9" s="68">
        <f>Conto_economico!K29</f>
        <v>425536644.71999985</v>
      </c>
      <c r="K9" s="68">
        <f>Conto_economico!L29</f>
        <v>932397003.54000092</v>
      </c>
      <c r="L9" s="68">
        <f t="shared" si="0"/>
        <v>506860358.82000107</v>
      </c>
    </row>
    <row r="10" spans="1:12" x14ac:dyDescent="0.3">
      <c r="A10" s="50" t="s">
        <v>305</v>
      </c>
      <c r="B10" s="68">
        <f>B2-B5</f>
        <v>501882901.42000008</v>
      </c>
      <c r="C10" s="68">
        <f>C2-C5</f>
        <v>193753246.43999958</v>
      </c>
      <c r="D10" s="68">
        <f>D2-D5</f>
        <v>225435777.90999985</v>
      </c>
      <c r="E10" s="68">
        <f>E2-E5</f>
        <v>-409220351.70000172</v>
      </c>
      <c r="F10" s="68">
        <f>F2-F5</f>
        <v>-210218699.59000015</v>
      </c>
      <c r="G10" s="68">
        <f t="shared" ref="G10:K10" si="1">G2-G5</f>
        <v>-185994859.52000046</v>
      </c>
      <c r="H10" s="68">
        <f t="shared" si="1"/>
        <v>-92077058.410000801</v>
      </c>
      <c r="I10" s="68">
        <f t="shared" si="1"/>
        <v>-88756224.960000992</v>
      </c>
      <c r="J10" s="68">
        <f t="shared" ref="J10" si="2">J2-J5</f>
        <v>-602064182.56000042</v>
      </c>
      <c r="K10" s="68">
        <f t="shared" si="1"/>
        <v>-195876986.64999866</v>
      </c>
      <c r="L10" s="68">
        <f t="shared" si="0"/>
        <v>406187195.91000175</v>
      </c>
    </row>
    <row r="11" spans="1:12" x14ac:dyDescent="0.3">
      <c r="A11" s="73" t="s">
        <v>306</v>
      </c>
      <c r="B11" s="66">
        <f>Conto_economico!C22-Conto_economico!C23</f>
        <v>-11476903.690000001</v>
      </c>
      <c r="C11" s="66">
        <f>Conto_economico!D22-Conto_economico!D23</f>
        <v>-19254357.75</v>
      </c>
      <c r="D11" s="66">
        <f>Conto_economico!E22-Conto_economico!E23</f>
        <v>51476885.649999999</v>
      </c>
      <c r="E11" s="66">
        <f>Conto_economico!F22-Conto_economico!F23</f>
        <v>42531211.279999994</v>
      </c>
      <c r="F11" s="66">
        <f>Conto_economico!G22-Conto_economico!G23</f>
        <v>34759881.729999997</v>
      </c>
      <c r="G11" s="66">
        <f>Conto_economico!H22-Conto_economico!H23</f>
        <v>64807509.189999998</v>
      </c>
      <c r="H11" s="66">
        <f>Conto_economico!I22-Conto_economico!I23</f>
        <v>72483484.270000011</v>
      </c>
      <c r="I11" s="66">
        <f>Conto_economico!J22-Conto_economico!J23</f>
        <v>69323888.269999996</v>
      </c>
      <c r="J11" s="66">
        <f>Conto_economico!K22-Conto_economico!K23</f>
        <v>92453985.24000001</v>
      </c>
      <c r="K11" s="66">
        <f>Conto_economico!L22-Conto_economico!L23</f>
        <v>84326096.210000008</v>
      </c>
      <c r="L11" s="66">
        <f t="shared" si="0"/>
        <v>-8127889.0300000012</v>
      </c>
    </row>
    <row r="12" spans="1:12" x14ac:dyDescent="0.3">
      <c r="A12" s="73" t="s">
        <v>307</v>
      </c>
      <c r="B12" s="67">
        <f>Conto_economico!C25-Conto_economico!C26</f>
        <v>-364046900.52999997</v>
      </c>
      <c r="C12" s="67">
        <f>Conto_economico!D25-Conto_economico!D26</f>
        <v>403107658.97000003</v>
      </c>
      <c r="D12" s="67">
        <f>Conto_economico!E25-Conto_economico!E26</f>
        <v>45710723.360000014</v>
      </c>
      <c r="E12" s="67">
        <f>Conto_economico!F25-Conto_economico!F26</f>
        <v>507331217.46999997</v>
      </c>
      <c r="F12" s="67">
        <f>Conto_economico!G25-Conto_economico!G26</f>
        <v>197374913.27000004</v>
      </c>
      <c r="G12" s="67">
        <f>Conto_economico!H25-Conto_economico!H26</f>
        <v>116338612.05000001</v>
      </c>
      <c r="H12" s="67">
        <f>Conto_economico!I25-Conto_economico!I26</f>
        <v>-42458201.079999983</v>
      </c>
      <c r="I12" s="67">
        <f>Conto_economico!J25-Conto_economico!J26</f>
        <v>-139465938.97000003</v>
      </c>
      <c r="J12" s="67">
        <f>Conto_economico!K25-Conto_economico!K26</f>
        <v>283908748.64999998</v>
      </c>
      <c r="K12" s="67">
        <f>Conto_economico!L25-Conto_economico!L26</f>
        <v>185364881.38999999</v>
      </c>
      <c r="L12" s="66">
        <f t="shared" si="0"/>
        <v>-98543867.25999999</v>
      </c>
    </row>
    <row r="13" spans="1:12" x14ac:dyDescent="0.3">
      <c r="A13" s="73" t="s">
        <v>253</v>
      </c>
      <c r="B13" s="67">
        <f>Conto_economico!C24</f>
        <v>0</v>
      </c>
      <c r="C13" s="67">
        <f>Conto_economico!D24</f>
        <v>0</v>
      </c>
      <c r="D13" s="67">
        <f>Conto_economico!E24</f>
        <v>0</v>
      </c>
      <c r="E13" s="67">
        <f>Conto_economico!F24</f>
        <v>19233227.039999999</v>
      </c>
      <c r="F13" s="67">
        <f>Conto_economico!G24</f>
        <v>0</v>
      </c>
      <c r="G13" s="67">
        <f>Conto_economico!H24</f>
        <v>0</v>
      </c>
      <c r="H13" s="67">
        <f>Conto_economico!I24</f>
        <v>0</v>
      </c>
      <c r="I13" s="67">
        <f>Conto_economico!J24</f>
        <v>0</v>
      </c>
      <c r="J13" s="67">
        <f>Conto_economico!K24</f>
        <v>0</v>
      </c>
      <c r="K13" s="67">
        <f>Conto_economico!L24</f>
        <v>0</v>
      </c>
      <c r="L13" s="66">
        <f t="shared" si="0"/>
        <v>0</v>
      </c>
    </row>
    <row r="14" spans="1:12" x14ac:dyDescent="0.3">
      <c r="A14" s="50" t="s">
        <v>308</v>
      </c>
      <c r="B14" s="68">
        <f>SUM(B10:B13)</f>
        <v>126359097.20000011</v>
      </c>
      <c r="C14" s="68">
        <f>SUM(C10:C13)</f>
        <v>577606547.65999961</v>
      </c>
      <c r="D14" s="68">
        <f>SUM(D10:D13)</f>
        <v>322623386.91999984</v>
      </c>
      <c r="E14" s="68">
        <f>SUM(E10:E13)</f>
        <v>159875304.08999822</v>
      </c>
      <c r="F14" s="68">
        <f>SUM(F10:F13)</f>
        <v>21916095.409999877</v>
      </c>
      <c r="G14" s="68">
        <f t="shared" ref="G14:K14" si="3">SUM(G10:G13)</f>
        <v>-4848738.2800004482</v>
      </c>
      <c r="H14" s="68">
        <f t="shared" si="3"/>
        <v>-62051775.220000774</v>
      </c>
      <c r="I14" s="68">
        <f t="shared" ref="I14" si="4">SUM(I10:I13)</f>
        <v>-158898275.66000104</v>
      </c>
      <c r="J14" s="68">
        <f t="shared" ref="J14" si="5">SUM(J10:J13)</f>
        <v>-225701448.67000043</v>
      </c>
      <c r="K14" s="68">
        <f t="shared" si="3"/>
        <v>73813990.950001329</v>
      </c>
      <c r="L14" s="68">
        <f t="shared" si="0"/>
        <v>299515439.62000179</v>
      </c>
    </row>
    <row r="15" spans="1:12" x14ac:dyDescent="0.3">
      <c r="A15" s="73" t="s">
        <v>256</v>
      </c>
      <c r="B15" s="66">
        <f>Conto_economico!C27</f>
        <v>62234549.390000001</v>
      </c>
      <c r="C15" s="66">
        <f>Conto_economico!D27</f>
        <v>59357476.530000001</v>
      </c>
      <c r="D15" s="66">
        <f>Conto_economico!E27</f>
        <v>45522499.850000001</v>
      </c>
      <c r="E15" s="66">
        <f>Conto_economico!F27</f>
        <v>49661983.689999998</v>
      </c>
      <c r="F15" s="66">
        <f>Conto_economico!G27</f>
        <v>63548942.270000003</v>
      </c>
      <c r="G15" s="66">
        <f>Conto_economico!H27</f>
        <v>57580551.219999999</v>
      </c>
      <c r="H15" s="66">
        <f>Conto_economico!I27</f>
        <v>60563146.130000003</v>
      </c>
      <c r="I15" s="66">
        <f>Conto_economico!J27</f>
        <v>62707263.25</v>
      </c>
      <c r="J15" s="66">
        <f>Conto_economico!K27</f>
        <v>62429071.900000006</v>
      </c>
      <c r="K15" s="66">
        <f>Conto_economico!L27</f>
        <v>65031281.049999997</v>
      </c>
      <c r="L15" s="66">
        <f t="shared" si="0"/>
        <v>2602209.1499999911</v>
      </c>
    </row>
    <row r="16" spans="1:12" x14ac:dyDescent="0.3">
      <c r="A16" s="72" t="s">
        <v>257</v>
      </c>
      <c r="B16" s="69">
        <f>B14-B15</f>
        <v>64124547.810000107</v>
      </c>
      <c r="C16" s="69">
        <f>C14-C15</f>
        <v>518249071.12999964</v>
      </c>
      <c r="D16" s="69">
        <f>D14-D15</f>
        <v>277100887.06999981</v>
      </c>
      <c r="E16" s="69">
        <f>E14-E15</f>
        <v>110213320.39999822</v>
      </c>
      <c r="F16" s="69">
        <f>F14-F15</f>
        <v>-41632846.860000126</v>
      </c>
      <c r="G16" s="69">
        <f t="shared" ref="G16:K16" si="6">G14-G15</f>
        <v>-62429289.500000447</v>
      </c>
      <c r="H16" s="69">
        <f t="shared" si="6"/>
        <v>-122614921.35000077</v>
      </c>
      <c r="I16" s="69">
        <f t="shared" ref="I16:J16" si="7">I14-I15</f>
        <v>-221605538.91000104</v>
      </c>
      <c r="J16" s="69">
        <f t="shared" si="7"/>
        <v>-288130520.57000041</v>
      </c>
      <c r="K16" s="69">
        <f t="shared" si="6"/>
        <v>8782709.9000013322</v>
      </c>
      <c r="L16" s="69">
        <f t="shared" si="0"/>
        <v>296913230.47000176</v>
      </c>
    </row>
    <row r="18" spans="2:3" x14ac:dyDescent="0.3">
      <c r="B18" s="98"/>
      <c r="C18" s="98"/>
    </row>
    <row r="19" spans="2:3" x14ac:dyDescent="0.3">
      <c r="B19" s="98"/>
      <c r="C19" s="98"/>
    </row>
    <row r="20" spans="2:3" x14ac:dyDescent="0.3">
      <c r="B20" s="98"/>
      <c r="C20" s="98"/>
    </row>
  </sheetData>
  <conditionalFormatting sqref="K16:L16 C16:G16">
    <cfRule type="cellIs" dxfId="100" priority="23" operator="greaterThan">
      <formula>0</formula>
    </cfRule>
  </conditionalFormatting>
  <conditionalFormatting sqref="K10:L10 C10:G10 C14:G14 B9:I9">
    <cfRule type="cellIs" dxfId="99" priority="22" operator="lessThan">
      <formula>0</formula>
    </cfRule>
  </conditionalFormatting>
  <conditionalFormatting sqref="K14:L14">
    <cfRule type="cellIs" dxfId="98" priority="21" operator="lessThan">
      <formula>0</formula>
    </cfRule>
  </conditionalFormatting>
  <conditionalFormatting sqref="B16">
    <cfRule type="cellIs" dxfId="97" priority="17" operator="greaterThan">
      <formula>0</formula>
    </cfRule>
  </conditionalFormatting>
  <conditionalFormatting sqref="B10">
    <cfRule type="cellIs" dxfId="96" priority="16" operator="lessThan">
      <formula>0</formula>
    </cfRule>
  </conditionalFormatting>
  <conditionalFormatting sqref="B14">
    <cfRule type="cellIs" dxfId="95" priority="15" operator="lessThan">
      <formula>0</formula>
    </cfRule>
  </conditionalFormatting>
  <conditionalFormatting sqref="H16">
    <cfRule type="cellIs" dxfId="94" priority="14" operator="greaterThan">
      <formula>0</formula>
    </cfRule>
  </conditionalFormatting>
  <conditionalFormatting sqref="H10">
    <cfRule type="cellIs" dxfId="93" priority="13" operator="lessThan">
      <formula>0</formula>
    </cfRule>
  </conditionalFormatting>
  <conditionalFormatting sqref="H14">
    <cfRule type="cellIs" dxfId="92" priority="12" operator="lessThan">
      <formula>0</formula>
    </cfRule>
  </conditionalFormatting>
  <conditionalFormatting sqref="I16">
    <cfRule type="cellIs" dxfId="91" priority="11" operator="greaterThan">
      <formula>0</formula>
    </cfRule>
  </conditionalFormatting>
  <conditionalFormatting sqref="I10">
    <cfRule type="cellIs" dxfId="90" priority="10" operator="lessThan">
      <formula>0</formula>
    </cfRule>
  </conditionalFormatting>
  <conditionalFormatting sqref="I14">
    <cfRule type="cellIs" dxfId="89" priority="9" operator="lessThan">
      <formula>0</formula>
    </cfRule>
  </conditionalFormatting>
  <conditionalFormatting sqref="L9">
    <cfRule type="cellIs" dxfId="88" priority="8" operator="lessThan">
      <formula>0</formula>
    </cfRule>
  </conditionalFormatting>
  <conditionalFormatting sqref="K9">
    <cfRule type="cellIs" dxfId="87" priority="7" operator="lessThan">
      <formula>0</formula>
    </cfRule>
  </conditionalFormatting>
  <conditionalFormatting sqref="J16">
    <cfRule type="cellIs" dxfId="86" priority="4" operator="greaterThan">
      <formula>0</formula>
    </cfRule>
  </conditionalFormatting>
  <conditionalFormatting sqref="J10">
    <cfRule type="cellIs" dxfId="85" priority="3" operator="lessThan">
      <formula>0</formula>
    </cfRule>
  </conditionalFormatting>
  <conditionalFormatting sqref="J14">
    <cfRule type="cellIs" dxfId="84" priority="2" operator="lessThan">
      <formula>0</formula>
    </cfRule>
  </conditionalFormatting>
  <conditionalFormatting sqref="J9">
    <cfRule type="cellIs" dxfId="8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2024-12-27T12:01:34Z</dcterms:modified>
</cp:coreProperties>
</file>