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lanci\rendiconti\Comuni\"/>
    </mc:Choice>
  </mc:AlternateContent>
  <bookViews>
    <workbookView xWindow="240" yWindow="48" windowWidth="20112" windowHeight="7992" firstSheet="4" activeTab="8"/>
  </bookViews>
  <sheets>
    <sheet name="Entrate_Uscite" sheetId="2" r:id="rId1"/>
    <sheet name="Tav_Entrate" sheetId="7" r:id="rId2"/>
    <sheet name="Tav_Uscite" sheetId="8" r:id="rId3"/>
    <sheet name="Tav_Saldi" sheetId="9" r:id="rId4"/>
    <sheet name="Risultato_amministrazione" sheetId="1" r:id="rId5"/>
    <sheet name="Conto_economico" sheetId="6" r:id="rId6"/>
    <sheet name="Tav_contoeconomico" sheetId="10" r:id="rId7"/>
    <sheet name="Stato_patrimoniale" sheetId="5" r:id="rId8"/>
    <sheet name="Piano_indicatori" sheetId="4" r:id="rId9"/>
    <sheet name="Tav_indicatori" sheetId="12" r:id="rId10"/>
    <sheet name="Popolazione" sheetId="13" r:id="rId11"/>
  </sheets>
  <calcPr calcId="152511"/>
</workbook>
</file>

<file path=xl/calcChain.xml><?xml version="1.0" encoding="utf-8"?>
<calcChain xmlns="http://schemas.openxmlformats.org/spreadsheetml/2006/main">
  <c r="K9" i="12" l="1"/>
  <c r="K8" i="12"/>
  <c r="K7" i="12"/>
  <c r="K6" i="12"/>
  <c r="K5" i="12"/>
  <c r="K4" i="12"/>
  <c r="K3" i="12"/>
  <c r="K2" i="12"/>
  <c r="J6" i="9"/>
  <c r="J5" i="9"/>
  <c r="J4" i="9"/>
  <c r="J3" i="9"/>
  <c r="J2" i="9"/>
  <c r="H6" i="9"/>
  <c r="H5" i="9"/>
  <c r="H4" i="9"/>
  <c r="H3" i="9"/>
  <c r="H2" i="9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K6" i="8"/>
  <c r="K5" i="8"/>
  <c r="K4" i="8"/>
  <c r="K3" i="8"/>
  <c r="K2" i="8"/>
  <c r="H29" i="8"/>
  <c r="H28" i="8"/>
  <c r="H26" i="8"/>
  <c r="H25" i="8"/>
  <c r="H24" i="8"/>
  <c r="H23" i="8"/>
  <c r="H22" i="8"/>
  <c r="H19" i="8"/>
  <c r="H18" i="8"/>
  <c r="H17" i="8"/>
  <c r="H16" i="8"/>
  <c r="H14" i="8"/>
  <c r="H13" i="8"/>
  <c r="H12" i="8"/>
  <c r="H11" i="8"/>
  <c r="H15" i="8" s="1"/>
  <c r="H10" i="8"/>
  <c r="H9" i="8"/>
  <c r="H8" i="8"/>
  <c r="H7" i="8"/>
  <c r="H6" i="8"/>
  <c r="H5" i="8"/>
  <c r="H4" i="8"/>
  <c r="H3" i="8"/>
  <c r="H2" i="8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K4" i="7"/>
  <c r="K3" i="7"/>
  <c r="K2" i="7"/>
  <c r="H19" i="7"/>
  <c r="H18" i="7"/>
  <c r="H17" i="7"/>
  <c r="H14" i="7"/>
  <c r="H13" i="7"/>
  <c r="H12" i="7"/>
  <c r="H10" i="7"/>
  <c r="H9" i="7"/>
  <c r="H8" i="7"/>
  <c r="H7" i="7"/>
  <c r="H6" i="7"/>
  <c r="H4" i="7"/>
  <c r="H3" i="7"/>
  <c r="H2" i="7"/>
  <c r="H5" i="7" s="1"/>
  <c r="W53" i="2"/>
  <c r="X52" i="2"/>
  <c r="W52" i="2"/>
  <c r="X51" i="2"/>
  <c r="AA51" i="2" s="1"/>
  <c r="W51" i="2"/>
  <c r="X50" i="2"/>
  <c r="W50" i="2"/>
  <c r="X49" i="2"/>
  <c r="AA49" i="2" s="1"/>
  <c r="W49" i="2"/>
  <c r="X48" i="2"/>
  <c r="X54" i="2" s="1"/>
  <c r="W48" i="2"/>
  <c r="Z48" i="2" s="1"/>
  <c r="X16" i="2"/>
  <c r="AA16" i="2" s="1"/>
  <c r="W16" i="2"/>
  <c r="X15" i="2"/>
  <c r="W15" i="2"/>
  <c r="Z15" i="2" s="1"/>
  <c r="X14" i="2"/>
  <c r="X20" i="2" s="1"/>
  <c r="W14" i="2"/>
  <c r="W20" i="2" s="1"/>
  <c r="AA57" i="2"/>
  <c r="Z57" i="2"/>
  <c r="AA53" i="2"/>
  <c r="Z53" i="2"/>
  <c r="AA52" i="2"/>
  <c r="Z52" i="2"/>
  <c r="Z51" i="2"/>
  <c r="AA50" i="2"/>
  <c r="Z50" i="2"/>
  <c r="Z49" i="2"/>
  <c r="AA48" i="2"/>
  <c r="AA47" i="2"/>
  <c r="Z47" i="2"/>
  <c r="AA46" i="2"/>
  <c r="Z46" i="2"/>
  <c r="AA45" i="2"/>
  <c r="Z45" i="2"/>
  <c r="AA44" i="2"/>
  <c r="Z44" i="2"/>
  <c r="AA43" i="2"/>
  <c r="Z43" i="2"/>
  <c r="AA42" i="2"/>
  <c r="Z42" i="2"/>
  <c r="AA41" i="2"/>
  <c r="Z41" i="2"/>
  <c r="AA40" i="2"/>
  <c r="Z40" i="2"/>
  <c r="AA39" i="2"/>
  <c r="Z39" i="2"/>
  <c r="AA38" i="2"/>
  <c r="Z38" i="2"/>
  <c r="AA37" i="2"/>
  <c r="Z37" i="2"/>
  <c r="AA36" i="2"/>
  <c r="Z36" i="2"/>
  <c r="AA35" i="2"/>
  <c r="Z35" i="2"/>
  <c r="AA34" i="2"/>
  <c r="Z34" i="2"/>
  <c r="AA33" i="2"/>
  <c r="Z33" i="2"/>
  <c r="AA32" i="2"/>
  <c r="Z32" i="2"/>
  <c r="AA31" i="2"/>
  <c r="Z31" i="2"/>
  <c r="AA30" i="2"/>
  <c r="Z30" i="2"/>
  <c r="AA29" i="2"/>
  <c r="Z29" i="2"/>
  <c r="AA28" i="2"/>
  <c r="Z28" i="2"/>
  <c r="AA27" i="2"/>
  <c r="Z27" i="2"/>
  <c r="AA26" i="2"/>
  <c r="Z26" i="2"/>
  <c r="AA25" i="2"/>
  <c r="Z25" i="2"/>
  <c r="AA24" i="2"/>
  <c r="Z24" i="2"/>
  <c r="AA23" i="2"/>
  <c r="Z23" i="2"/>
  <c r="AA19" i="2"/>
  <c r="Z19" i="2"/>
  <c r="AA18" i="2"/>
  <c r="Z18" i="2"/>
  <c r="AA17" i="2"/>
  <c r="Z17" i="2"/>
  <c r="Z16" i="2"/>
  <c r="AA15" i="2"/>
  <c r="Z14" i="2"/>
  <c r="AA13" i="2"/>
  <c r="Z13" i="2"/>
  <c r="AA12" i="2"/>
  <c r="Z12" i="2"/>
  <c r="AA11" i="2"/>
  <c r="Z11" i="2"/>
  <c r="AA10" i="2"/>
  <c r="Z10" i="2"/>
  <c r="AA9" i="2"/>
  <c r="Z9" i="2"/>
  <c r="AA8" i="2"/>
  <c r="Z8" i="2"/>
  <c r="AA7" i="2"/>
  <c r="Z7" i="2"/>
  <c r="AA6" i="2"/>
  <c r="Z6" i="2"/>
  <c r="AA5" i="2"/>
  <c r="Z5" i="2"/>
  <c r="AA4" i="2"/>
  <c r="Z4" i="2"/>
  <c r="AA3" i="2"/>
  <c r="Z3" i="2"/>
  <c r="H20" i="8" l="1"/>
  <c r="H27" i="8"/>
  <c r="H30" i="8"/>
  <c r="H31" i="8" s="1"/>
  <c r="H21" i="8"/>
  <c r="H15" i="7"/>
  <c r="H11" i="7"/>
  <c r="H20" i="7"/>
  <c r="H21" i="7" s="1"/>
  <c r="H16" i="7"/>
  <c r="X21" i="2"/>
  <c r="AA21" i="2" s="1"/>
  <c r="AA20" i="2"/>
  <c r="X55" i="2"/>
  <c r="AA55" i="2" s="1"/>
  <c r="AA54" i="2"/>
  <c r="W21" i="2"/>
  <c r="Z21" i="2" s="1"/>
  <c r="Z20" i="2"/>
  <c r="W54" i="2"/>
  <c r="AA14" i="2"/>
  <c r="W55" i="2" l="1"/>
  <c r="Z55" i="2" s="1"/>
  <c r="Z54" i="2"/>
  <c r="U61" i="2" l="1"/>
  <c r="U60" i="2"/>
  <c r="U58" i="2"/>
  <c r="T58" i="2"/>
  <c r="U57" i="2"/>
  <c r="T57" i="2"/>
  <c r="U56" i="2"/>
  <c r="T56" i="2"/>
  <c r="U55" i="2"/>
  <c r="U59" i="2" s="1"/>
  <c r="V54" i="2"/>
  <c r="U54" i="2"/>
  <c r="T54" i="2"/>
  <c r="T55" i="2" s="1"/>
  <c r="V53" i="2"/>
  <c r="V52" i="2"/>
  <c r="V51" i="2"/>
  <c r="V50" i="2"/>
  <c r="V49" i="2"/>
  <c r="V48" i="2"/>
  <c r="V47" i="2"/>
  <c r="V46" i="2"/>
  <c r="V45" i="2"/>
  <c r="V44" i="2"/>
  <c r="V43" i="2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V8" i="2"/>
  <c r="V7" i="2"/>
  <c r="V6" i="2"/>
  <c r="V5" i="2"/>
  <c r="V4" i="2"/>
  <c r="V3" i="2"/>
  <c r="J27" i="5"/>
  <c r="J28" i="5" s="1"/>
  <c r="J26" i="5"/>
  <c r="J13" i="5"/>
  <c r="L16" i="10"/>
  <c r="L15" i="10"/>
  <c r="L14" i="10"/>
  <c r="L13" i="10"/>
  <c r="L12" i="10"/>
  <c r="L11" i="10"/>
  <c r="L10" i="10"/>
  <c r="L9" i="10"/>
  <c r="L8" i="10"/>
  <c r="L7" i="10"/>
  <c r="L6" i="10"/>
  <c r="L5" i="10"/>
  <c r="L4" i="10"/>
  <c r="L3" i="10"/>
  <c r="L2" i="10"/>
  <c r="J15" i="10"/>
  <c r="J13" i="10"/>
  <c r="J12" i="10"/>
  <c r="J11" i="10"/>
  <c r="J9" i="10"/>
  <c r="J8" i="10"/>
  <c r="J7" i="10"/>
  <c r="J6" i="10"/>
  <c r="J5" i="10"/>
  <c r="J4" i="10"/>
  <c r="J3" i="10"/>
  <c r="J2" i="10"/>
  <c r="J10" i="10" s="1"/>
  <c r="J14" i="10" s="1"/>
  <c r="J16" i="10" s="1"/>
  <c r="M27" i="6"/>
  <c r="M26" i="6"/>
  <c r="M25" i="6"/>
  <c r="M24" i="6"/>
  <c r="M23" i="6"/>
  <c r="M22" i="6"/>
  <c r="M20" i="6"/>
  <c r="M19" i="6"/>
  <c r="M18" i="6"/>
  <c r="M17" i="6"/>
  <c r="M16" i="6"/>
  <c r="M15" i="6"/>
  <c r="M14" i="6"/>
  <c r="M13" i="6"/>
  <c r="M12" i="6"/>
  <c r="M11" i="6"/>
  <c r="M9" i="6"/>
  <c r="M8" i="6"/>
  <c r="M7" i="6"/>
  <c r="M6" i="6"/>
  <c r="M5" i="6"/>
  <c r="M4" i="6"/>
  <c r="M3" i="6"/>
  <c r="M2" i="6"/>
  <c r="K21" i="6"/>
  <c r="K10" i="6"/>
  <c r="K29" i="6" s="1"/>
  <c r="J23" i="1"/>
  <c r="J19" i="1"/>
  <c r="J13" i="1"/>
  <c r="J7" i="1"/>
  <c r="J21" i="1" s="1"/>
  <c r="V55" i="2" l="1"/>
  <c r="T59" i="2"/>
  <c r="K28" i="6"/>
  <c r="G3" i="13"/>
  <c r="G4" i="13"/>
  <c r="C9" i="10" l="1"/>
  <c r="D9" i="10"/>
  <c r="E9" i="10"/>
  <c r="F9" i="10"/>
  <c r="G9" i="10"/>
  <c r="H9" i="10"/>
  <c r="I9" i="10"/>
  <c r="B9" i="10"/>
  <c r="D29" i="6"/>
  <c r="E29" i="6"/>
  <c r="F29" i="6"/>
  <c r="G29" i="6"/>
  <c r="H29" i="6"/>
  <c r="I29" i="6"/>
  <c r="J29" i="6"/>
  <c r="C29" i="6"/>
  <c r="J9" i="12" l="1"/>
  <c r="J8" i="12"/>
  <c r="J7" i="12"/>
  <c r="J6" i="12"/>
  <c r="J5" i="12"/>
  <c r="J4" i="12"/>
  <c r="J3" i="12"/>
  <c r="J2" i="12"/>
  <c r="G29" i="8"/>
  <c r="G28" i="8"/>
  <c r="G26" i="8"/>
  <c r="G25" i="8"/>
  <c r="G24" i="8"/>
  <c r="G23" i="8"/>
  <c r="G22" i="8"/>
  <c r="G19" i="8"/>
  <c r="G18" i="8"/>
  <c r="G17" i="8"/>
  <c r="G16" i="8"/>
  <c r="G14" i="8"/>
  <c r="G13" i="8"/>
  <c r="G12" i="8"/>
  <c r="G11" i="8"/>
  <c r="G9" i="8"/>
  <c r="G8" i="8"/>
  <c r="G7" i="8"/>
  <c r="G6" i="8"/>
  <c r="G5" i="8"/>
  <c r="G4" i="8"/>
  <c r="G3" i="8"/>
  <c r="G2" i="8"/>
  <c r="G19" i="7"/>
  <c r="G18" i="7"/>
  <c r="G17" i="7"/>
  <c r="G14" i="7"/>
  <c r="G13" i="7"/>
  <c r="G12" i="7"/>
  <c r="G10" i="7"/>
  <c r="G9" i="7"/>
  <c r="G8" i="7"/>
  <c r="G7" i="7"/>
  <c r="G6" i="7"/>
  <c r="G4" i="7"/>
  <c r="G3" i="7"/>
  <c r="G2" i="7"/>
  <c r="G5" i="7" l="1"/>
  <c r="G15" i="7"/>
  <c r="G10" i="8"/>
  <c r="G15" i="8"/>
  <c r="G20" i="8"/>
  <c r="G27" i="8"/>
  <c r="G11" i="7"/>
  <c r="G21" i="8" l="1"/>
  <c r="G30" i="8"/>
  <c r="G31" i="8" s="1"/>
  <c r="G20" i="7"/>
  <c r="G21" i="7"/>
  <c r="G16" i="7"/>
  <c r="Q53" i="2"/>
  <c r="S53" i="2" s="1"/>
  <c r="R52" i="2"/>
  <c r="Q52" i="2"/>
  <c r="S52" i="2" s="1"/>
  <c r="R51" i="2"/>
  <c r="Q51" i="2"/>
  <c r="S51" i="2" s="1"/>
  <c r="R50" i="2"/>
  <c r="Q50" i="2"/>
  <c r="S50" i="2" s="1"/>
  <c r="R49" i="2"/>
  <c r="Q49" i="2"/>
  <c r="R48" i="2"/>
  <c r="R61" i="2" s="1"/>
  <c r="Q48" i="2"/>
  <c r="S48" i="2" s="1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19" i="2"/>
  <c r="S18" i="2"/>
  <c r="S17" i="2"/>
  <c r="R16" i="2"/>
  <c r="Q16" i="2"/>
  <c r="R15" i="2"/>
  <c r="Q15" i="2"/>
  <c r="R14" i="2"/>
  <c r="Q14" i="2"/>
  <c r="S13" i="2"/>
  <c r="S12" i="2"/>
  <c r="S11" i="2"/>
  <c r="S10" i="2"/>
  <c r="S9" i="2"/>
  <c r="S8" i="2"/>
  <c r="S7" i="2"/>
  <c r="S6" i="2"/>
  <c r="S5" i="2"/>
  <c r="S4" i="2"/>
  <c r="S3" i="2"/>
  <c r="K26" i="5"/>
  <c r="K27" i="5"/>
  <c r="I27" i="5"/>
  <c r="I28" i="5" s="1"/>
  <c r="I26" i="5"/>
  <c r="I13" i="5"/>
  <c r="I15" i="10"/>
  <c r="I13" i="10"/>
  <c r="I12" i="10"/>
  <c r="I11" i="10"/>
  <c r="I8" i="10"/>
  <c r="I7" i="10"/>
  <c r="I6" i="10"/>
  <c r="I5" i="10"/>
  <c r="I4" i="10"/>
  <c r="I3" i="10"/>
  <c r="I2" i="10"/>
  <c r="J21" i="6"/>
  <c r="J10" i="6"/>
  <c r="J28" i="6" s="1"/>
  <c r="I23" i="1"/>
  <c r="I19" i="1"/>
  <c r="I13" i="1"/>
  <c r="I21" i="1" s="1"/>
  <c r="I7" i="1"/>
  <c r="R57" i="2" l="1"/>
  <c r="S16" i="2"/>
  <c r="G4" i="9"/>
  <c r="Q57" i="2"/>
  <c r="R58" i="2"/>
  <c r="S15" i="2"/>
  <c r="Q58" i="2"/>
  <c r="G5" i="9" s="1"/>
  <c r="I10" i="10"/>
  <c r="S14" i="2"/>
  <c r="Q20" i="2"/>
  <c r="S49" i="2"/>
  <c r="Q54" i="2"/>
  <c r="Q56" i="2"/>
  <c r="G2" i="9" s="1"/>
  <c r="R60" i="2"/>
  <c r="R20" i="2"/>
  <c r="R54" i="2"/>
  <c r="R55" i="2" s="1"/>
  <c r="R56" i="2"/>
  <c r="G3" i="9" l="1"/>
  <c r="R21" i="2"/>
  <c r="I14" i="10"/>
  <c r="I16" i="10" s="1"/>
  <c r="Q55" i="2"/>
  <c r="S55" i="2" s="1"/>
  <c r="S54" i="2"/>
  <c r="Q21" i="2"/>
  <c r="S20" i="2"/>
  <c r="G11" i="13"/>
  <c r="G10" i="13"/>
  <c r="G9" i="13"/>
  <c r="G8" i="13"/>
  <c r="G7" i="13"/>
  <c r="G6" i="13"/>
  <c r="G5" i="13"/>
  <c r="R59" i="2" l="1"/>
  <c r="S21" i="2"/>
  <c r="Q59" i="2"/>
  <c r="G6" i="9" s="1"/>
  <c r="I9" i="12"/>
  <c r="I8" i="12"/>
  <c r="I7" i="12"/>
  <c r="I6" i="12"/>
  <c r="I5" i="12"/>
  <c r="I4" i="12"/>
  <c r="I3" i="12"/>
  <c r="I2" i="12"/>
  <c r="F26" i="8"/>
  <c r="F25" i="8"/>
  <c r="F24" i="8"/>
  <c r="F23" i="8"/>
  <c r="F22" i="8"/>
  <c r="F19" i="8"/>
  <c r="F18" i="8"/>
  <c r="F17" i="8"/>
  <c r="F16" i="8"/>
  <c r="F14" i="8"/>
  <c r="F13" i="8"/>
  <c r="F12" i="8"/>
  <c r="F11" i="8"/>
  <c r="F9" i="8"/>
  <c r="F8" i="8"/>
  <c r="F7" i="8"/>
  <c r="F6" i="8"/>
  <c r="F5" i="8"/>
  <c r="F4" i="8"/>
  <c r="F3" i="8"/>
  <c r="F2" i="8"/>
  <c r="F19" i="7"/>
  <c r="F18" i="7"/>
  <c r="F17" i="7"/>
  <c r="F14" i="7"/>
  <c r="F13" i="7"/>
  <c r="F12" i="7"/>
  <c r="F10" i="7"/>
  <c r="F9" i="7"/>
  <c r="F8" i="7"/>
  <c r="F7" i="7"/>
  <c r="F6" i="7"/>
  <c r="F4" i="7"/>
  <c r="F3" i="7"/>
  <c r="F2" i="7"/>
  <c r="F5" i="7" l="1"/>
  <c r="F10" i="8"/>
  <c r="F15" i="8"/>
  <c r="F27" i="8"/>
  <c r="F20" i="8"/>
  <c r="F21" i="8" s="1"/>
  <c r="F15" i="7"/>
  <c r="F11" i="7"/>
  <c r="F20" i="7" l="1"/>
  <c r="F16" i="7"/>
  <c r="F21" i="7" l="1"/>
  <c r="N53" i="2"/>
  <c r="O52" i="2"/>
  <c r="N52" i="2"/>
  <c r="O51" i="2"/>
  <c r="N51" i="2"/>
  <c r="O50" i="2"/>
  <c r="N50" i="2"/>
  <c r="O49" i="2"/>
  <c r="N49" i="2"/>
  <c r="O48" i="2"/>
  <c r="N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19" i="2"/>
  <c r="P18" i="2"/>
  <c r="P17" i="2"/>
  <c r="O16" i="2"/>
  <c r="N16" i="2"/>
  <c r="O15" i="2"/>
  <c r="N15" i="2"/>
  <c r="O14" i="2"/>
  <c r="N14" i="2"/>
  <c r="P13" i="2"/>
  <c r="P12" i="2"/>
  <c r="P11" i="2"/>
  <c r="P10" i="2"/>
  <c r="P9" i="2"/>
  <c r="P8" i="2"/>
  <c r="P7" i="2"/>
  <c r="P6" i="2"/>
  <c r="P5" i="2"/>
  <c r="P4" i="2"/>
  <c r="P3" i="2"/>
  <c r="H27" i="5"/>
  <c r="H28" i="5" s="1"/>
  <c r="H26" i="5"/>
  <c r="H13" i="5"/>
  <c r="H15" i="10"/>
  <c r="H13" i="10"/>
  <c r="H12" i="10"/>
  <c r="H11" i="10"/>
  <c r="H8" i="10"/>
  <c r="H7" i="10"/>
  <c r="H6" i="10"/>
  <c r="H4" i="10"/>
  <c r="H3" i="10"/>
  <c r="I21" i="6"/>
  <c r="H5" i="10" s="1"/>
  <c r="I10" i="6"/>
  <c r="I28" i="6" s="1"/>
  <c r="H23" i="1"/>
  <c r="H19" i="1"/>
  <c r="H13" i="1"/>
  <c r="H7" i="1"/>
  <c r="H21" i="1" s="1"/>
  <c r="H2" i="10" l="1"/>
  <c r="N56" i="2"/>
  <c r="F2" i="9" s="1"/>
  <c r="N57" i="2"/>
  <c r="P15" i="2"/>
  <c r="O20" i="2"/>
  <c r="P48" i="2"/>
  <c r="P51" i="2"/>
  <c r="O54" i="2"/>
  <c r="O55" i="2" s="1"/>
  <c r="O56" i="2"/>
  <c r="P16" i="2"/>
  <c r="F4" i="9"/>
  <c r="O61" i="2"/>
  <c r="P49" i="2"/>
  <c r="P50" i="2"/>
  <c r="P52" i="2"/>
  <c r="F28" i="8"/>
  <c r="P53" i="2"/>
  <c r="F29" i="8"/>
  <c r="O57" i="2"/>
  <c r="N20" i="2"/>
  <c r="N54" i="2"/>
  <c r="N58" i="2"/>
  <c r="F5" i="9" s="1"/>
  <c r="O58" i="2"/>
  <c r="P14" i="2"/>
  <c r="O60" i="2"/>
  <c r="C27" i="5"/>
  <c r="D27" i="5"/>
  <c r="E27" i="5"/>
  <c r="F27" i="5"/>
  <c r="G27" i="5"/>
  <c r="H10" i="10" l="1"/>
  <c r="O21" i="2"/>
  <c r="O59" i="2" s="1"/>
  <c r="F30" i="8"/>
  <c r="F3" i="9"/>
  <c r="N55" i="2"/>
  <c r="P55" i="2" s="1"/>
  <c r="P54" i="2"/>
  <c r="P20" i="2"/>
  <c r="N21" i="2"/>
  <c r="H14" i="10" l="1"/>
  <c r="H16" i="10" s="1"/>
  <c r="F31" i="8"/>
  <c r="P21" i="2"/>
  <c r="N59" i="2"/>
  <c r="F6" i="9" s="1"/>
  <c r="H9" i="12"/>
  <c r="H8" i="12"/>
  <c r="H7" i="12"/>
  <c r="H6" i="12"/>
  <c r="H5" i="12"/>
  <c r="H4" i="12"/>
  <c r="H3" i="12"/>
  <c r="H2" i="12"/>
  <c r="E4" i="9"/>
  <c r="E29" i="8"/>
  <c r="E28" i="8"/>
  <c r="E26" i="8"/>
  <c r="E25" i="8"/>
  <c r="E24" i="8"/>
  <c r="E23" i="8"/>
  <c r="E22" i="8"/>
  <c r="E19" i="8"/>
  <c r="E18" i="8"/>
  <c r="E17" i="8"/>
  <c r="E16" i="8"/>
  <c r="E14" i="8"/>
  <c r="E13" i="8"/>
  <c r="E12" i="8"/>
  <c r="E11" i="8"/>
  <c r="E9" i="8"/>
  <c r="E8" i="8"/>
  <c r="E7" i="8"/>
  <c r="E6" i="8"/>
  <c r="E5" i="8"/>
  <c r="E4" i="8"/>
  <c r="E3" i="8"/>
  <c r="E2" i="8"/>
  <c r="E19" i="7"/>
  <c r="E18" i="7"/>
  <c r="E17" i="7"/>
  <c r="E14" i="7"/>
  <c r="E13" i="7"/>
  <c r="E12" i="7"/>
  <c r="E10" i="7"/>
  <c r="E9" i="7"/>
  <c r="E8" i="7"/>
  <c r="E7" i="7"/>
  <c r="E6" i="7"/>
  <c r="E4" i="7"/>
  <c r="E3" i="7"/>
  <c r="E2" i="7"/>
  <c r="E5" i="7" l="1"/>
  <c r="E27" i="8"/>
  <c r="E10" i="8"/>
  <c r="E15" i="8"/>
  <c r="E20" i="8"/>
  <c r="E11" i="7"/>
  <c r="E15" i="7"/>
  <c r="E21" i="8" l="1"/>
  <c r="E20" i="7"/>
  <c r="E30" i="8"/>
  <c r="E16" i="7"/>
  <c r="E21" i="7" l="1"/>
  <c r="E31" i="8"/>
  <c r="L61" i="2"/>
  <c r="L60" i="2"/>
  <c r="L58" i="2"/>
  <c r="K58" i="2"/>
  <c r="L57" i="2"/>
  <c r="K57" i="2"/>
  <c r="L56" i="2"/>
  <c r="K56" i="2"/>
  <c r="L54" i="2"/>
  <c r="K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  <c r="K28" i="5"/>
  <c r="K13" i="5"/>
  <c r="K15" i="10"/>
  <c r="K13" i="10"/>
  <c r="K12" i="10"/>
  <c r="K11" i="10"/>
  <c r="K8" i="10"/>
  <c r="K7" i="10"/>
  <c r="K6" i="10"/>
  <c r="K4" i="10"/>
  <c r="K3" i="10"/>
  <c r="L21" i="6"/>
  <c r="M21" i="6" s="1"/>
  <c r="L10" i="6"/>
  <c r="K23" i="1"/>
  <c r="K19" i="1"/>
  <c r="K13" i="1"/>
  <c r="K7" i="1"/>
  <c r="L9" i="12"/>
  <c r="L8" i="12"/>
  <c r="L7" i="12"/>
  <c r="L6" i="12"/>
  <c r="L5" i="12"/>
  <c r="L4" i="12"/>
  <c r="L3" i="12"/>
  <c r="L2" i="12"/>
  <c r="D29" i="8"/>
  <c r="D26" i="8"/>
  <c r="D25" i="8"/>
  <c r="D24" i="8"/>
  <c r="D23" i="8"/>
  <c r="D22" i="8"/>
  <c r="D19" i="8"/>
  <c r="D18" i="8"/>
  <c r="D17" i="8"/>
  <c r="D16" i="8"/>
  <c r="D14" i="8"/>
  <c r="D13" i="8"/>
  <c r="D12" i="8"/>
  <c r="D11" i="8"/>
  <c r="D9" i="8"/>
  <c r="D8" i="8"/>
  <c r="D7" i="8"/>
  <c r="D6" i="8"/>
  <c r="D5" i="8"/>
  <c r="D4" i="8"/>
  <c r="D3" i="8"/>
  <c r="D2" i="8"/>
  <c r="D19" i="7"/>
  <c r="D18" i="7"/>
  <c r="D17" i="7"/>
  <c r="D14" i="7"/>
  <c r="D13" i="7"/>
  <c r="D12" i="7"/>
  <c r="D10" i="7"/>
  <c r="D9" i="7"/>
  <c r="D8" i="7"/>
  <c r="D7" i="7"/>
  <c r="D6" i="7"/>
  <c r="D4" i="7"/>
  <c r="D3" i="7"/>
  <c r="D2" i="7"/>
  <c r="M10" i="6" l="1"/>
  <c r="L29" i="6"/>
  <c r="K5" i="10"/>
  <c r="K2" i="10"/>
  <c r="X61" i="2"/>
  <c r="K4" i="9"/>
  <c r="E2" i="9"/>
  <c r="E5" i="9"/>
  <c r="L55" i="2"/>
  <c r="X60" i="2"/>
  <c r="K55" i="2"/>
  <c r="M55" i="2" s="1"/>
  <c r="E3" i="9"/>
  <c r="W56" i="2"/>
  <c r="Z56" i="2" s="1"/>
  <c r="I4" i="9"/>
  <c r="D5" i="7"/>
  <c r="W57" i="2"/>
  <c r="I3" i="9" s="1"/>
  <c r="W58" i="2"/>
  <c r="Z58" i="2" s="1"/>
  <c r="X56" i="2"/>
  <c r="AA56" i="2" s="1"/>
  <c r="X57" i="2"/>
  <c r="K3" i="9" s="1"/>
  <c r="X58" i="2"/>
  <c r="AA58" i="2" s="1"/>
  <c r="K59" i="2"/>
  <c r="E6" i="9" s="1"/>
  <c r="M54" i="2"/>
  <c r="D27" i="8"/>
  <c r="L28" i="6"/>
  <c r="M28" i="6" s="1"/>
  <c r="K21" i="1"/>
  <c r="D10" i="8"/>
  <c r="D15" i="8"/>
  <c r="D20" i="8"/>
  <c r="D11" i="7"/>
  <c r="D15" i="7"/>
  <c r="M29" i="6" l="1"/>
  <c r="K9" i="10"/>
  <c r="K5" i="9"/>
  <c r="I2" i="9"/>
  <c r="K2" i="9"/>
  <c r="I5" i="9"/>
  <c r="K10" i="10"/>
  <c r="L59" i="2"/>
  <c r="D21" i="8"/>
  <c r="D20" i="7"/>
  <c r="D16" i="7"/>
  <c r="J53" i="2"/>
  <c r="I52" i="2"/>
  <c r="H52" i="2"/>
  <c r="J51" i="2"/>
  <c r="I50" i="2"/>
  <c r="H50" i="2"/>
  <c r="I49" i="2"/>
  <c r="H49" i="2"/>
  <c r="I48" i="2"/>
  <c r="H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19" i="2"/>
  <c r="J18" i="2"/>
  <c r="J17" i="2"/>
  <c r="I16" i="2"/>
  <c r="H16" i="2"/>
  <c r="I15" i="2"/>
  <c r="I57" i="2" s="1"/>
  <c r="H15" i="2"/>
  <c r="I14" i="2"/>
  <c r="H14" i="2"/>
  <c r="J13" i="2"/>
  <c r="J12" i="2"/>
  <c r="J11" i="2"/>
  <c r="J10" i="2"/>
  <c r="J9" i="2"/>
  <c r="J8" i="2"/>
  <c r="J7" i="2"/>
  <c r="J6" i="2"/>
  <c r="J5" i="2"/>
  <c r="J4" i="2"/>
  <c r="J3" i="2"/>
  <c r="C23" i="1"/>
  <c r="D23" i="1"/>
  <c r="E23" i="1"/>
  <c r="F23" i="1"/>
  <c r="G23" i="1"/>
  <c r="B23" i="1"/>
  <c r="J49" i="2" l="1"/>
  <c r="J50" i="2"/>
  <c r="K14" i="10"/>
  <c r="H57" i="2"/>
  <c r="D3" i="9" s="1"/>
  <c r="J15" i="2"/>
  <c r="I61" i="2"/>
  <c r="J14" i="2"/>
  <c r="H58" i="2"/>
  <c r="D5" i="9" s="1"/>
  <c r="H56" i="2"/>
  <c r="D2" i="9" s="1"/>
  <c r="J48" i="2"/>
  <c r="J16" i="2"/>
  <c r="D4" i="9"/>
  <c r="I58" i="2"/>
  <c r="I56" i="2"/>
  <c r="I60" i="2"/>
  <c r="I54" i="2"/>
  <c r="I55" i="2" s="1"/>
  <c r="J52" i="2"/>
  <c r="D28" i="8"/>
  <c r="D30" i="8" s="1"/>
  <c r="D31" i="8" s="1"/>
  <c r="D21" i="7"/>
  <c r="H54" i="2"/>
  <c r="H20" i="2"/>
  <c r="I20" i="2"/>
  <c r="I21" i="2" s="1"/>
  <c r="I59" i="2" s="1"/>
  <c r="K16" i="10" l="1"/>
  <c r="J54" i="2"/>
  <c r="H55" i="2"/>
  <c r="J55" i="2" s="1"/>
  <c r="J20" i="2"/>
  <c r="H21" i="2"/>
  <c r="H59" i="2" s="1"/>
  <c r="D6" i="9" s="1"/>
  <c r="J21" i="2" l="1"/>
  <c r="G26" i="5" l="1"/>
  <c r="G28" i="5" s="1"/>
  <c r="G13" i="5"/>
  <c r="G15" i="10"/>
  <c r="G13" i="10"/>
  <c r="G12" i="10"/>
  <c r="G11" i="10"/>
  <c r="G8" i="10"/>
  <c r="G7" i="10"/>
  <c r="G6" i="10"/>
  <c r="G4" i="10"/>
  <c r="G3" i="10"/>
  <c r="H21" i="6"/>
  <c r="H10" i="6"/>
  <c r="G19" i="1"/>
  <c r="G13" i="1"/>
  <c r="G7" i="1"/>
  <c r="G2" i="10" l="1"/>
  <c r="G5" i="10"/>
  <c r="H28" i="6"/>
  <c r="G21" i="1"/>
  <c r="E53" i="2"/>
  <c r="F52" i="2"/>
  <c r="E52" i="2"/>
  <c r="E51" i="2"/>
  <c r="F50" i="2"/>
  <c r="E50" i="2"/>
  <c r="F49" i="2"/>
  <c r="E49" i="2"/>
  <c r="F48" i="2"/>
  <c r="E48" i="2"/>
  <c r="F16" i="2"/>
  <c r="E16" i="2"/>
  <c r="C4" i="9" s="1"/>
  <c r="F15" i="2"/>
  <c r="E15" i="2"/>
  <c r="E57" i="2" s="1"/>
  <c r="C3" i="9" s="1"/>
  <c r="F14" i="2"/>
  <c r="E14" i="2"/>
  <c r="F56" i="2" l="1"/>
  <c r="F58" i="2"/>
  <c r="F60" i="2"/>
  <c r="F57" i="2"/>
  <c r="F61" i="2"/>
  <c r="E20" i="2"/>
  <c r="E21" i="2" s="1"/>
  <c r="E58" i="2"/>
  <c r="C5" i="9" s="1"/>
  <c r="E56" i="2"/>
  <c r="C2" i="9" s="1"/>
  <c r="G10" i="10"/>
  <c r="F20" i="2"/>
  <c r="F21" i="2" s="1"/>
  <c r="B24" i="5"/>
  <c r="B23" i="5"/>
  <c r="B21" i="5"/>
  <c r="B15" i="5"/>
  <c r="B27" i="5" s="1"/>
  <c r="C16" i="6"/>
  <c r="C14" i="6"/>
  <c r="C5" i="6"/>
  <c r="C4" i="6"/>
  <c r="B53" i="2"/>
  <c r="C52" i="2"/>
  <c r="B52" i="2"/>
  <c r="B51" i="2"/>
  <c r="C50" i="2"/>
  <c r="B50" i="2"/>
  <c r="C49" i="2"/>
  <c r="B49" i="2"/>
  <c r="C48" i="2"/>
  <c r="B48" i="2"/>
  <c r="C16" i="2"/>
  <c r="B16" i="2"/>
  <c r="B4" i="9" s="1"/>
  <c r="C15" i="2"/>
  <c r="B15" i="2"/>
  <c r="C14" i="2"/>
  <c r="B14" i="2"/>
  <c r="C61" i="2" l="1"/>
  <c r="C20" i="2"/>
  <c r="C21" i="2" s="1"/>
  <c r="C57" i="2"/>
  <c r="B20" i="2"/>
  <c r="B21" i="2" s="1"/>
  <c r="B58" i="2"/>
  <c r="B5" i="9" s="1"/>
  <c r="B56" i="2"/>
  <c r="B2" i="9" s="1"/>
  <c r="C60" i="2"/>
  <c r="C56" i="2"/>
  <c r="C58" i="2"/>
  <c r="B57" i="2"/>
  <c r="B3" i="9" s="1"/>
  <c r="G14" i="10"/>
  <c r="B13" i="1"/>
  <c r="B19" i="1"/>
  <c r="B7" i="1"/>
  <c r="C13" i="1"/>
  <c r="C19" i="1"/>
  <c r="C7" i="1"/>
  <c r="B26" i="5"/>
  <c r="B28" i="5" s="1"/>
  <c r="B13" i="5"/>
  <c r="G16" i="10" l="1"/>
  <c r="B21" i="1"/>
  <c r="C21" i="1"/>
  <c r="F21" i="6" l="1"/>
  <c r="G21" i="6"/>
  <c r="E21" i="6"/>
  <c r="G10" i="6"/>
  <c r="F10" i="6"/>
  <c r="E10" i="6"/>
  <c r="C26" i="5" l="1"/>
  <c r="C28" i="5" s="1"/>
  <c r="C13" i="5"/>
  <c r="E19" i="1"/>
  <c r="D19" i="1"/>
  <c r="F19" i="1"/>
  <c r="D13" i="1"/>
  <c r="E13" i="1"/>
  <c r="F13" i="1"/>
  <c r="D7" i="1"/>
  <c r="E7" i="1"/>
  <c r="F7" i="1"/>
  <c r="B15" i="10" l="1"/>
  <c r="B13" i="10"/>
  <c r="B12" i="10"/>
  <c r="B11" i="10"/>
  <c r="B8" i="10"/>
  <c r="B7" i="10"/>
  <c r="B6" i="10"/>
  <c r="B4" i="10"/>
  <c r="B3" i="10"/>
  <c r="C10" i="6"/>
  <c r="B2" i="10" s="1"/>
  <c r="C21" i="6"/>
  <c r="B5" i="10" s="1"/>
  <c r="C28" i="6"/>
  <c r="B10" i="10" l="1"/>
  <c r="B14" i="10" s="1"/>
  <c r="B16" i="10" s="1"/>
  <c r="F26" i="5"/>
  <c r="F28" i="5" s="1"/>
  <c r="E26" i="5"/>
  <c r="E28" i="5" s="1"/>
  <c r="D26" i="5"/>
  <c r="D28" i="5" s="1"/>
  <c r="F13" i="5"/>
  <c r="E13" i="5"/>
  <c r="D13" i="5"/>
  <c r="F28" i="6"/>
  <c r="G28" i="6"/>
  <c r="E28" i="6"/>
  <c r="D10" i="6" l="1"/>
  <c r="D21" i="1"/>
  <c r="E21" i="1"/>
  <c r="F21" i="1"/>
  <c r="C6" i="10" l="1"/>
  <c r="D6" i="10"/>
  <c r="E6" i="10"/>
  <c r="F6" i="10"/>
  <c r="C7" i="10"/>
  <c r="D7" i="10"/>
  <c r="E7" i="10"/>
  <c r="F7" i="10"/>
  <c r="C8" i="10"/>
  <c r="D8" i="10"/>
  <c r="E8" i="10"/>
  <c r="F8" i="10"/>
  <c r="C3" i="10"/>
  <c r="D3" i="10"/>
  <c r="E3" i="10"/>
  <c r="F3" i="10"/>
  <c r="C4" i="10"/>
  <c r="D4" i="10"/>
  <c r="E4" i="10"/>
  <c r="F4" i="10"/>
  <c r="D28" i="6" l="1"/>
  <c r="D21" i="6"/>
  <c r="G6" i="12" l="1"/>
  <c r="F2" i="12"/>
  <c r="G2" i="12"/>
  <c r="F3" i="12"/>
  <c r="G3" i="12"/>
  <c r="F4" i="12"/>
  <c r="G4" i="12"/>
  <c r="F5" i="12"/>
  <c r="G5" i="12"/>
  <c r="F6" i="12"/>
  <c r="F7" i="12"/>
  <c r="G7" i="12"/>
  <c r="F8" i="12"/>
  <c r="G8" i="12"/>
  <c r="F9" i="12"/>
  <c r="G9" i="12"/>
  <c r="E9" i="12"/>
  <c r="E8" i="12"/>
  <c r="E7" i="12"/>
  <c r="E6" i="12"/>
  <c r="E5" i="12"/>
  <c r="E4" i="12"/>
  <c r="E3" i="12"/>
  <c r="E2" i="12"/>
  <c r="D11" i="10"/>
  <c r="E11" i="10"/>
  <c r="F11" i="10"/>
  <c r="D12" i="10"/>
  <c r="E12" i="10"/>
  <c r="F12" i="10"/>
  <c r="D13" i="10"/>
  <c r="E13" i="10"/>
  <c r="F13" i="10"/>
  <c r="D15" i="10"/>
  <c r="E15" i="10"/>
  <c r="F15" i="10"/>
  <c r="C15" i="10"/>
  <c r="C13" i="10"/>
  <c r="C12" i="10"/>
  <c r="C11" i="10"/>
  <c r="L2" i="8" l="1"/>
  <c r="L3" i="8"/>
  <c r="L4" i="8"/>
  <c r="L5" i="8"/>
  <c r="L6" i="8"/>
  <c r="L7" i="8"/>
  <c r="L8" i="8"/>
  <c r="L9" i="8"/>
  <c r="L11" i="8"/>
  <c r="L12" i="8"/>
  <c r="L13" i="8"/>
  <c r="L14" i="8"/>
  <c r="L16" i="8"/>
  <c r="L17" i="8"/>
  <c r="L18" i="8"/>
  <c r="L19" i="8"/>
  <c r="L22" i="8"/>
  <c r="L23" i="8"/>
  <c r="L24" i="8"/>
  <c r="L25" i="8"/>
  <c r="L26" i="8"/>
  <c r="L29" i="8"/>
  <c r="I26" i="8"/>
  <c r="M26" i="8" s="1"/>
  <c r="I25" i="8"/>
  <c r="M25" i="8" s="1"/>
  <c r="I24" i="8"/>
  <c r="I23" i="8"/>
  <c r="I22" i="8"/>
  <c r="I19" i="8"/>
  <c r="I18" i="8"/>
  <c r="I17" i="8"/>
  <c r="M17" i="8" s="1"/>
  <c r="I16" i="8"/>
  <c r="I14" i="8"/>
  <c r="I13" i="8"/>
  <c r="M13" i="8" s="1"/>
  <c r="I12" i="8"/>
  <c r="I11" i="8"/>
  <c r="I9" i="8"/>
  <c r="I8" i="8"/>
  <c r="I7" i="8"/>
  <c r="I6" i="8"/>
  <c r="I5" i="8"/>
  <c r="I4" i="8"/>
  <c r="I3" i="8"/>
  <c r="I2" i="8"/>
  <c r="C29" i="8"/>
  <c r="C28" i="8"/>
  <c r="C26" i="8"/>
  <c r="C25" i="8"/>
  <c r="C24" i="8"/>
  <c r="C23" i="8"/>
  <c r="C22" i="8"/>
  <c r="C19" i="8"/>
  <c r="C18" i="8"/>
  <c r="C17" i="8"/>
  <c r="C16" i="8"/>
  <c r="C14" i="8"/>
  <c r="C13" i="8"/>
  <c r="C12" i="8"/>
  <c r="C11" i="8"/>
  <c r="C9" i="8"/>
  <c r="C8" i="8"/>
  <c r="C7" i="8"/>
  <c r="C6" i="8"/>
  <c r="C5" i="8"/>
  <c r="C4" i="8"/>
  <c r="C3" i="8"/>
  <c r="C2" i="8"/>
  <c r="B12" i="8"/>
  <c r="B13" i="8"/>
  <c r="B14" i="8"/>
  <c r="B29" i="8"/>
  <c r="B28" i="8"/>
  <c r="B23" i="8"/>
  <c r="B24" i="8"/>
  <c r="B25" i="8"/>
  <c r="B26" i="8"/>
  <c r="B22" i="8"/>
  <c r="B17" i="8"/>
  <c r="B18" i="8"/>
  <c r="B19" i="8"/>
  <c r="B16" i="8"/>
  <c r="B11" i="8"/>
  <c r="B3" i="8"/>
  <c r="B4" i="8"/>
  <c r="B5" i="8"/>
  <c r="B6" i="8"/>
  <c r="B7" i="8"/>
  <c r="B8" i="8"/>
  <c r="B9" i="8"/>
  <c r="B2" i="8"/>
  <c r="L2" i="7"/>
  <c r="L3" i="7"/>
  <c r="L4" i="7"/>
  <c r="L6" i="7"/>
  <c r="L7" i="7"/>
  <c r="L8" i="7"/>
  <c r="L9" i="7"/>
  <c r="L10" i="7"/>
  <c r="L12" i="7"/>
  <c r="L13" i="7"/>
  <c r="L14" i="7"/>
  <c r="L17" i="7"/>
  <c r="L18" i="7"/>
  <c r="L19" i="7"/>
  <c r="I19" i="7"/>
  <c r="I18" i="7"/>
  <c r="I17" i="7"/>
  <c r="I14" i="7"/>
  <c r="I13" i="7"/>
  <c r="I12" i="7"/>
  <c r="I10" i="7"/>
  <c r="I9" i="7"/>
  <c r="I8" i="7"/>
  <c r="I7" i="7"/>
  <c r="I6" i="7"/>
  <c r="I4" i="7"/>
  <c r="I3" i="7"/>
  <c r="I2" i="7"/>
  <c r="C19" i="7"/>
  <c r="C18" i="7"/>
  <c r="C17" i="7"/>
  <c r="C14" i="7"/>
  <c r="C13" i="7"/>
  <c r="C12" i="7"/>
  <c r="C10" i="7"/>
  <c r="C9" i="7"/>
  <c r="C8" i="7"/>
  <c r="C7" i="7"/>
  <c r="C6" i="7"/>
  <c r="C4" i="7"/>
  <c r="C3" i="7"/>
  <c r="C2" i="7"/>
  <c r="B18" i="7"/>
  <c r="B19" i="7"/>
  <c r="B17" i="7"/>
  <c r="B13" i="7"/>
  <c r="B14" i="7"/>
  <c r="B12" i="7"/>
  <c r="B7" i="7"/>
  <c r="B8" i="7"/>
  <c r="B9" i="7"/>
  <c r="B10" i="7"/>
  <c r="B6" i="7"/>
  <c r="B3" i="7"/>
  <c r="B4" i="7"/>
  <c r="B2" i="7"/>
  <c r="M7" i="8" l="1"/>
  <c r="M5" i="8"/>
  <c r="M9" i="8"/>
  <c r="M19" i="8"/>
  <c r="M8" i="7"/>
  <c r="M13" i="7"/>
  <c r="M6" i="7"/>
  <c r="M18" i="8"/>
  <c r="M6" i="8"/>
  <c r="M22" i="8"/>
  <c r="L20" i="8"/>
  <c r="M10" i="7"/>
  <c r="M9" i="7"/>
  <c r="M19" i="7"/>
  <c r="L11" i="7"/>
  <c r="I15" i="8"/>
  <c r="M23" i="8"/>
  <c r="B5" i="7"/>
  <c r="M4" i="8"/>
  <c r="M8" i="8"/>
  <c r="M24" i="8"/>
  <c r="L15" i="7"/>
  <c r="M14" i="7"/>
  <c r="B11" i="7"/>
  <c r="M4" i="7"/>
  <c r="B27" i="8"/>
  <c r="B15" i="7"/>
  <c r="I27" i="8"/>
  <c r="L27" i="8"/>
  <c r="L15" i="8"/>
  <c r="C27" i="8"/>
  <c r="L10" i="8"/>
  <c r="I10" i="8"/>
  <c r="I20" i="8"/>
  <c r="C10" i="8"/>
  <c r="C15" i="8"/>
  <c r="C20" i="8"/>
  <c r="M14" i="8"/>
  <c r="M3" i="8"/>
  <c r="M12" i="8"/>
  <c r="B20" i="8"/>
  <c r="B15" i="8"/>
  <c r="B10" i="8"/>
  <c r="M2" i="8"/>
  <c r="M11" i="8"/>
  <c r="M16" i="8"/>
  <c r="M2" i="7"/>
  <c r="L5" i="7"/>
  <c r="M17" i="7"/>
  <c r="C15" i="7"/>
  <c r="C11" i="7"/>
  <c r="M7" i="7"/>
  <c r="M12" i="7"/>
  <c r="M18" i="7"/>
  <c r="I11" i="7"/>
  <c r="I5" i="7"/>
  <c r="I15" i="7"/>
  <c r="M3" i="7"/>
  <c r="C5" i="7"/>
  <c r="I21" i="8" l="1"/>
  <c r="B21" i="8"/>
  <c r="C21" i="8"/>
  <c r="L21" i="8"/>
  <c r="C16" i="7"/>
  <c r="L16" i="7"/>
  <c r="I16" i="7"/>
  <c r="B16" i="7"/>
  <c r="B20" i="7"/>
  <c r="B21" i="7" s="1"/>
  <c r="L20" i="7"/>
  <c r="L21" i="7" s="1"/>
  <c r="M11" i="7"/>
  <c r="M20" i="8"/>
  <c r="M15" i="7"/>
  <c r="C30" i="8"/>
  <c r="C31" i="8" s="1"/>
  <c r="M27" i="8"/>
  <c r="B30" i="8"/>
  <c r="B31" i="8" s="1"/>
  <c r="M15" i="8"/>
  <c r="M10" i="8"/>
  <c r="C20" i="7"/>
  <c r="C21" i="7" s="1"/>
  <c r="I20" i="7"/>
  <c r="M5" i="7"/>
  <c r="I21" i="7" l="1"/>
  <c r="M21" i="8"/>
  <c r="M16" i="7"/>
  <c r="M20" i="7"/>
  <c r="L28" i="8"/>
  <c r="L30" i="8" s="1"/>
  <c r="L31" i="8" s="1"/>
  <c r="J9" i="7" l="1"/>
  <c r="J12" i="7"/>
  <c r="J10" i="7"/>
  <c r="J2" i="7"/>
  <c r="J5" i="7"/>
  <c r="J13" i="7"/>
  <c r="J11" i="7"/>
  <c r="J8" i="7"/>
  <c r="J21" i="7"/>
  <c r="M21" i="7"/>
  <c r="J4" i="7"/>
  <c r="J6" i="7"/>
  <c r="J17" i="7"/>
  <c r="J3" i="7"/>
  <c r="J15" i="7"/>
  <c r="J14" i="7"/>
  <c r="J18" i="7"/>
  <c r="J7" i="7"/>
  <c r="J16" i="7"/>
  <c r="C5" i="10"/>
  <c r="C2" i="10"/>
  <c r="C10" i="10" l="1"/>
  <c r="C14" i="10" l="1"/>
  <c r="C16" i="10" s="1"/>
  <c r="E5" i="10" l="1"/>
  <c r="F5" i="10"/>
  <c r="D5" i="10"/>
  <c r="E2" i="10"/>
  <c r="F2" i="10"/>
  <c r="D2" i="10"/>
  <c r="E10" i="10" l="1"/>
  <c r="E14" i="10" s="1"/>
  <c r="E16" i="10" s="1"/>
  <c r="D10" i="10"/>
  <c r="D14" i="10" s="1"/>
  <c r="D16" i="10" s="1"/>
  <c r="F10" i="10"/>
  <c r="E54" i="2"/>
  <c r="E55" i="2" s="1"/>
  <c r="E59" i="2" s="1"/>
  <c r="C6" i="9" s="1"/>
  <c r="F54" i="2"/>
  <c r="F55" i="2" s="1"/>
  <c r="F59" i="2" s="1"/>
  <c r="F14" i="10" l="1"/>
  <c r="F16" i="10" l="1"/>
  <c r="Y47" i="2" l="1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19" i="2"/>
  <c r="Y18" i="2"/>
  <c r="Y17" i="2"/>
  <c r="Y13" i="2"/>
  <c r="Y12" i="2"/>
  <c r="Y11" i="2"/>
  <c r="Y10" i="2"/>
  <c r="Y9" i="2"/>
  <c r="Y8" i="2"/>
  <c r="Y7" i="2"/>
  <c r="Y6" i="2"/>
  <c r="Y5" i="2"/>
  <c r="Y4" i="2"/>
  <c r="Y3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19" i="2"/>
  <c r="G18" i="2"/>
  <c r="G17" i="2"/>
  <c r="G13" i="2"/>
  <c r="G11" i="2"/>
  <c r="G10" i="2"/>
  <c r="G9" i="2"/>
  <c r="G8" i="2"/>
  <c r="G7" i="2"/>
  <c r="G6" i="2"/>
  <c r="G5" i="2"/>
  <c r="G4" i="2"/>
  <c r="G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23" i="2"/>
  <c r="D4" i="2"/>
  <c r="D5" i="2"/>
  <c r="D6" i="2"/>
  <c r="D7" i="2"/>
  <c r="D8" i="2"/>
  <c r="D9" i="2"/>
  <c r="D10" i="2"/>
  <c r="D11" i="2"/>
  <c r="D13" i="2"/>
  <c r="D17" i="2"/>
  <c r="D18" i="2"/>
  <c r="D19" i="2"/>
  <c r="D3" i="2"/>
  <c r="I28" i="8" l="1"/>
  <c r="Y53" i="2" l="1"/>
  <c r="I29" i="8"/>
  <c r="M28" i="8"/>
  <c r="Y49" i="2"/>
  <c r="Y52" i="2"/>
  <c r="Y51" i="2"/>
  <c r="Y50" i="2"/>
  <c r="Y48" i="2"/>
  <c r="Y16" i="2"/>
  <c r="Y14" i="2"/>
  <c r="Y15" i="2"/>
  <c r="I30" i="8" l="1"/>
  <c r="M29" i="8"/>
  <c r="Y21" i="2"/>
  <c r="Y20" i="2"/>
  <c r="Y54" i="2"/>
  <c r="G12" i="2"/>
  <c r="D53" i="2"/>
  <c r="D52" i="2"/>
  <c r="Y55" i="2" l="1"/>
  <c r="W59" i="2"/>
  <c r="X59" i="2"/>
  <c r="I31" i="8"/>
  <c r="M30" i="8"/>
  <c r="G14" i="2"/>
  <c r="G15" i="2"/>
  <c r="G48" i="2"/>
  <c r="G49" i="2"/>
  <c r="G50" i="2"/>
  <c r="G51" i="2"/>
  <c r="G52" i="2"/>
  <c r="G53" i="2"/>
  <c r="D14" i="2"/>
  <c r="D16" i="2"/>
  <c r="D12" i="2"/>
  <c r="D49" i="2"/>
  <c r="D51" i="2"/>
  <c r="D15" i="2"/>
  <c r="D48" i="2"/>
  <c r="D50" i="2"/>
  <c r="C54" i="2"/>
  <c r="C55" i="2" s="1"/>
  <c r="C59" i="2" s="1"/>
  <c r="B54" i="2"/>
  <c r="K6" i="9" l="1"/>
  <c r="AA59" i="2"/>
  <c r="I6" i="9"/>
  <c r="Z59" i="2"/>
  <c r="J16" i="8"/>
  <c r="J12" i="8"/>
  <c r="J15" i="8"/>
  <c r="J5" i="8"/>
  <c r="J27" i="8"/>
  <c r="J28" i="8"/>
  <c r="J20" i="8"/>
  <c r="J7" i="8"/>
  <c r="J26" i="8"/>
  <c r="J23" i="8"/>
  <c r="M31" i="8"/>
  <c r="J19" i="8"/>
  <c r="J25" i="8"/>
  <c r="J24" i="8"/>
  <c r="J10" i="8"/>
  <c r="J2" i="8"/>
  <c r="J6" i="8"/>
  <c r="J21" i="8"/>
  <c r="J18" i="8"/>
  <c r="J11" i="8"/>
  <c r="J8" i="8"/>
  <c r="J14" i="8"/>
  <c r="J17" i="8"/>
  <c r="J4" i="8"/>
  <c r="J22" i="8"/>
  <c r="J3" i="8"/>
  <c r="J9" i="8"/>
  <c r="J31" i="8"/>
  <c r="J13" i="8"/>
  <c r="G20" i="2"/>
  <c r="G54" i="2"/>
  <c r="G16" i="2"/>
  <c r="D21" i="2"/>
  <c r="D20" i="2"/>
  <c r="B55" i="2"/>
  <c r="D54" i="2"/>
  <c r="D55" i="2" l="1"/>
  <c r="B59" i="2"/>
  <c r="B6" i="9" s="1"/>
  <c r="G21" i="2"/>
  <c r="G55" i="2"/>
</calcChain>
</file>

<file path=xl/sharedStrings.xml><?xml version="1.0" encoding="utf-8"?>
<sst xmlns="http://schemas.openxmlformats.org/spreadsheetml/2006/main" count="499" uniqueCount="368">
  <si>
    <t>Risultato di amministrazione (A)</t>
  </si>
  <si>
    <t>Parte accantonata (B)</t>
  </si>
  <si>
    <t>Parte vincolata (C)</t>
  </si>
  <si>
    <t>Parte destinata a investimenti (D)</t>
  </si>
  <si>
    <t>Parte disponibile (E=A-B-C-D)</t>
  </si>
  <si>
    <t>Saldo di cassa</t>
  </si>
  <si>
    <t>Residui attivi</t>
  </si>
  <si>
    <t>Residui passivi</t>
  </si>
  <si>
    <t>FPV per spese correnti</t>
  </si>
  <si>
    <t>FPV per spese in conto capitale</t>
  </si>
  <si>
    <t>Fondo crediti di dubbia esigibilità</t>
  </si>
  <si>
    <t>Fondo anticipazioni liquidità DL35/2013</t>
  </si>
  <si>
    <t>Fondo perdite società partecipate</t>
  </si>
  <si>
    <t>Fondo contenzioso</t>
  </si>
  <si>
    <t>Altri accantonamenti</t>
  </si>
  <si>
    <t>Vincoli da trasferimenti</t>
  </si>
  <si>
    <t>Vincoli da leggi e principi contabili</t>
  </si>
  <si>
    <t>Vincoli da contrazione di mutui</t>
  </si>
  <si>
    <t>Vincoli attribuiti dall'ente</t>
  </si>
  <si>
    <t>Altri vincoli</t>
  </si>
  <si>
    <t xml:space="preserve">  100 Entrate correnti di natura tributaria, contributiva e perequativa </t>
  </si>
  <si>
    <t xml:space="preserve">  200 Trasferimenti correnti </t>
  </si>
  <si>
    <t xml:space="preserve">  300 Entrate extratributarie </t>
  </si>
  <si>
    <t xml:space="preserve">  401 Tributi in conto capitale</t>
  </si>
  <si>
    <t xml:space="preserve">  402 Contributi agli investimenti </t>
  </si>
  <si>
    <t xml:space="preserve">  403 Altri trasferimenti in conto capitale </t>
  </si>
  <si>
    <t xml:space="preserve">  404 Entrate da alienazione di beni materiali e immateriali </t>
  </si>
  <si>
    <t xml:space="preserve">  405 Altre entrate in conto capitale </t>
  </si>
  <si>
    <t xml:space="preserve">  501 Alienazione di attività finanziarie </t>
  </si>
  <si>
    <t xml:space="preserve">  502_3 Riscossione di crediti </t>
  </si>
  <si>
    <t xml:space="preserve">  504 Altre entrate per riduzione di attività finanziarie </t>
  </si>
  <si>
    <t xml:space="preserve"> - Entrate correnti </t>
  </si>
  <si>
    <t xml:space="preserve"> - Entrate in conto capitale</t>
  </si>
  <si>
    <t xml:space="preserve"> - Entrate da riduzione attività finanziarie </t>
  </si>
  <si>
    <t xml:space="preserve"> - Accensione di prestiti </t>
  </si>
  <si>
    <t xml:space="preserve"> - Anticipazioni da istituto tesoriere/cassiere </t>
  </si>
  <si>
    <t xml:space="preserve"> - Entrate per conto terzi e partite di giro</t>
  </si>
  <si>
    <t>Totale Entrate</t>
  </si>
  <si>
    <t>Entrate nette</t>
  </si>
  <si>
    <t xml:space="preserve">101 REDDITI DA LAVORO DIPENDENTE </t>
  </si>
  <si>
    <t xml:space="preserve">102 IMPOSTE E TASSE A CARICO DELL'ENTE </t>
  </si>
  <si>
    <t xml:space="preserve">103 ACQUISTO DI BENI E SERVIZI </t>
  </si>
  <si>
    <t xml:space="preserve">104 TRASFERIMENTI CORRENTI </t>
  </si>
  <si>
    <t xml:space="preserve">107 INTERESSI PASSIVI </t>
  </si>
  <si>
    <t xml:space="preserve">108 ALTRE SPESE PER REDDITI DA CAPITALE </t>
  </si>
  <si>
    <t xml:space="preserve">109 RIMBORSI E POSTE CORRETTIVE DELLE ENTRATE </t>
  </si>
  <si>
    <t xml:space="preserve">110 ALTRE SPESE CORRENTI </t>
  </si>
  <si>
    <t>201 TRIBUTI IN CONTO CAPITALE A CARICO DELL?ENTE</t>
  </si>
  <si>
    <t xml:space="preserve">202 INVESTIMENTI FISSI LORDI E ACQUISTO DI TERRENI </t>
  </si>
  <si>
    <t xml:space="preserve">203 CONTRIBUTI AGLI INVESTIMENTI </t>
  </si>
  <si>
    <t xml:space="preserve">204ALTRI TRASFERIMENTI IN CONTO CAPITALE </t>
  </si>
  <si>
    <t xml:space="preserve">205ALTRE SPESE IN CONTO CAPITALE </t>
  </si>
  <si>
    <t xml:space="preserve">301 ACQUISIZIONI DI ATTIVITA' FINANZIARIE </t>
  </si>
  <si>
    <t xml:space="preserve">303 CONCESSIONE CREDITI DI MEDIO-LUNGO TERMINE </t>
  </si>
  <si>
    <t xml:space="preserve">304 ALTRE SPESE PER INCREMENTO DI ATTIVITA' FINANZIARIE </t>
  </si>
  <si>
    <t xml:space="preserve">401 RIMBORSO DI TITOLI OBBLIGAZIONARI </t>
  </si>
  <si>
    <t xml:space="preserve">402 RIMBORSO PRESTITI A BREVE TERMINE </t>
  </si>
  <si>
    <t xml:space="preserve">403 RIMBORSO MUTUI E ALTRI FINANZIAMENTI A MEDIO LUNGO TERMINE </t>
  </si>
  <si>
    <t xml:space="preserve">404 RIMBORSO DI ALTRE FORME DI INDEBITAMENTO </t>
  </si>
  <si>
    <t xml:space="preserve">405 FONDI PER RIMBORSO PRESTITI </t>
  </si>
  <si>
    <t xml:space="preserve">501 CHIUSURA ANTICIPAZIONI RICEVUTE DA ISTITUTO TESORIERE/CASSIERE </t>
  </si>
  <si>
    <t xml:space="preserve">701 USCITE PER PARTITE DI GIRO </t>
  </si>
  <si>
    <t xml:space="preserve">702 USCITE PER CONTO TERZI </t>
  </si>
  <si>
    <t>1 Spese correnti</t>
  </si>
  <si>
    <t>2 Spese in conto capitale</t>
  </si>
  <si>
    <t>3 Spese per incremento attività finanziaria</t>
  </si>
  <si>
    <t>4 Rimborso prestiti</t>
  </si>
  <si>
    <t>5 Chiusura anticipazioni ricevute tesoriere/cassiere</t>
  </si>
  <si>
    <t>7 Conto terzi e partite di giro</t>
  </si>
  <si>
    <t>Totale Uscite</t>
  </si>
  <si>
    <t>Uscite nette</t>
  </si>
  <si>
    <t>Saldo corrente</t>
  </si>
  <si>
    <t>Saldo in conto capitale</t>
  </si>
  <si>
    <t>Acc</t>
  </si>
  <si>
    <t>Risc</t>
  </si>
  <si>
    <t>Imp</t>
  </si>
  <si>
    <t>Pag</t>
  </si>
  <si>
    <t>Rigidità strutturale di bilancio</t>
  </si>
  <si>
    <t>1.1</t>
  </si>
  <si>
    <t>Incidenza spese rigide (ripiano disavanzo,personale e debito) su entrate correnti</t>
  </si>
  <si>
    <t>Entrate correnti</t>
  </si>
  <si>
    <t>2.1</t>
  </si>
  <si>
    <t>Incidenza degli accertamenti di parte corrente sulle previsioni iniziali di parte corrente</t>
  </si>
  <si>
    <t>2.2</t>
  </si>
  <si>
    <t>Incidenza degli accertamenti di parte corrente sulle previsioni definitive di parte corrente</t>
  </si>
  <si>
    <t>2.3</t>
  </si>
  <si>
    <t>Incidenza degli accertamenti delle entrate proprie sulle previsioni iniziali di parte corrente</t>
  </si>
  <si>
    <t>2.4</t>
  </si>
  <si>
    <t>Incidenza degli accertamenti delle entrate proprie sulle previsioni definitive di parte corrente</t>
  </si>
  <si>
    <t>2.5</t>
  </si>
  <si>
    <t>Incidenza degli incassi correnti sulle previsioni iniziali di parte corrente</t>
  </si>
  <si>
    <t>2.6</t>
  </si>
  <si>
    <t>Incidenza degli incassi correnti sulle previsioni definitive di parte corrente</t>
  </si>
  <si>
    <t>2.7</t>
  </si>
  <si>
    <t>Incidenza degli incassi delle entrate proprie sulle previsioni iniziali di parte corrente</t>
  </si>
  <si>
    <t>2.8</t>
  </si>
  <si>
    <t>Incidenza degli incassi delle entrate proprie sulle previsioni definitive di parte corrente</t>
  </si>
  <si>
    <t>Anticipazioni dell'Istituto tesoriere</t>
  </si>
  <si>
    <t>3.1</t>
  </si>
  <si>
    <t>Utilizzo medio Anticipazioni di tesoreria</t>
  </si>
  <si>
    <t>3.2</t>
  </si>
  <si>
    <t>Anticipazione chiuse solo contabilmente</t>
  </si>
  <si>
    <t>Spese di personale</t>
  </si>
  <si>
    <t>4.1</t>
  </si>
  <si>
    <t>Incidenza della spesa di personale sulla spesa corrente</t>
  </si>
  <si>
    <t>4.2</t>
  </si>
  <si>
    <t>Incidenza del salario accessorio ed incentivante rispetto al totale della spesa di personale</t>
  </si>
  <si>
    <t>4.3</t>
  </si>
  <si>
    <t>Incidenza spesa personale flessibile rispetto al totale della spesa di personale</t>
  </si>
  <si>
    <t>4.4</t>
  </si>
  <si>
    <t>Spesa di personale procapite</t>
  </si>
  <si>
    <t>Esternalizzazione dei servizi</t>
  </si>
  <si>
    <t>5.1</t>
  </si>
  <si>
    <t>Indicatore di esternalizzazione dei servizi</t>
  </si>
  <si>
    <t>Interessi passivi</t>
  </si>
  <si>
    <t>6.1</t>
  </si>
  <si>
    <t>Incidenza degli interessi passivi sulla spesa corrente</t>
  </si>
  <si>
    <t>6.2</t>
  </si>
  <si>
    <t>Incidenza degli interessi passivi sulle anticipazioni sul totale della spesa per interessi passivi</t>
  </si>
  <si>
    <t>6.3</t>
  </si>
  <si>
    <t>Incidenza interessi di mora sul totale della spesa per interessi passivi</t>
  </si>
  <si>
    <t>Investimenti</t>
  </si>
  <si>
    <t>7.1</t>
  </si>
  <si>
    <t>Incidenza investimenti sul totale della spesa corrente e in conto capitale</t>
  </si>
  <si>
    <t>7.2</t>
  </si>
  <si>
    <t>Investimenti diretti procapite</t>
  </si>
  <si>
    <t>7.3</t>
  </si>
  <si>
    <t>Contributi agli investimenti procapite</t>
  </si>
  <si>
    <t>7.4</t>
  </si>
  <si>
    <t>Investimenti complessivi procapite</t>
  </si>
  <si>
    <t>7.5</t>
  </si>
  <si>
    <t>Quota investimenti complessivi finanziati dal risparmio corrente</t>
  </si>
  <si>
    <t>7.6</t>
  </si>
  <si>
    <t>Quota investimenti complessivi finanziati dal saldo positivo delle partite finanziarie</t>
  </si>
  <si>
    <t>7.7</t>
  </si>
  <si>
    <t>Quota investimenti complessivi finanziati da debito</t>
  </si>
  <si>
    <t>Analisi dei residui</t>
  </si>
  <si>
    <t>8.1</t>
  </si>
  <si>
    <t>Incidenza nuovi residui passivi di parte corrente su stock residui passivi correnti</t>
  </si>
  <si>
    <t>8.2</t>
  </si>
  <si>
    <t>Incidenza nuovi residui passivi in c/capitale su stock residui passivi in conto capitale al 31/12</t>
  </si>
  <si>
    <t>8.3</t>
  </si>
  <si>
    <t>Incidenza nuovi residui passivi per incremento attività finanziarie su stock residui passivi per incremento attività finanziarie al 31/12</t>
  </si>
  <si>
    <t>8.4</t>
  </si>
  <si>
    <t>Incidenza nuovi residui attivi di parte corrente su stock residui attivi di parte corrente</t>
  </si>
  <si>
    <t>8.5</t>
  </si>
  <si>
    <t>Incidenza nuovi residui attivi in c/capitale su stock residui attivi in c/capitale</t>
  </si>
  <si>
    <t>8.6</t>
  </si>
  <si>
    <t>Incidenza nuovi residui attivi per riduzione di attività finanziarie su stock residui attivi per riduzione di attività finanziarie</t>
  </si>
  <si>
    <t>Smaltimento debiti non finanziari</t>
  </si>
  <si>
    <t>9.1</t>
  </si>
  <si>
    <t>Smaltimento debiti commerciali nati nell'esercizio</t>
  </si>
  <si>
    <t>9.2</t>
  </si>
  <si>
    <t>Smaltimento debiti commerciali nati negli esercizi precedenti</t>
  </si>
  <si>
    <t>9.3</t>
  </si>
  <si>
    <t>Smaltimento debiti verso altre amministrazioni pubbliche nati nell'esercizio</t>
  </si>
  <si>
    <t>9.4</t>
  </si>
  <si>
    <t>Smaltimento debiti verso altre amministrazioni pubbliche nati negli esercizi precedenti</t>
  </si>
  <si>
    <t>9.5</t>
  </si>
  <si>
    <t>Indicatore annuale di tempestività dei pagamenti</t>
  </si>
  <si>
    <t>Debiti finanziari</t>
  </si>
  <si>
    <t>10.1</t>
  </si>
  <si>
    <t>Incidenza estinzioni anticipate debiti finanziari</t>
  </si>
  <si>
    <t>10.2</t>
  </si>
  <si>
    <t>Incidenza estinzioni ordinarie debiti finanziari</t>
  </si>
  <si>
    <t>10.3</t>
  </si>
  <si>
    <t>Sostenibilità debiti finanziari</t>
  </si>
  <si>
    <t>10.4</t>
  </si>
  <si>
    <t>Indebitamento procapite</t>
  </si>
  <si>
    <t>Composizione dell'avanzo di amministrazione</t>
  </si>
  <si>
    <t>11.1</t>
  </si>
  <si>
    <t>Incidenza quota libera di parte corrente nell'avanzo</t>
  </si>
  <si>
    <t>11.2</t>
  </si>
  <si>
    <t>Incidenza quota libera in c/capitale nell'avanzo</t>
  </si>
  <si>
    <t>11.3</t>
  </si>
  <si>
    <t>Incidenza quota accantonata nell'avanzo</t>
  </si>
  <si>
    <t>11.4</t>
  </si>
  <si>
    <t>Incidenza quota vincolata nell'avanzo</t>
  </si>
  <si>
    <t>Disavanzo di amministrazione</t>
  </si>
  <si>
    <t>12.1</t>
  </si>
  <si>
    <t>Quota disavanzo ripianato nell'esercizio</t>
  </si>
  <si>
    <t>12.2</t>
  </si>
  <si>
    <t>Incremento del disavanzo rispetto all'esercizio precedente</t>
  </si>
  <si>
    <t>12.3</t>
  </si>
  <si>
    <t>Sostenibilità patrimoniale del disavanzo</t>
  </si>
  <si>
    <t>12.4</t>
  </si>
  <si>
    <t>Sostenibilità disavanzo effettivamente a carico dell'esercizio</t>
  </si>
  <si>
    <t>Debiti fuori bilancio</t>
  </si>
  <si>
    <t>13.1</t>
  </si>
  <si>
    <t>Debiti riconosciuti e finanziati</t>
  </si>
  <si>
    <t>13.2</t>
  </si>
  <si>
    <t>Debiti in corso di riconoscimento</t>
  </si>
  <si>
    <t>13.3</t>
  </si>
  <si>
    <t>Debiti riconosciuti e in corso di finanziamento</t>
  </si>
  <si>
    <t>Fondo pluriennale vincolato</t>
  </si>
  <si>
    <t>14.1</t>
  </si>
  <si>
    <t>Utilizzo del FPV</t>
  </si>
  <si>
    <t>Partite di giro e conto terzi</t>
  </si>
  <si>
    <t>15.1</t>
  </si>
  <si>
    <t>Incidenza partite di giro e conto terzi in entrata</t>
  </si>
  <si>
    <t>15.2</t>
  </si>
  <si>
    <t>Incidenza partite di giro e conto terzi in uscita</t>
  </si>
  <si>
    <t>Complessiva</t>
  </si>
  <si>
    <t>Crediti esigibili nell'esercizio</t>
  </si>
  <si>
    <t>Crediti esigibili negli esercizi precedenti</t>
  </si>
  <si>
    <t>Istruzione e diritto allo studio</t>
  </si>
  <si>
    <t>Trasporti e diritto alla mobilità</t>
  </si>
  <si>
    <t>Diritti sociali, politiche sociali e famiglia</t>
  </si>
  <si>
    <t>Capacità di pagamento</t>
  </si>
  <si>
    <t>Debiti da finanziamento (D1)</t>
  </si>
  <si>
    <t>Piano degli indicatori</t>
  </si>
  <si>
    <t>Soglia</t>
  </si>
  <si>
    <t>Crediti verso lo Stato e altre AP per Fondo dotazione (A)</t>
  </si>
  <si>
    <t>Immobilizzazioni immateriali (B1)</t>
  </si>
  <si>
    <t>Immobilizzazioni materiali (B2)</t>
  </si>
  <si>
    <t>Crediti (C2)</t>
  </si>
  <si>
    <t>Disponibilità liquide (C4)</t>
  </si>
  <si>
    <t>Ratei e risconti attivi (D)</t>
  </si>
  <si>
    <t>TOTALE ATTIVO</t>
  </si>
  <si>
    <t>Fondo di dotazione (A1)</t>
  </si>
  <si>
    <t>Riserve (A2)</t>
  </si>
  <si>
    <t>Risultato economico dell'esercizio (A3)</t>
  </si>
  <si>
    <t>Fondo rischi ed oneri (B)</t>
  </si>
  <si>
    <t>Debiti verso fornitori (D2)</t>
  </si>
  <si>
    <t>Debiti per trasferimenti e contributi (D4)</t>
  </si>
  <si>
    <t>Altri debiti (D5)</t>
  </si>
  <si>
    <t>Ratei e risconti passivi (E)</t>
  </si>
  <si>
    <t>TOTALE PASSIVO</t>
  </si>
  <si>
    <t>Immobilizzazioni finanziarie - partecipazioni (B3.1)</t>
  </si>
  <si>
    <t>Immobilizzazioni finanziarie - crediti (B3.2)</t>
  </si>
  <si>
    <t>Immobilizzazioni finanziarie - altri titoli (B3.3)</t>
  </si>
  <si>
    <t>Rimanenze (C1)</t>
  </si>
  <si>
    <t>Attività finanziarie che non costituiscono utilizzi (C3)</t>
  </si>
  <si>
    <t>Var. %</t>
  </si>
  <si>
    <t>%Risc</t>
  </si>
  <si>
    <t xml:space="preserve">       di cui permessi a costruire</t>
  </si>
  <si>
    <t>Proventi da tributi</t>
  </si>
  <si>
    <t>Proventi da fondi perequativi</t>
  </si>
  <si>
    <t>Proventi da trasferimenti e contributi</t>
  </si>
  <si>
    <t>Ricavi delle vendite e prestazioni e proventi da servizi pubblici</t>
  </si>
  <si>
    <t>Variazioni nelle rimanenze di prodotti in corso di lavorazione, etc. (+/-)</t>
  </si>
  <si>
    <t>Variazione dei lavori in corso su ordinazione</t>
  </si>
  <si>
    <t>Incrementi di immobilizzazioni per lavori interni</t>
  </si>
  <si>
    <t>Altri ricavi e proventi diversi</t>
  </si>
  <si>
    <t>Acquisto di materie prime e/o beni di consumo</t>
  </si>
  <si>
    <t>Prestazioni di servizi</t>
  </si>
  <si>
    <t>Utilizzo beni di terzi</t>
  </si>
  <si>
    <t>Trasferimenti e contributi</t>
  </si>
  <si>
    <t>Personale</t>
  </si>
  <si>
    <t>Ammortamenti e svalutazioni</t>
  </si>
  <si>
    <t>Variazioni nelle rimanenze di materie prime e/o beni di consumo (+/-)</t>
  </si>
  <si>
    <t>Accantonamenti per rischi</t>
  </si>
  <si>
    <t>Oneri diversi di gestione</t>
  </si>
  <si>
    <t>Proventi finanziari</t>
  </si>
  <si>
    <t>Oneri finanziari</t>
  </si>
  <si>
    <t>Rettifiche di valore</t>
  </si>
  <si>
    <t>Proventi straordinari</t>
  </si>
  <si>
    <t>Oneri straordinari</t>
  </si>
  <si>
    <t>Imposte</t>
  </si>
  <si>
    <t>Risultato dell'esercizio</t>
  </si>
  <si>
    <t>(+)</t>
  </si>
  <si>
    <t>(-)</t>
  </si>
  <si>
    <t>(=)</t>
  </si>
  <si>
    <t xml:space="preserve">302 CONCESSIONE CREDITI DI BREVE TERMINE </t>
  </si>
  <si>
    <t>COMPONENTI POSITIVI DELLA GESTIONE</t>
  </si>
  <si>
    <t>COMPONENTI NEGATIVI DELLA GESTIONE</t>
  </si>
  <si>
    <t>Diff.</t>
  </si>
  <si>
    <t>PATRIMONIO NETTO</t>
  </si>
  <si>
    <t>Incidenza spesa (al netto servizi per conto terzi)</t>
  </si>
  <si>
    <t>% Risc.</t>
  </si>
  <si>
    <t>101 Redditi da lavoro dipendente</t>
  </si>
  <si>
    <t>102 Imposte e tasse a carico dell'ente</t>
  </si>
  <si>
    <t>103 Acquisto di beni e servizi</t>
  </si>
  <si>
    <t>104 Trasferimenti correnti</t>
  </si>
  <si>
    <t>107 Interessi passivi</t>
  </si>
  <si>
    <t>108 Altre spese per redditi da capitale</t>
  </si>
  <si>
    <t>109 Rimborsi e poste correttive delle entrate</t>
  </si>
  <si>
    <t>110 Altre spese correnti</t>
  </si>
  <si>
    <t>202 Investimenti fissi lordi e acquisto di terreni</t>
  </si>
  <si>
    <t>203 Contributi agli investimenti</t>
  </si>
  <si>
    <t>204 Altri trasferimenti in conto capitale</t>
  </si>
  <si>
    <t>205 Altre spese in conto capitale</t>
  </si>
  <si>
    <t xml:space="preserve"> - Spese correnti </t>
  </si>
  <si>
    <t xml:space="preserve"> - Spese in conto capitale</t>
  </si>
  <si>
    <t>301 Acquisizioni di attività finanziarie</t>
  </si>
  <si>
    <t>302 Concessione crediti di breve termine</t>
  </si>
  <si>
    <t>303 Concessione crediti di medio-lungo termine</t>
  </si>
  <si>
    <t>304 Altre spese per incremento di attività finanziarie</t>
  </si>
  <si>
    <t xml:space="preserve"> - Spese per incremento attività finanziarie </t>
  </si>
  <si>
    <t>401 Rimborso di titoli obbligazionari</t>
  </si>
  <si>
    <t>402 Rimborso prestiti a breve termine</t>
  </si>
  <si>
    <t>403 Rimborso mutui e finanziamenti a medio-lungo termine</t>
  </si>
  <si>
    <t>404 Rimborso di altre forme di indebitamento</t>
  </si>
  <si>
    <t>405 Fondi per rimborso prestiti</t>
  </si>
  <si>
    <t xml:space="preserve"> - Rimborso prestiti </t>
  </si>
  <si>
    <t xml:space="preserve"> - Chiusura anticipazioni ricevute da tesoriere/cassiere </t>
  </si>
  <si>
    <t xml:space="preserve"> - Uscite per conto terzi e partite di giro</t>
  </si>
  <si>
    <t>Comp.% netta</t>
  </si>
  <si>
    <t xml:space="preserve">Saldo corrente </t>
  </si>
  <si>
    <t xml:space="preserve">Saldo finale </t>
  </si>
  <si>
    <t>Saldo netto</t>
  </si>
  <si>
    <t>Saldo riduzione/incremento attività finanziarie</t>
  </si>
  <si>
    <t>Capacità di riscossione</t>
  </si>
  <si>
    <t>Spesa per il personale (pro capite)</t>
  </si>
  <si>
    <t>Investimenti (pro capite)</t>
  </si>
  <si>
    <t>Entrate natura tributaria, contributiva e perequativa (Titolo 1)</t>
  </si>
  <si>
    <t>Media principali Comuni</t>
  </si>
  <si>
    <t>Saldo della gestione</t>
  </si>
  <si>
    <t>(Proventi - Oneri) finanziari</t>
  </si>
  <si>
    <t>(Proventi- Oneri) straordinari</t>
  </si>
  <si>
    <t>Saldo prima delle imposte</t>
  </si>
  <si>
    <t>Parametro</t>
  </si>
  <si>
    <t>Indicatore</t>
  </si>
  <si>
    <t>P.1</t>
  </si>
  <si>
    <t>P.2</t>
  </si>
  <si>
    <t>P.3</t>
  </si>
  <si>
    <t>P.4</t>
  </si>
  <si>
    <t>P.5</t>
  </si>
  <si>
    <t>P.6</t>
  </si>
  <si>
    <t>P.7</t>
  </si>
  <si>
    <t>P.8</t>
  </si>
  <si>
    <t>Incidenza spese rigide (ripiano disavanzo, personale e debito) su entrate correnti</t>
  </si>
  <si>
    <t>Descrizione</t>
  </si>
  <si>
    <t>13.2/3</t>
  </si>
  <si>
    <t>Anticipazione di tesoreria chiuse solo contabilmente</t>
  </si>
  <si>
    <t>Sostenibilità dei debiti finanziari</t>
  </si>
  <si>
    <t>Debiti in corso di riconoscimento o di finanziamento</t>
  </si>
  <si>
    <t>Effettiva capacità di riscossione (totale Entrate)</t>
  </si>
  <si>
    <t>&gt; 48</t>
  </si>
  <si>
    <t>&lt;22</t>
  </si>
  <si>
    <t>&gt;0</t>
  </si>
  <si>
    <t>&gt;16</t>
  </si>
  <si>
    <t>&gt;1,2</t>
  </si>
  <si>
    <t>&gt;1</t>
  </si>
  <si>
    <t>&gt;0,6</t>
  </si>
  <si>
    <t>&lt;47</t>
  </si>
  <si>
    <t>al 1° gennaio</t>
  </si>
  <si>
    <t>Comune</t>
  </si>
  <si>
    <t>Totale Entrate nette</t>
  </si>
  <si>
    <t>% Pag.</t>
  </si>
  <si>
    <t>Risc. - Pag.</t>
  </si>
  <si>
    <t xml:space="preserve">  -- di cui proventi da tributi</t>
  </si>
  <si>
    <t xml:space="preserve">  -- di cui proventi da trasferimenti</t>
  </si>
  <si>
    <t xml:space="preserve">  -- di cui prestazioni di servizi</t>
  </si>
  <si>
    <t xml:space="preserve">  -- di cui personale</t>
  </si>
  <si>
    <t xml:space="preserve">  -- di cui ammortamenti e svalutazioni</t>
  </si>
  <si>
    <t>Ricavi e proventi</t>
  </si>
  <si>
    <t>Costi</t>
  </si>
  <si>
    <t>Entrate finali</t>
  </si>
  <si>
    <t>Uscite finali</t>
  </si>
  <si>
    <t>Sviluppo sostenibile, tutela territ. e ambiente</t>
  </si>
  <si>
    <t>Città metro-politana</t>
  </si>
  <si>
    <t>Saldo naturale</t>
  </si>
  <si>
    <t>Saldo migratorio</t>
  </si>
  <si>
    <t>Verifica</t>
  </si>
  <si>
    <t/>
  </si>
  <si>
    <t>Riaccertamento residui attivi</t>
  </si>
  <si>
    <t>Rapporto Fcde/Residui attivi (scala dx)</t>
  </si>
  <si>
    <t>Saldo entrate/uscite finali</t>
  </si>
  <si>
    <t>Saldo entrate/uscite nette</t>
  </si>
  <si>
    <t>Capacità riscossione entrate finali</t>
  </si>
  <si>
    <t>Capacità pagamento uscite finali</t>
  </si>
  <si>
    <t>Risultato economico di esercizi precedenti (A4)</t>
  </si>
  <si>
    <t>Riserve negative per beni indisponibili (A5)</t>
  </si>
  <si>
    <t>Saldo censuario</t>
  </si>
  <si>
    <t>Margine operativo lordo</t>
  </si>
  <si>
    <t>Riscossioni 2023</t>
  </si>
  <si>
    <t>Pagamenti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</si>
</sst>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€_-;\-* #,##0.00\ _€_-;_-* &quot;-&quot;??\ _€_-;_-@_-"/>
    <numFmt numFmtId="164" formatCode="_-* #,##0.00_-;\-* #,##0.00_-;_-* &quot;-&quot;??_-;_-@_-"/>
    <numFmt numFmtId="165" formatCode="_-* #,##0_-;\-* #,##0_-;_-* &quot;-&quot;??_-;_-@_-"/>
    <numFmt numFmtId="166" formatCode="0.0"/>
    <numFmt numFmtId="167" formatCode="#,##0_ ;\-#,##0\ "/>
    <numFmt numFmtId="168" formatCode="#,##0.0_ ;\-#,##0.0\ 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b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ont="0" applyBorder="0" applyProtection="0"/>
    <xf numFmtId="164" fontId="3" fillId="0" borderId="0" applyFont="0" applyFill="0" applyBorder="0" applyAlignment="0" applyProtection="0"/>
  </cellStyleXfs>
  <cellXfs count="160">
    <xf numFmtId="0" fontId="0" fillId="0" borderId="0" xfId="0"/>
    <xf numFmtId="3" fontId="0" fillId="0" borderId="0" xfId="0" applyNumberFormat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1" fillId="0" borderId="0" xfId="0" applyFont="1"/>
    <xf numFmtId="0" fontId="5" fillId="0" borderId="0" xfId="2" applyFont="1" applyFill="1" applyBorder="1" applyAlignment="1" applyProtection="1">
      <alignment vertical="center" readingOrder="1"/>
    </xf>
    <xf numFmtId="166" fontId="0" fillId="0" borderId="0" xfId="0" applyNumberFormat="1"/>
    <xf numFmtId="2" fontId="0" fillId="0" borderId="0" xfId="0" applyNumberFormat="1"/>
    <xf numFmtId="0" fontId="0" fillId="3" borderId="0" xfId="0" applyFill="1"/>
    <xf numFmtId="0" fontId="0" fillId="3" borderId="0" xfId="0" applyFill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/>
    <xf numFmtId="0" fontId="0" fillId="0" borderId="0" xfId="0" applyAlignment="1">
      <alignment horizontal="center"/>
    </xf>
    <xf numFmtId="0" fontId="5" fillId="0" borderId="1" xfId="2" applyFont="1" applyFill="1" applyBorder="1" applyAlignment="1" applyProtection="1">
      <alignment vertical="center" readingOrder="1"/>
    </xf>
    <xf numFmtId="165" fontId="0" fillId="0" borderId="1" xfId="0" applyNumberFormat="1" applyBorder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165" fontId="0" fillId="0" borderId="0" xfId="0" applyNumberFormat="1" applyBorder="1"/>
    <xf numFmtId="165" fontId="0" fillId="0" borderId="2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165" fontId="0" fillId="0" borderId="4" xfId="0" applyNumberFormat="1" applyBorder="1"/>
    <xf numFmtId="165" fontId="0" fillId="0" borderId="5" xfId="0" applyNumberFormat="1" applyBorder="1"/>
    <xf numFmtId="0" fontId="0" fillId="0" borderId="0" xfId="0" quotePrefix="1" applyAlignment="1">
      <alignment horizontal="center"/>
    </xf>
    <xf numFmtId="165" fontId="0" fillId="0" borderId="0" xfId="1" applyNumberFormat="1" applyFont="1"/>
    <xf numFmtId="165" fontId="0" fillId="0" borderId="0" xfId="0" applyNumberFormat="1"/>
    <xf numFmtId="165" fontId="0" fillId="2" borderId="0" xfId="1" applyNumberFormat="1" applyFont="1" applyFill="1"/>
    <xf numFmtId="2" fontId="0" fillId="0" borderId="0" xfId="0" applyNumberFormat="1" applyFill="1"/>
    <xf numFmtId="0" fontId="0" fillId="0" borderId="0" xfId="0" applyFill="1"/>
    <xf numFmtId="0" fontId="0" fillId="0" borderId="0" xfId="0" applyBorder="1"/>
    <xf numFmtId="0" fontId="0" fillId="0" borderId="0" xfId="0" quotePrefix="1" applyBorder="1" applyAlignment="1">
      <alignment horizontal="center"/>
    </xf>
    <xf numFmtId="3" fontId="0" fillId="0" borderId="0" xfId="0" applyNumberFormat="1" applyBorder="1"/>
    <xf numFmtId="0" fontId="1" fillId="0" borderId="1" xfId="0" applyFont="1" applyFill="1" applyBorder="1"/>
    <xf numFmtId="0" fontId="1" fillId="0" borderId="1" xfId="0" quotePrefix="1" applyFont="1" applyBorder="1" applyAlignment="1">
      <alignment horizontal="center"/>
    </xf>
    <xf numFmtId="3" fontId="2" fillId="0" borderId="1" xfId="0" applyNumberFormat="1" applyFont="1" applyBorder="1"/>
    <xf numFmtId="0" fontId="2" fillId="0" borderId="1" xfId="0" applyFont="1" applyBorder="1"/>
    <xf numFmtId="0" fontId="1" fillId="0" borderId="0" xfId="0" applyFont="1" applyAlignment="1">
      <alignment horizontal="center"/>
    </xf>
    <xf numFmtId="165" fontId="0" fillId="0" borderId="0" xfId="0" applyNumberFormat="1" applyBorder="1" applyAlignment="1">
      <alignment horizontal="center"/>
    </xf>
    <xf numFmtId="0" fontId="0" fillId="0" borderId="6" xfId="0" applyBorder="1"/>
    <xf numFmtId="0" fontId="1" fillId="0" borderId="6" xfId="0" applyFont="1" applyBorder="1" applyAlignment="1">
      <alignment horizontal="center" vertical="center"/>
    </xf>
    <xf numFmtId="165" fontId="1" fillId="0" borderId="0" xfId="0" applyNumberFormat="1" applyFont="1"/>
    <xf numFmtId="165" fontId="1" fillId="0" borderId="0" xfId="0" applyNumberFormat="1" applyFont="1" applyBorder="1" applyAlignment="1">
      <alignment horizontal="center"/>
    </xf>
    <xf numFmtId="165" fontId="1" fillId="0" borderId="0" xfId="1" applyNumberFormat="1" applyFont="1"/>
    <xf numFmtId="0" fontId="6" fillId="0" borderId="0" xfId="0" applyFont="1"/>
    <xf numFmtId="165" fontId="6" fillId="0" borderId="0" xfId="0" applyNumberFormat="1" applyFont="1"/>
    <xf numFmtId="165" fontId="6" fillId="0" borderId="0" xfId="0" applyNumberFormat="1" applyFont="1" applyBorder="1" applyAlignment="1">
      <alignment horizontal="center"/>
    </xf>
    <xf numFmtId="165" fontId="2" fillId="0" borderId="1" xfId="0" applyNumberFormat="1" applyFont="1" applyBorder="1"/>
    <xf numFmtId="165" fontId="2" fillId="0" borderId="1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7" fillId="4" borderId="0" xfId="0" applyFont="1" applyFill="1"/>
    <xf numFmtId="165" fontId="0" fillId="4" borderId="0" xfId="0" applyNumberFormat="1" applyFill="1"/>
    <xf numFmtId="165" fontId="0" fillId="4" borderId="0" xfId="0" applyNumberFormat="1" applyFill="1" applyBorder="1" applyAlignment="1">
      <alignment horizontal="center"/>
    </xf>
    <xf numFmtId="0" fontId="8" fillId="4" borderId="0" xfId="2" applyFont="1" applyFill="1" applyBorder="1" applyAlignment="1" applyProtection="1">
      <alignment vertical="center" readingOrder="1"/>
    </xf>
    <xf numFmtId="165" fontId="0" fillId="4" borderId="0" xfId="0" applyNumberFormat="1" applyFont="1" applyFill="1"/>
    <xf numFmtId="0" fontId="0" fillId="0" borderId="0" xfId="0" applyFill="1" applyAlignment="1">
      <alignment horizontal="center"/>
    </xf>
    <xf numFmtId="167" fontId="0" fillId="4" borderId="0" xfId="0" applyNumberFormat="1" applyFont="1" applyFill="1"/>
    <xf numFmtId="167" fontId="3" fillId="4" borderId="0" xfId="1" applyNumberFormat="1" applyFont="1" applyFill="1"/>
    <xf numFmtId="167" fontId="6" fillId="0" borderId="0" xfId="0" applyNumberFormat="1" applyFont="1"/>
    <xf numFmtId="167" fontId="2" fillId="0" borderId="1" xfId="0" applyNumberFormat="1" applyFont="1" applyBorder="1"/>
    <xf numFmtId="0" fontId="0" fillId="5" borderId="0" xfId="0" applyFill="1"/>
    <xf numFmtId="0" fontId="1" fillId="0" borderId="6" xfId="0" applyFont="1" applyBorder="1" applyAlignment="1">
      <alignment horizontal="center"/>
    </xf>
    <xf numFmtId="0" fontId="9" fillId="0" borderId="1" xfId="0" applyFont="1" applyBorder="1"/>
    <xf numFmtId="0" fontId="0" fillId="4" borderId="0" xfId="0" applyFill="1"/>
    <xf numFmtId="0" fontId="1" fillId="0" borderId="0" xfId="0" applyFont="1" applyBorder="1"/>
    <xf numFmtId="0" fontId="1" fillId="0" borderId="6" xfId="0" applyFont="1" applyBorder="1"/>
    <xf numFmtId="0" fontId="1" fillId="0" borderId="6" xfId="0" applyFont="1" applyBorder="1" applyAlignment="1">
      <alignment vertical="center"/>
    </xf>
    <xf numFmtId="167" fontId="0" fillId="4" borderId="0" xfId="0" applyNumberFormat="1" applyFill="1" applyAlignment="1">
      <alignment horizontal="center" vertical="center"/>
    </xf>
    <xf numFmtId="167" fontId="0" fillId="6" borderId="0" xfId="0" applyNumberFormat="1" applyFill="1" applyAlignment="1">
      <alignment horizontal="center" vertical="center"/>
    </xf>
    <xf numFmtId="0" fontId="0" fillId="4" borderId="0" xfId="0" applyFill="1" applyAlignment="1">
      <alignment vertical="center" wrapText="1"/>
    </xf>
    <xf numFmtId="0" fontId="0" fillId="6" borderId="0" xfId="0" applyFill="1" applyAlignment="1">
      <alignment vertical="center" wrapText="1"/>
    </xf>
    <xf numFmtId="0" fontId="10" fillId="4" borderId="0" xfId="0" applyFont="1" applyFill="1" applyAlignment="1">
      <alignment vertical="center"/>
    </xf>
    <xf numFmtId="0" fontId="10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167" fontId="1" fillId="4" borderId="0" xfId="0" applyNumberFormat="1" applyFont="1" applyFill="1" applyAlignment="1">
      <alignment horizontal="center" vertical="center"/>
    </xf>
    <xf numFmtId="167" fontId="1" fillId="6" borderId="0" xfId="1" applyNumberFormat="1" applyFont="1" applyFill="1" applyAlignment="1">
      <alignment horizontal="center" vertical="center"/>
    </xf>
    <xf numFmtId="167" fontId="9" fillId="4" borderId="0" xfId="0" applyNumberFormat="1" applyFont="1" applyFill="1" applyAlignment="1">
      <alignment horizontal="center" vertical="center"/>
    </xf>
    <xf numFmtId="167" fontId="9" fillId="6" borderId="0" xfId="0" applyNumberFormat="1" applyFont="1" applyFill="1" applyAlignment="1">
      <alignment horizontal="center" vertical="center"/>
    </xf>
    <xf numFmtId="167" fontId="1" fillId="6" borderId="0" xfId="0" applyNumberFormat="1" applyFont="1" applyFill="1" applyAlignment="1">
      <alignment horizontal="center" vertical="center"/>
    </xf>
    <xf numFmtId="167" fontId="6" fillId="4" borderId="0" xfId="0" quotePrefix="1" applyNumberFormat="1" applyFont="1" applyFill="1" applyAlignment="1">
      <alignment horizontal="center" vertical="center"/>
    </xf>
    <xf numFmtId="167" fontId="6" fillId="6" borderId="0" xfId="1" quotePrefix="1" applyNumberFormat="1" applyFont="1" applyFill="1" applyAlignment="1">
      <alignment horizontal="center" vertical="center"/>
    </xf>
    <xf numFmtId="167" fontId="6" fillId="6" borderId="0" xfId="0" quotePrefix="1" applyNumberFormat="1" applyFont="1" applyFill="1" applyAlignment="1">
      <alignment horizontal="center" vertical="center"/>
    </xf>
    <xf numFmtId="167" fontId="6" fillId="4" borderId="0" xfId="1" quotePrefix="1" applyNumberFormat="1" applyFont="1" applyFill="1" applyAlignment="1">
      <alignment horizontal="center" vertical="center"/>
    </xf>
    <xf numFmtId="0" fontId="10" fillId="4" borderId="0" xfId="0" applyFont="1" applyFill="1" applyAlignment="1">
      <alignment vertical="center" wrapText="1"/>
    </xf>
    <xf numFmtId="3" fontId="1" fillId="0" borderId="1" xfId="0" applyNumberFormat="1" applyFont="1" applyFill="1" applyBorder="1"/>
    <xf numFmtId="3" fontId="0" fillId="0" borderId="0" xfId="0" applyNumberFormat="1" applyFill="1"/>
    <xf numFmtId="3" fontId="0" fillId="0" borderId="0" xfId="0" applyNumberFormat="1" applyFill="1" applyBorder="1"/>
    <xf numFmtId="3" fontId="2" fillId="0" borderId="1" xfId="0" applyNumberFormat="1" applyFont="1" applyFill="1" applyBorder="1"/>
    <xf numFmtId="167" fontId="0" fillId="0" borderId="0" xfId="0" applyNumberFormat="1"/>
    <xf numFmtId="165" fontId="0" fillId="0" borderId="0" xfId="1" applyNumberFormat="1" applyFont="1" applyFill="1"/>
    <xf numFmtId="0" fontId="0" fillId="0" borderId="0" xfId="0" applyAlignment="1">
      <alignment wrapText="1"/>
    </xf>
    <xf numFmtId="0" fontId="1" fillId="0" borderId="6" xfId="0" applyFont="1" applyFill="1" applyBorder="1" applyAlignment="1">
      <alignment horizontal="center"/>
    </xf>
    <xf numFmtId="167" fontId="3" fillId="0" borderId="0" xfId="1" applyNumberFormat="1" applyFont="1" applyFill="1"/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/>
    <xf numFmtId="3" fontId="0" fillId="0" borderId="0" xfId="0" applyNumberFormat="1"/>
    <xf numFmtId="166" fontId="0" fillId="0" borderId="0" xfId="0" applyNumberFormat="1"/>
    <xf numFmtId="0" fontId="0" fillId="0" borderId="0" xfId="0"/>
    <xf numFmtId="166" fontId="0" fillId="0" borderId="0" xfId="0" applyNumberFormat="1"/>
    <xf numFmtId="0" fontId="0" fillId="0" borderId="0" xfId="0" applyAlignment="1">
      <alignment horizontal="center"/>
    </xf>
    <xf numFmtId="165" fontId="0" fillId="0" borderId="1" xfId="0" applyNumberFormat="1" applyBorder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165" fontId="0" fillId="0" borderId="0" xfId="0" applyNumberFormat="1" applyBorder="1"/>
    <xf numFmtId="165" fontId="0" fillId="0" borderId="2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0" borderId="2" xfId="0" applyNumberFormat="1" applyBorder="1"/>
    <xf numFmtId="0" fontId="0" fillId="0" borderId="4" xfId="0" applyBorder="1" applyAlignment="1">
      <alignment horizontal="center"/>
    </xf>
    <xf numFmtId="165" fontId="0" fillId="0" borderId="4" xfId="0" applyNumberFormat="1" applyBorder="1"/>
    <xf numFmtId="165" fontId="0" fillId="0" borderId="5" xfId="0" applyNumberFormat="1" applyBorder="1"/>
    <xf numFmtId="165" fontId="0" fillId="0" borderId="0" xfId="1" applyNumberFormat="1" applyFont="1"/>
    <xf numFmtId="165" fontId="0" fillId="0" borderId="0" xfId="0" applyNumberFormat="1"/>
    <xf numFmtId="165" fontId="0" fillId="2" borderId="0" xfId="1" applyNumberFormat="1" applyFont="1" applyFill="1"/>
    <xf numFmtId="0" fontId="2" fillId="0" borderId="1" xfId="0" applyFont="1" applyBorder="1"/>
    <xf numFmtId="0" fontId="0" fillId="0" borderId="6" xfId="0" applyBorder="1"/>
    <xf numFmtId="165" fontId="1" fillId="0" borderId="0" xfId="0" applyNumberFormat="1" applyFont="1"/>
    <xf numFmtId="165" fontId="1" fillId="0" borderId="0" xfId="1" applyNumberFormat="1" applyFont="1"/>
    <xf numFmtId="165" fontId="6" fillId="0" borderId="0" xfId="0" applyNumberFormat="1" applyFont="1"/>
    <xf numFmtId="165" fontId="2" fillId="0" borderId="1" xfId="0" applyNumberFormat="1" applyFont="1" applyBorder="1"/>
    <xf numFmtId="166" fontId="2" fillId="0" borderId="1" xfId="0" applyNumberFormat="1" applyFont="1" applyBorder="1" applyAlignment="1">
      <alignment horizontal="center"/>
    </xf>
    <xf numFmtId="166" fontId="0" fillId="4" borderId="0" xfId="0" applyNumberFormat="1" applyFill="1" applyAlignment="1">
      <alignment horizontal="center"/>
    </xf>
    <xf numFmtId="165" fontId="0" fillId="4" borderId="0" xfId="0" applyNumberFormat="1" applyFont="1" applyFill="1"/>
    <xf numFmtId="166" fontId="0" fillId="4" borderId="0" xfId="0" applyNumberFormat="1" applyFont="1" applyFill="1" applyAlignment="1">
      <alignment horizontal="center"/>
    </xf>
    <xf numFmtId="0" fontId="0" fillId="4" borderId="0" xfId="0" applyFont="1" applyFill="1"/>
    <xf numFmtId="167" fontId="0" fillId="4" borderId="0" xfId="0" applyNumberFormat="1" applyFont="1" applyFill="1"/>
    <xf numFmtId="167" fontId="3" fillId="4" borderId="0" xfId="1" applyNumberFormat="1" applyFont="1" applyFill="1"/>
    <xf numFmtId="167" fontId="6" fillId="0" borderId="0" xfId="0" applyNumberFormat="1" applyFont="1"/>
    <xf numFmtId="167" fontId="2" fillId="0" borderId="1" xfId="0" applyNumberFormat="1" applyFont="1" applyBorder="1"/>
    <xf numFmtId="165" fontId="0" fillId="0" borderId="0" xfId="1" applyNumberFormat="1" applyFont="1" applyFill="1"/>
    <xf numFmtId="0" fontId="0" fillId="0" borderId="2" xfId="0" applyBorder="1"/>
    <xf numFmtId="0" fontId="0" fillId="0" borderId="0" xfId="0"/>
    <xf numFmtId="2" fontId="0" fillId="0" borderId="0" xfId="0" applyNumberFormat="1"/>
    <xf numFmtId="166" fontId="0" fillId="0" borderId="0" xfId="0" applyNumberFormat="1"/>
    <xf numFmtId="166" fontId="0" fillId="0" borderId="0" xfId="0" applyNumberFormat="1" applyAlignment="1">
      <alignment horizontal="center"/>
    </xf>
    <xf numFmtId="166" fontId="1" fillId="0" borderId="0" xfId="0" applyNumberFormat="1" applyFont="1" applyAlignment="1">
      <alignment horizontal="center"/>
    </xf>
    <xf numFmtId="166" fontId="0" fillId="0" borderId="1" xfId="0" applyNumberFormat="1" applyBorder="1" applyAlignment="1">
      <alignment horizontal="center"/>
    </xf>
    <xf numFmtId="2" fontId="0" fillId="0" borderId="0" xfId="0" applyNumberFormat="1" applyFill="1"/>
    <xf numFmtId="0" fontId="5" fillId="0" borderId="0" xfId="2" applyFont="1" applyFill="1" applyBorder="1" applyAlignment="1" applyProtection="1">
      <alignment vertical="center" readingOrder="1"/>
    </xf>
    <xf numFmtId="165" fontId="0" fillId="0" borderId="0" xfId="3" applyNumberFormat="1" applyFont="1"/>
    <xf numFmtId="165" fontId="0" fillId="0" borderId="0" xfId="0" applyNumberFormat="1"/>
    <xf numFmtId="165" fontId="0" fillId="2" borderId="0" xfId="3" applyNumberFormat="1" applyFont="1" applyFill="1"/>
    <xf numFmtId="0" fontId="0" fillId="0" borderId="0" xfId="0" applyAlignment="1">
      <alignment horizontal="center"/>
    </xf>
    <xf numFmtId="165" fontId="0" fillId="4" borderId="0" xfId="0" applyNumberFormat="1" applyFill="1"/>
    <xf numFmtId="165" fontId="0" fillId="0" borderId="0" xfId="3" applyNumberFormat="1" applyFont="1" applyFill="1"/>
    <xf numFmtId="0" fontId="6" fillId="0" borderId="0" xfId="0" applyFont="1"/>
    <xf numFmtId="166" fontId="6" fillId="0" borderId="0" xfId="0" applyNumberFormat="1" applyFont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0" fillId="0" borderId="0" xfId="0" applyAlignment="1"/>
    <xf numFmtId="3" fontId="0" fillId="0" borderId="0" xfId="0" applyNumberFormat="1" applyAlignment="1"/>
    <xf numFmtId="168" fontId="9" fillId="4" borderId="0" xfId="1" applyNumberFormat="1" applyFont="1" applyFill="1" applyAlignment="1">
      <alignment horizontal="center" vertical="center"/>
    </xf>
    <xf numFmtId="168" fontId="9" fillId="6" borderId="0" xfId="1" applyNumberFormat="1" applyFont="1" applyFill="1" applyAlignment="1">
      <alignment horizontal="center" vertical="center"/>
    </xf>
    <xf numFmtId="168" fontId="9" fillId="4" borderId="0" xfId="0" applyNumberFormat="1" applyFont="1" applyFill="1" applyAlignment="1">
      <alignment horizontal="center" vertical="center"/>
    </xf>
    <xf numFmtId="0" fontId="1" fillId="0" borderId="0" xfId="0" quotePrefix="1" applyFont="1" applyBorder="1" applyAlignment="1">
      <alignment horizontal="center"/>
    </xf>
    <xf numFmtId="3" fontId="2" fillId="0" borderId="0" xfId="0" applyNumberFormat="1" applyFont="1" applyBorder="1"/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4">
    <cellStyle name="Migliaia" xfId="1" builtinId="3"/>
    <cellStyle name="Migliaia 2" xfId="3"/>
    <cellStyle name="Normal" xfId="2"/>
    <cellStyle name="Normale" xfId="0" builtinId="0"/>
  </cellStyles>
  <dxfs count="116"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10559865737671"/>
          <c:y val="5.4234059497589075E-2"/>
          <c:w val="0.85157412947448285"/>
          <c:h val="0.77365826474421862"/>
        </c:manualLayout>
      </c:layout>
      <c:lineChart>
        <c:grouping val="standard"/>
        <c:varyColors val="0"/>
        <c:ser>
          <c:idx val="0"/>
          <c:order val="0"/>
          <c:tx>
            <c:strRef>
              <c:f>Risultato_amministrazione!$A$3</c:f>
              <c:strCache>
                <c:ptCount val="1"/>
                <c:pt idx="0">
                  <c:v>Residui attivi</c:v>
                </c:pt>
              </c:strCache>
            </c:strRef>
          </c:tx>
          <c:marker>
            <c:symbol val="triangle"/>
            <c:size val="5"/>
          </c:marker>
          <c:cat>
            <c:numRef>
              <c:f>Risultato_amministrazione!$B$1:$K$1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Risultato_amministrazione!$B$3:$K$3</c:f>
              <c:numCache>
                <c:formatCode>#,##0</c:formatCode>
                <c:ptCount val="10"/>
                <c:pt idx="0">
                  <c:v>66953901.979999997</c:v>
                </c:pt>
                <c:pt idx="1">
                  <c:v>73427371.280000001</c:v>
                </c:pt>
                <c:pt idx="2">
                  <c:v>78289425.269999996</c:v>
                </c:pt>
                <c:pt idx="3">
                  <c:v>74315807.659999996</c:v>
                </c:pt>
                <c:pt idx="4">
                  <c:v>87442471.980000004</c:v>
                </c:pt>
                <c:pt idx="5">
                  <c:v>104096473.76000001</c:v>
                </c:pt>
                <c:pt idx="6">
                  <c:v>112135787.2</c:v>
                </c:pt>
                <c:pt idx="7">
                  <c:v>137388926.63</c:v>
                </c:pt>
                <c:pt idx="8">
                  <c:v>126346694.09</c:v>
                </c:pt>
                <c:pt idx="9">
                  <c:v>132206196.41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815-456D-8408-112A4369BD40}"/>
            </c:ext>
          </c:extLst>
        </c:ser>
        <c:ser>
          <c:idx val="1"/>
          <c:order val="1"/>
          <c:tx>
            <c:strRef>
              <c:f>Risultato_amministrazione!$A$4</c:f>
              <c:strCache>
                <c:ptCount val="1"/>
                <c:pt idx="0">
                  <c:v>Residui passivi</c:v>
                </c:pt>
              </c:strCache>
            </c:strRef>
          </c:tx>
          <c:marker>
            <c:symbol val="square"/>
            <c:size val="5"/>
          </c:marker>
          <c:cat>
            <c:numRef>
              <c:f>Risultato_amministrazione!$B$1:$K$1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Risultato_amministrazione!$B$4:$K$4</c:f>
              <c:numCache>
                <c:formatCode>#,##0</c:formatCode>
                <c:ptCount val="10"/>
                <c:pt idx="0">
                  <c:v>43343450.530000001</c:v>
                </c:pt>
                <c:pt idx="1">
                  <c:v>47742707.600000001</c:v>
                </c:pt>
                <c:pt idx="2">
                  <c:v>48694707.850000001</c:v>
                </c:pt>
                <c:pt idx="3">
                  <c:v>43341688.299999997</c:v>
                </c:pt>
                <c:pt idx="4">
                  <c:v>43507554.460000001</c:v>
                </c:pt>
                <c:pt idx="5">
                  <c:v>48295620.700000003</c:v>
                </c:pt>
                <c:pt idx="6">
                  <c:v>54358808.609999999</c:v>
                </c:pt>
                <c:pt idx="7">
                  <c:v>52383684.530000001</c:v>
                </c:pt>
                <c:pt idx="8">
                  <c:v>54097888.200000003</c:v>
                </c:pt>
                <c:pt idx="9">
                  <c:v>50139963.759999998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815-456D-8408-112A4369B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4544032"/>
        <c:axId val="1064544576"/>
      </c:lineChart>
      <c:catAx>
        <c:axId val="106454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064544576"/>
        <c:crosses val="autoZero"/>
        <c:auto val="1"/>
        <c:lblAlgn val="ctr"/>
        <c:lblOffset val="100"/>
        <c:noMultiLvlLbl val="0"/>
      </c:catAx>
      <c:valAx>
        <c:axId val="1064544576"/>
        <c:scaling>
          <c:orientation val="minMax"/>
          <c:max val="140000000"/>
          <c:min val="40000000"/>
        </c:scaling>
        <c:delete val="0"/>
        <c:axPos val="l"/>
        <c:numFmt formatCode="#,##0" sourceLinked="1"/>
        <c:majorTickMark val="none"/>
        <c:minorTickMark val="none"/>
        <c:tickLblPos val="nextTo"/>
        <c:crossAx val="1064544032"/>
        <c:crosses val="autoZero"/>
        <c:crossBetween val="between"/>
        <c:majorUnit val="20000000"/>
      </c:val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200785468826705E-2"/>
          <c:y val="6.0169354191372357E-2"/>
          <c:w val="0.95679921453118699"/>
          <c:h val="0.746011422547946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Piano_indicatori!$B$31</c:f>
              <c:strCache>
                <c:ptCount val="1"/>
                <c:pt idx="0">
                  <c:v>Investimenti complessivi procapite</c:v>
                </c:pt>
              </c:strCache>
            </c:strRef>
          </c:tx>
          <c:invertIfNegative val="0"/>
          <c:dLbls>
            <c:dLbl>
              <c:idx val="7"/>
              <c:layout>
                <c:manualLayout>
                  <c:x val="-5.7257371886630408E-3"/>
                  <c:y val="3.84689363339103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Piano_indicatori!$D$31:$K$31</c:f>
              <c:numCache>
                <c:formatCode>0.00</c:formatCode>
                <c:ptCount val="8"/>
                <c:pt idx="0">
                  <c:v>81.53</c:v>
                </c:pt>
                <c:pt idx="1">
                  <c:v>81.89</c:v>
                </c:pt>
                <c:pt idx="2">
                  <c:v>97.86</c:v>
                </c:pt>
                <c:pt idx="3">
                  <c:v>219.74</c:v>
                </c:pt>
                <c:pt idx="4">
                  <c:v>103.69</c:v>
                </c:pt>
                <c:pt idx="5">
                  <c:v>108.09</c:v>
                </c:pt>
                <c:pt idx="6">
                  <c:v>266.70999999999998</c:v>
                </c:pt>
                <c:pt idx="7">
                  <c:v>169.68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33-4A6E-8076-E1B5B866D10D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Piano_indicatori!$D$90:$K$90</c:f>
              <c:numCache>
                <c:formatCode>0.00</c:formatCode>
                <c:ptCount val="8"/>
                <c:pt idx="0">
                  <c:v>157.51675807997006</c:v>
                </c:pt>
                <c:pt idx="1">
                  <c:v>150.44420956890005</c:v>
                </c:pt>
                <c:pt idx="2">
                  <c:v>170.92035541980178</c:v>
                </c:pt>
                <c:pt idx="3">
                  <c:v>180.492157874811</c:v>
                </c:pt>
                <c:pt idx="4">
                  <c:v>204.57029658165237</c:v>
                </c:pt>
                <c:pt idx="5">
                  <c:v>209.21258224469867</c:v>
                </c:pt>
                <c:pt idx="6">
                  <c:v>229.38618194069946</c:v>
                </c:pt>
                <c:pt idx="7">
                  <c:v>334.14493954817681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533-4A6E-8076-E1B5B866D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3746416"/>
        <c:axId val="1433746960"/>
      </c:barChart>
      <c:catAx>
        <c:axId val="1433746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433746960"/>
        <c:crosses val="autoZero"/>
        <c:auto val="1"/>
        <c:lblAlgn val="ctr"/>
        <c:lblOffset val="100"/>
        <c:noMultiLvlLbl val="0"/>
      </c:catAx>
      <c:valAx>
        <c:axId val="1433746960"/>
        <c:scaling>
          <c:orientation val="minMax"/>
          <c:max val="32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1433746416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2604501756868032"/>
          <c:y val="0.91535004107865958"/>
          <c:w val="0.3636191867769108"/>
          <c:h val="8.4649958921340043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7E-2"/>
          <c:y val="3.6934441366574537E-3"/>
          <c:w val="0.95679921453118699"/>
          <c:h val="0.865275663256776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Piano_indicatori!$B$47</c:f>
              <c:strCache>
                <c:ptCount val="1"/>
                <c:pt idx="0">
                  <c:v>Indicatore annuale di tempestività dei pagamenti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9.818360333824254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F8F-4825-B07A-4F58BAE088B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Piano_indicatori!$D$47:$K$47</c:f>
              <c:numCache>
                <c:formatCode>0.00</c:formatCode>
                <c:ptCount val="8"/>
                <c:pt idx="0">
                  <c:v>-2</c:v>
                </c:pt>
                <c:pt idx="1">
                  <c:v>-6</c:v>
                </c:pt>
                <c:pt idx="2">
                  <c:v>-6</c:v>
                </c:pt>
                <c:pt idx="3">
                  <c:v>-6</c:v>
                </c:pt>
                <c:pt idx="4">
                  <c:v>-7</c:v>
                </c:pt>
                <c:pt idx="5">
                  <c:v>-13</c:v>
                </c:pt>
                <c:pt idx="6">
                  <c:v>-5</c:v>
                </c:pt>
                <c:pt idx="7">
                  <c:v>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44-41B9-BDCF-288E48435941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Piano_indicatori!$D$91:$K$91</c:f>
              <c:numCache>
                <c:formatCode>0.00</c:formatCode>
                <c:ptCount val="8"/>
                <c:pt idx="0">
                  <c:v>30.939403225806455</c:v>
                </c:pt>
                <c:pt idx="1">
                  <c:v>36.337096774193533</c:v>
                </c:pt>
                <c:pt idx="2">
                  <c:v>36.521612903225808</c:v>
                </c:pt>
                <c:pt idx="3">
                  <c:v>24.474374999999998</c:v>
                </c:pt>
                <c:pt idx="4">
                  <c:v>18.420312500000001</c:v>
                </c:pt>
                <c:pt idx="5">
                  <c:v>10.619375</c:v>
                </c:pt>
                <c:pt idx="6">
                  <c:v>3.849687499999999</c:v>
                </c:pt>
                <c:pt idx="7">
                  <c:v>1.0896875000000004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44-41B9-BDCF-288E48435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3748048"/>
        <c:axId val="1826931888"/>
      </c:barChart>
      <c:catAx>
        <c:axId val="143374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826931888"/>
        <c:crosses val="autoZero"/>
        <c:auto val="1"/>
        <c:lblAlgn val="ctr"/>
        <c:lblOffset val="100"/>
        <c:noMultiLvlLbl val="0"/>
      </c:catAx>
      <c:valAx>
        <c:axId val="1826931888"/>
        <c:scaling>
          <c:orientation val="minMax"/>
          <c:max val="40"/>
          <c:min val="-15"/>
        </c:scaling>
        <c:delete val="1"/>
        <c:axPos val="l"/>
        <c:numFmt formatCode="0" sourceLinked="0"/>
        <c:majorTickMark val="none"/>
        <c:minorTickMark val="none"/>
        <c:tickLblPos val="none"/>
        <c:crossAx val="1433748048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7E-2"/>
          <c:y val="4.0627885503231764E-2"/>
          <c:w val="0.95679921453118699"/>
          <c:h val="0.761859227430367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Piano_indicatori!$B$52</c:f>
              <c:strCache>
                <c:ptCount val="1"/>
                <c:pt idx="0">
                  <c:v>Indebitamento procapite</c:v>
                </c:pt>
              </c:strCache>
            </c:strRef>
          </c:tx>
          <c:invertIfNegative val="0"/>
          <c:dLbls>
            <c:dLbl>
              <c:idx val="7"/>
              <c:layout>
                <c:manualLayout>
                  <c:x val="-5.7257371886630408E-3"/>
                  <c:y val="1.1540680900173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Piano_indicatori!$D$52:$K$52</c:f>
              <c:numCache>
                <c:formatCode>0.00</c:formatCode>
                <c:ptCount val="8"/>
                <c:pt idx="0">
                  <c:v>480.2</c:v>
                </c:pt>
                <c:pt idx="1">
                  <c:v>388.54</c:v>
                </c:pt>
                <c:pt idx="2">
                  <c:v>347.89</c:v>
                </c:pt>
                <c:pt idx="3">
                  <c:v>344.92</c:v>
                </c:pt>
                <c:pt idx="4">
                  <c:v>379.66</c:v>
                </c:pt>
                <c:pt idx="5">
                  <c:v>434.41</c:v>
                </c:pt>
                <c:pt idx="6">
                  <c:v>455.83</c:v>
                </c:pt>
                <c:pt idx="7">
                  <c:v>534.37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10-4DD5-8C34-963CC30C4CFD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Piano_indicatori!$D$92:$K$92</c:f>
              <c:numCache>
                <c:formatCode>0.00</c:formatCode>
                <c:ptCount val="8"/>
                <c:pt idx="0">
                  <c:v>1806.715247780151</c:v>
                </c:pt>
                <c:pt idx="1">
                  <c:v>1760.2223341478993</c:v>
                </c:pt>
                <c:pt idx="2">
                  <c:v>1723.4313709635639</c:v>
                </c:pt>
                <c:pt idx="3">
                  <c:v>1688.3834954123995</c:v>
                </c:pt>
                <c:pt idx="4">
                  <c:v>1744.0187221199872</c:v>
                </c:pt>
                <c:pt idx="5">
                  <c:v>1744.7789254873785</c:v>
                </c:pt>
                <c:pt idx="6">
                  <c:v>1726.9557160967668</c:v>
                </c:pt>
                <c:pt idx="7">
                  <c:v>1697.0701833805592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910-4DD5-8C34-963CC30C4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6926448"/>
        <c:axId val="1826928080"/>
      </c:barChart>
      <c:catAx>
        <c:axId val="1826926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826928080"/>
        <c:crosses val="autoZero"/>
        <c:auto val="1"/>
        <c:lblAlgn val="ctr"/>
        <c:lblOffset val="100"/>
        <c:noMultiLvlLbl val="0"/>
      </c:catAx>
      <c:valAx>
        <c:axId val="1826928080"/>
        <c:scaling>
          <c:orientation val="minMax"/>
          <c:max val="1850"/>
          <c:min val="0"/>
        </c:scaling>
        <c:delete val="1"/>
        <c:axPos val="l"/>
        <c:numFmt formatCode="0" sourceLinked="0"/>
        <c:majorTickMark val="none"/>
        <c:minorTickMark val="none"/>
        <c:tickLblPos val="none"/>
        <c:crossAx val="1826926448"/>
        <c:crosses val="autoZero"/>
        <c:crossBetween val="between"/>
        <c:majorUnit val="10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37752097937642"/>
          <c:y val="7.7745360071207401E-3"/>
          <c:w val="0.87944588737157514"/>
          <c:h val="0.9494655159537152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Popolazione!$A$1</c:f>
              <c:strCache>
                <c:ptCount val="1"/>
                <c:pt idx="0">
                  <c:v>al 1° gennaio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Popolazione!$A$2:$A$11</c:f>
              <c:numCache>
                <c:formatCode>General</c:formatCode>
                <c:ptCount val="10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  <c:pt idx="5">
                  <c:v>2019</c:v>
                </c:pt>
                <c:pt idx="6">
                  <c:v>2018</c:v>
                </c:pt>
                <c:pt idx="7">
                  <c:v>2017</c:v>
                </c:pt>
                <c:pt idx="8">
                  <c:v>2016</c:v>
                </c:pt>
                <c:pt idx="9">
                  <c:v>2015</c:v>
                </c:pt>
              </c:numCache>
            </c:numRef>
          </c:cat>
          <c:val>
            <c:numRef>
              <c:f>Popolazione!$B$2:$B$11</c:f>
              <c:numCache>
                <c:formatCode>#,##0</c:formatCode>
                <c:ptCount val="10"/>
                <c:pt idx="0">
                  <c:v>171342</c:v>
                </c:pt>
                <c:pt idx="1">
                  <c:v>170451</c:v>
                </c:pt>
                <c:pt idx="2">
                  <c:v>169908</c:v>
                </c:pt>
                <c:pt idx="3">
                  <c:v>170601</c:v>
                </c:pt>
                <c:pt idx="4">
                  <c:v>171084</c:v>
                </c:pt>
                <c:pt idx="5">
                  <c:v>170887</c:v>
                </c:pt>
                <c:pt idx="6">
                  <c:v>170151</c:v>
                </c:pt>
                <c:pt idx="7">
                  <c:v>169875</c:v>
                </c:pt>
                <c:pt idx="8">
                  <c:v>169363</c:v>
                </c:pt>
                <c:pt idx="9">
                  <c:v>168710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94-47EF-9023-381B80469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6929712"/>
        <c:axId val="1826924816"/>
      </c:barChart>
      <c:catAx>
        <c:axId val="1826929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0"/>
            </a:pPr>
            <a:endParaRPr lang="it-IT"/>
          </a:p>
        </c:txPr>
        <c:crossAx val="1826924816"/>
        <c:crosses val="autoZero"/>
        <c:auto val="1"/>
        <c:lblAlgn val="ctr"/>
        <c:lblOffset val="100"/>
        <c:noMultiLvlLbl val="0"/>
      </c:catAx>
      <c:valAx>
        <c:axId val="1826924816"/>
        <c:scaling>
          <c:orientation val="minMax"/>
          <c:max val="200000"/>
          <c:min val="0"/>
        </c:scaling>
        <c:delete val="1"/>
        <c:axPos val="b"/>
        <c:numFmt formatCode="#,##0" sourceLinked="1"/>
        <c:majorTickMark val="none"/>
        <c:minorTickMark val="none"/>
        <c:tickLblPos val="none"/>
        <c:crossAx val="1826929712"/>
        <c:crosses val="autoZero"/>
        <c:crossBetween val="between"/>
        <c:majorUnit val="1000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Risultato_amministrazione!$A$3</c:f>
              <c:strCache>
                <c:ptCount val="1"/>
                <c:pt idx="0">
                  <c:v>Residui attivi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Risultato_amministrazione!$B$1:$K$1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Risultato_amministrazione!$B$3:$K$3</c:f>
              <c:numCache>
                <c:formatCode>#,##0</c:formatCode>
                <c:ptCount val="10"/>
                <c:pt idx="0">
                  <c:v>66953901.979999997</c:v>
                </c:pt>
                <c:pt idx="1">
                  <c:v>73427371.280000001</c:v>
                </c:pt>
                <c:pt idx="2">
                  <c:v>78289425.269999996</c:v>
                </c:pt>
                <c:pt idx="3">
                  <c:v>74315807.659999996</c:v>
                </c:pt>
                <c:pt idx="4">
                  <c:v>87442471.980000004</c:v>
                </c:pt>
                <c:pt idx="5">
                  <c:v>104096473.76000001</c:v>
                </c:pt>
                <c:pt idx="6">
                  <c:v>112135787.2</c:v>
                </c:pt>
                <c:pt idx="7">
                  <c:v>137388926.63</c:v>
                </c:pt>
                <c:pt idx="8">
                  <c:v>126346694.09</c:v>
                </c:pt>
                <c:pt idx="9">
                  <c:v>132206196.41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570-4566-BAA9-AA8B82BC92A7}"/>
            </c:ext>
          </c:extLst>
        </c:ser>
        <c:ser>
          <c:idx val="1"/>
          <c:order val="1"/>
          <c:tx>
            <c:strRef>
              <c:f>Risultato_amministrazione!$A$8</c:f>
              <c:strCache>
                <c:ptCount val="1"/>
                <c:pt idx="0">
                  <c:v>Fondo crediti di dubbia esigibilità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Risultato_amministrazione!$B$1:$K$1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Risultato_amministrazione!$B$8:$K$8</c:f>
              <c:numCache>
                <c:formatCode>#,##0</c:formatCode>
                <c:ptCount val="10"/>
                <c:pt idx="0">
                  <c:v>17267014</c:v>
                </c:pt>
                <c:pt idx="1">
                  <c:v>23600401.440000001</c:v>
                </c:pt>
                <c:pt idx="2">
                  <c:v>31243382.469999999</c:v>
                </c:pt>
                <c:pt idx="3">
                  <c:v>38822773.340000004</c:v>
                </c:pt>
                <c:pt idx="4">
                  <c:v>46910660.280000001</c:v>
                </c:pt>
                <c:pt idx="5">
                  <c:v>58423741.960000001</c:v>
                </c:pt>
                <c:pt idx="6">
                  <c:v>54716832.140000001</c:v>
                </c:pt>
                <c:pt idx="7">
                  <c:v>62356770.350000001</c:v>
                </c:pt>
                <c:pt idx="8">
                  <c:v>56887302.030000001</c:v>
                </c:pt>
                <c:pt idx="9">
                  <c:v>53106373.590000004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570-4566-BAA9-AA8B82BC9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64541856"/>
        <c:axId val="1064543488"/>
      </c:barChart>
      <c:lineChart>
        <c:grouping val="standard"/>
        <c:varyColors val="0"/>
        <c:ser>
          <c:idx val="2"/>
          <c:order val="2"/>
          <c:tx>
            <c:strRef>
              <c:f>Risultato_amministrazione!$A$23</c:f>
              <c:strCache>
                <c:ptCount val="1"/>
                <c:pt idx="0">
                  <c:v>Rapporto Fcde/Residui attivi (scala dx)</c:v>
                </c:pt>
              </c:strCache>
            </c:strRef>
          </c:tx>
          <c:spPr>
            <a:ln w="444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Risultato_amministrazione!$B$1:$K$1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Risultato_amministrazione!$B$23:$K$23</c:f>
              <c:numCache>
                <c:formatCode>0.0</c:formatCode>
                <c:ptCount val="10"/>
                <c:pt idx="0">
                  <c:v>25.789406575822692</c:v>
                </c:pt>
                <c:pt idx="1">
                  <c:v>32.141149858143194</c:v>
                </c:pt>
                <c:pt idx="2">
                  <c:v>39.907538422015037</c:v>
                </c:pt>
                <c:pt idx="3">
                  <c:v>52.240262956727726</c:v>
                </c:pt>
                <c:pt idx="4">
                  <c:v>53.647454398052119</c:v>
                </c:pt>
                <c:pt idx="5">
                  <c:v>56.124611958229309</c:v>
                </c:pt>
                <c:pt idx="6">
                  <c:v>48.795155860822284</c:v>
                </c:pt>
                <c:pt idx="7">
                  <c:v>45.387042376371468</c:v>
                </c:pt>
                <c:pt idx="8">
                  <c:v>45.024764945157735</c:v>
                </c:pt>
                <c:pt idx="9">
                  <c:v>40.169352898789754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570-4566-BAA9-AA8B82BC9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4538048"/>
        <c:axId val="1064540224"/>
      </c:lineChart>
      <c:catAx>
        <c:axId val="1064541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64543488"/>
        <c:crosses val="autoZero"/>
        <c:auto val="1"/>
        <c:lblAlgn val="ctr"/>
        <c:lblOffset val="100"/>
        <c:noMultiLvlLbl val="0"/>
      </c:catAx>
      <c:valAx>
        <c:axId val="106454348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64541856"/>
        <c:crosses val="autoZero"/>
        <c:crossBetween val="between"/>
      </c:valAx>
      <c:valAx>
        <c:axId val="1064540224"/>
        <c:scaling>
          <c:orientation val="minMax"/>
          <c:min val="25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64538048"/>
        <c:crosses val="max"/>
        <c:crossBetween val="between"/>
      </c:valAx>
      <c:catAx>
        <c:axId val="1064538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06454022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485392943945118E-2"/>
          <c:y val="1.9227205294990449E-2"/>
          <c:w val="0.89006125064931663"/>
          <c:h val="0.9612494959869146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Conto_economico!$A$28</c:f>
              <c:strCache>
                <c:ptCount val="1"/>
                <c:pt idx="0">
                  <c:v>Risultato dell'esercizio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4452-41DC-B25A-48B8A55670DF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0A2-4EFB-BB24-56072C6EA77E}"/>
              </c:ext>
            </c:extLst>
          </c:dPt>
          <c:dLbls>
            <c:dLbl>
              <c:idx val="2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452-41DC-B25A-48B8A55670D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1116550630506734E-3"/>
                  <c:y val="-1.587158273894097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FF0-400E-A76F-DD5742C30CC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231323659293419E-4"/>
                  <c:y val="3.86461951761159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3EF-4EE1-84EC-90209335CF23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FF000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rgbClr val="0070C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Conto_economico!$C$1:$L$1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Conto_economico!$C$28:$L$28</c:f>
              <c:numCache>
                <c:formatCode>#,##0</c:formatCode>
                <c:ptCount val="10"/>
                <c:pt idx="0">
                  <c:v>284771.80999997817</c:v>
                </c:pt>
                <c:pt idx="1">
                  <c:v>298063.78999996278</c:v>
                </c:pt>
                <c:pt idx="2">
                  <c:v>2004139.0200000168</c:v>
                </c:pt>
                <c:pt idx="3">
                  <c:v>1219471.229999986</c:v>
                </c:pt>
                <c:pt idx="4">
                  <c:v>1171285.1800000062</c:v>
                </c:pt>
                <c:pt idx="5">
                  <c:v>555226.18999998271</c:v>
                </c:pt>
                <c:pt idx="6">
                  <c:v>-1549455.439999985</c:v>
                </c:pt>
                <c:pt idx="7">
                  <c:v>2504380.2100000237</c:v>
                </c:pt>
                <c:pt idx="8">
                  <c:v>2048177.0000000172</c:v>
                </c:pt>
                <c:pt idx="9">
                  <c:v>141478.12000000291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452-41DC-B25A-48B8A5567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4539136"/>
        <c:axId val="1064539680"/>
      </c:barChart>
      <c:catAx>
        <c:axId val="1064539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1"/>
            </a:pPr>
            <a:endParaRPr lang="it-IT"/>
          </a:p>
        </c:txPr>
        <c:crossAx val="1064539680"/>
        <c:crosses val="autoZero"/>
        <c:auto val="1"/>
        <c:lblAlgn val="ctr"/>
        <c:lblOffset val="100"/>
        <c:noMultiLvlLbl val="0"/>
      </c:catAx>
      <c:valAx>
        <c:axId val="1064539680"/>
        <c:scaling>
          <c:orientation val="minMax"/>
          <c:max val="2800000"/>
          <c:min val="-2000000"/>
        </c:scaling>
        <c:delete val="1"/>
        <c:axPos val="b"/>
        <c:numFmt formatCode="#,##0" sourceLinked="1"/>
        <c:majorTickMark val="out"/>
        <c:minorTickMark val="none"/>
        <c:tickLblPos val="nextTo"/>
        <c:crossAx val="106453913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Stato_patrimoniale!$A$21</c:f>
              <c:strCache>
                <c:ptCount val="1"/>
                <c:pt idx="0">
                  <c:v>Debiti da finanziamento (D1)</c:v>
                </c:pt>
              </c:strCache>
            </c:strRef>
          </c:tx>
          <c:invertIfNegative val="0"/>
          <c:cat>
            <c:numRef>
              <c:f>Stato_patrimoniale!$B$1:$K$1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Stato_patrimoniale!$B$21:$K$21</c:f>
              <c:numCache>
                <c:formatCode>#,##0</c:formatCode>
                <c:ptCount val="10"/>
                <c:pt idx="0">
                  <c:v>97553210.24000001</c:v>
                </c:pt>
                <c:pt idx="1">
                  <c:v>89589151.159999996</c:v>
                </c:pt>
                <c:pt idx="2">
                  <c:v>82279699.530000001</c:v>
                </c:pt>
                <c:pt idx="3">
                  <c:v>66630657.109999999</c:v>
                </c:pt>
                <c:pt idx="4">
                  <c:v>59836444.009999998</c:v>
                </c:pt>
                <c:pt idx="5">
                  <c:v>59454096.520000003</c:v>
                </c:pt>
                <c:pt idx="6">
                  <c:v>65443086.299999997</c:v>
                </c:pt>
                <c:pt idx="7">
                  <c:v>74388101.689999998</c:v>
                </c:pt>
                <c:pt idx="8">
                  <c:v>77620495.930000007</c:v>
                </c:pt>
                <c:pt idx="9">
                  <c:v>90932350.920000002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78-494A-A3FF-551A6B06C6B4}"/>
            </c:ext>
          </c:extLst>
        </c:ser>
        <c:ser>
          <c:idx val="1"/>
          <c:order val="1"/>
          <c:tx>
            <c:strRef>
              <c:f>Stato_patrimoniale!$A$22</c:f>
              <c:strCache>
                <c:ptCount val="1"/>
                <c:pt idx="0">
                  <c:v>Debiti verso fornitori (D2)</c:v>
                </c:pt>
              </c:strCache>
            </c:strRef>
          </c:tx>
          <c:invertIfNegative val="0"/>
          <c:cat>
            <c:numRef>
              <c:f>Stato_patrimoniale!$B$1:$K$1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Stato_patrimoniale!$B$22:$K$22</c:f>
              <c:numCache>
                <c:formatCode>#,##0</c:formatCode>
                <c:ptCount val="10"/>
                <c:pt idx="0">
                  <c:v>23457088.039999999</c:v>
                </c:pt>
                <c:pt idx="1">
                  <c:v>30644321.02</c:v>
                </c:pt>
                <c:pt idx="2">
                  <c:v>30450720.969999999</c:v>
                </c:pt>
                <c:pt idx="3">
                  <c:v>27931567.370000001</c:v>
                </c:pt>
                <c:pt idx="4">
                  <c:v>25387999.710000001</c:v>
                </c:pt>
                <c:pt idx="5">
                  <c:v>29608815.079999998</c:v>
                </c:pt>
                <c:pt idx="6">
                  <c:v>28321861.75</c:v>
                </c:pt>
                <c:pt idx="7">
                  <c:v>28438766.809999999</c:v>
                </c:pt>
                <c:pt idx="8">
                  <c:v>28779794.670000002</c:v>
                </c:pt>
                <c:pt idx="9">
                  <c:v>26025939.649999999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78-494A-A3FF-551A6B06C6B4}"/>
            </c:ext>
          </c:extLst>
        </c:ser>
        <c:ser>
          <c:idx val="2"/>
          <c:order val="2"/>
          <c:tx>
            <c:strRef>
              <c:f>Stato_patrimoniale!$A$23</c:f>
              <c:strCache>
                <c:ptCount val="1"/>
                <c:pt idx="0">
                  <c:v>Debiti per trasferimenti e contributi (D4)</c:v>
                </c:pt>
              </c:strCache>
            </c:strRef>
          </c:tx>
          <c:invertIfNegative val="0"/>
          <c:cat>
            <c:numRef>
              <c:f>Stato_patrimoniale!$B$1:$K$1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Stato_patrimoniale!$B$23:$K$23</c:f>
              <c:numCache>
                <c:formatCode>#,##0</c:formatCode>
                <c:ptCount val="10"/>
                <c:pt idx="0">
                  <c:v>6494415.5899999999</c:v>
                </c:pt>
                <c:pt idx="1">
                  <c:v>7538404.7599999998</c:v>
                </c:pt>
                <c:pt idx="2">
                  <c:v>8645739.9199999999</c:v>
                </c:pt>
                <c:pt idx="3">
                  <c:v>7586524.4500000002</c:v>
                </c:pt>
                <c:pt idx="4">
                  <c:v>10364708.539999999</c:v>
                </c:pt>
                <c:pt idx="5">
                  <c:v>10445317.73</c:v>
                </c:pt>
                <c:pt idx="6">
                  <c:v>16487031.560000001</c:v>
                </c:pt>
                <c:pt idx="7">
                  <c:v>13651599.359999999</c:v>
                </c:pt>
                <c:pt idx="8">
                  <c:v>13070568.74</c:v>
                </c:pt>
                <c:pt idx="9">
                  <c:v>12822401.800000001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978-494A-A3FF-551A6B06C6B4}"/>
            </c:ext>
          </c:extLst>
        </c:ser>
        <c:ser>
          <c:idx val="3"/>
          <c:order val="3"/>
          <c:tx>
            <c:strRef>
              <c:f>Stato_patrimoniale!$A$24</c:f>
              <c:strCache>
                <c:ptCount val="1"/>
                <c:pt idx="0">
                  <c:v>Altri debiti (D5)</c:v>
                </c:pt>
              </c:strCache>
            </c:strRef>
          </c:tx>
          <c:invertIfNegative val="0"/>
          <c:cat>
            <c:numRef>
              <c:f>Stato_patrimoniale!$B$1:$K$1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Stato_patrimoniale!$B$24:$K$24</c:f>
              <c:numCache>
                <c:formatCode>#,##0</c:formatCode>
                <c:ptCount val="10"/>
                <c:pt idx="0">
                  <c:v>7795076.2000000002</c:v>
                </c:pt>
                <c:pt idx="1">
                  <c:v>10577313.060000001</c:v>
                </c:pt>
                <c:pt idx="2">
                  <c:v>10614219.41</c:v>
                </c:pt>
                <c:pt idx="3">
                  <c:v>8830967.4800000004</c:v>
                </c:pt>
                <c:pt idx="4">
                  <c:v>8762217.2100000009</c:v>
                </c:pt>
                <c:pt idx="5">
                  <c:v>9248858.8900000006</c:v>
                </c:pt>
                <c:pt idx="6">
                  <c:v>10557286.300000001</c:v>
                </c:pt>
                <c:pt idx="7">
                  <c:v>11300689.359999999</c:v>
                </c:pt>
                <c:pt idx="8">
                  <c:v>13434600.880000001</c:v>
                </c:pt>
                <c:pt idx="9">
                  <c:v>12298993.310000001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978-494A-A3FF-551A6B06C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64540768"/>
        <c:axId val="1064542400"/>
      </c:barChart>
      <c:catAx>
        <c:axId val="1064540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064542400"/>
        <c:crosses val="autoZero"/>
        <c:auto val="1"/>
        <c:lblAlgn val="ctr"/>
        <c:lblOffset val="100"/>
        <c:noMultiLvlLbl val="0"/>
      </c:catAx>
      <c:valAx>
        <c:axId val="1064542400"/>
        <c:scaling>
          <c:orientation val="minMax"/>
          <c:max val="150000000"/>
          <c:min val="0"/>
        </c:scaling>
        <c:delete val="0"/>
        <c:axPos val="l"/>
        <c:numFmt formatCode="#,##0" sourceLinked="1"/>
        <c:majorTickMark val="none"/>
        <c:minorTickMark val="none"/>
        <c:tickLblPos val="nextTo"/>
        <c:crossAx val="1064540768"/>
        <c:crosses val="autoZero"/>
        <c:crossBetween val="between"/>
        <c:majorUnit val="50000000"/>
      </c:valAx>
      <c:spPr>
        <a:noFill/>
        <a:ln>
          <a:noFill/>
        </a:ln>
      </c:spPr>
    </c:plotArea>
    <c:legend>
      <c:legendPos val="b"/>
      <c:layout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140016946700559E-2"/>
          <c:y val="1.2121212121212118E-2"/>
          <c:w val="0.85667982447076563"/>
          <c:h val="0.832514197089000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Stato_patrimoniale!$A$14</c:f>
              <c:strCache>
                <c:ptCount val="1"/>
                <c:pt idx="0">
                  <c:v>Fondo di dotazione (A1)</c:v>
                </c:pt>
              </c:strCache>
            </c:strRef>
          </c:tx>
          <c:invertIfNegative val="0"/>
          <c:cat>
            <c:numRef>
              <c:f>Stato_patrimoniale!$B$1:$K$1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Stato_patrimoniale!$B$14:$K$14</c:f>
              <c:numCache>
                <c:formatCode>#,##0</c:formatCode>
                <c:ptCount val="10"/>
                <c:pt idx="0">
                  <c:v>338700495.08999997</c:v>
                </c:pt>
                <c:pt idx="1">
                  <c:v>338700495.08999997</c:v>
                </c:pt>
                <c:pt idx="2">
                  <c:v>338700495.08999997</c:v>
                </c:pt>
                <c:pt idx="3">
                  <c:v>130667043.69</c:v>
                </c:pt>
                <c:pt idx="4">
                  <c:v>130667043.69</c:v>
                </c:pt>
                <c:pt idx="5">
                  <c:v>130667043.69</c:v>
                </c:pt>
                <c:pt idx="6">
                  <c:v>130667043.69</c:v>
                </c:pt>
                <c:pt idx="7">
                  <c:v>130667043.69</c:v>
                </c:pt>
                <c:pt idx="8">
                  <c:v>130667043.69</c:v>
                </c:pt>
                <c:pt idx="9">
                  <c:v>130667043.69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74-44E8-A59E-6B7D2C2D3CAD}"/>
            </c:ext>
          </c:extLst>
        </c:ser>
        <c:ser>
          <c:idx val="1"/>
          <c:order val="1"/>
          <c:tx>
            <c:strRef>
              <c:f>Stato_patrimoniale!$A$15</c:f>
              <c:strCache>
                <c:ptCount val="1"/>
                <c:pt idx="0">
                  <c:v>Riserve (A2)</c:v>
                </c:pt>
              </c:strCache>
            </c:strRef>
          </c:tx>
          <c:invertIfNegative val="0"/>
          <c:cat>
            <c:numRef>
              <c:f>Stato_patrimoniale!$B$1:$K$1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Stato_patrimoniale!$B$15:$K$15</c:f>
              <c:numCache>
                <c:formatCode>#,##0</c:formatCode>
                <c:ptCount val="10"/>
                <c:pt idx="0">
                  <c:v>507226621.19</c:v>
                </c:pt>
                <c:pt idx="1">
                  <c:v>546703584.41999996</c:v>
                </c:pt>
                <c:pt idx="2">
                  <c:v>552054839.44000006</c:v>
                </c:pt>
                <c:pt idx="3">
                  <c:v>768411536.09000003</c:v>
                </c:pt>
                <c:pt idx="4">
                  <c:v>775975275.25</c:v>
                </c:pt>
                <c:pt idx="5">
                  <c:v>791976179.95000005</c:v>
                </c:pt>
                <c:pt idx="6">
                  <c:v>470465176.05000001</c:v>
                </c:pt>
                <c:pt idx="7">
                  <c:v>472047843.25999999</c:v>
                </c:pt>
                <c:pt idx="8">
                  <c:v>489621916.25999999</c:v>
                </c:pt>
                <c:pt idx="9">
                  <c:v>507267947.01999998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374-44E8-A59E-6B7D2C2D3CAD}"/>
            </c:ext>
          </c:extLst>
        </c:ser>
        <c:ser>
          <c:idx val="2"/>
          <c:order val="2"/>
          <c:tx>
            <c:strRef>
              <c:f>Stato_patrimoniale!$A$17</c:f>
              <c:strCache>
                <c:ptCount val="1"/>
                <c:pt idx="0">
                  <c:v>Risultato economico dell'esercizio (A3)</c:v>
                </c:pt>
              </c:strCache>
            </c:strRef>
          </c:tx>
          <c:invertIfNegative val="0"/>
          <c:cat>
            <c:numRef>
              <c:f>Stato_patrimoniale!$B$1:$K$1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Stato_patrimoniale!$B$17:$K$17</c:f>
              <c:numCache>
                <c:formatCode>#,##0</c:formatCode>
                <c:ptCount val="10"/>
                <c:pt idx="0">
                  <c:v>284771.81</c:v>
                </c:pt>
                <c:pt idx="1">
                  <c:v>298063.78999999998</c:v>
                </c:pt>
                <c:pt idx="2">
                  <c:v>2004139.02</c:v>
                </c:pt>
                <c:pt idx="3">
                  <c:v>1219471.23</c:v>
                </c:pt>
                <c:pt idx="4">
                  <c:v>1171285.18</c:v>
                </c:pt>
                <c:pt idx="5">
                  <c:v>555226.18999999994</c:v>
                </c:pt>
                <c:pt idx="6">
                  <c:v>-1549455.44</c:v>
                </c:pt>
                <c:pt idx="7">
                  <c:v>2504380.21</c:v>
                </c:pt>
                <c:pt idx="8">
                  <c:v>2048177</c:v>
                </c:pt>
                <c:pt idx="9">
                  <c:v>141478.12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374-44E8-A59E-6B7D2C2D3CAD}"/>
            </c:ext>
          </c:extLst>
        </c:ser>
        <c:ser>
          <c:idx val="3"/>
          <c:order val="3"/>
          <c:tx>
            <c:strRef>
              <c:f>Stato_patrimoniale!$A$18</c:f>
              <c:strCache>
                <c:ptCount val="1"/>
                <c:pt idx="0">
                  <c:v>Risultato economico di esercizi precedenti (A4)</c:v>
                </c:pt>
              </c:strCache>
            </c:strRef>
          </c:tx>
          <c:invertIfNegative val="0"/>
          <c:cat>
            <c:numRef>
              <c:f>Stato_patrimoniale!$B$1:$K$1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Stato_patrimoniale!$B$18:$K$18</c:f>
              <c:numCache>
                <c:formatCode>#,##0</c:formatCode>
                <c:ptCount val="10"/>
                <c:pt idx="6">
                  <c:v>327013466.67000002</c:v>
                </c:pt>
                <c:pt idx="7">
                  <c:v>331016157.95999998</c:v>
                </c:pt>
                <c:pt idx="8">
                  <c:v>327360447.68000001</c:v>
                </c:pt>
                <c:pt idx="9">
                  <c:v>332702437.41000003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DD0-4B42-9B0A-57A2F788B1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64542944"/>
        <c:axId val="1446371712"/>
      </c:barChart>
      <c:catAx>
        <c:axId val="10645429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it-IT"/>
          </a:p>
        </c:txPr>
        <c:crossAx val="1446371712"/>
        <c:crosses val="autoZero"/>
        <c:auto val="1"/>
        <c:lblAlgn val="ctr"/>
        <c:lblOffset val="100"/>
        <c:noMultiLvlLbl val="0"/>
      </c:catAx>
      <c:valAx>
        <c:axId val="1446371712"/>
        <c:scaling>
          <c:orientation val="minMax"/>
          <c:max val="1050000000"/>
          <c:min val="0"/>
        </c:scaling>
        <c:delete val="0"/>
        <c:axPos val="b"/>
        <c:numFmt formatCode="#,##0" sourceLinked="0"/>
        <c:majorTickMark val="none"/>
        <c:minorTickMark val="none"/>
        <c:tickLblPos val="nextTo"/>
        <c:crossAx val="1064542944"/>
        <c:crosses val="autoZero"/>
        <c:crossBetween val="between"/>
        <c:majorUnit val="500000000"/>
      </c:val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133228191836882E-2"/>
          <c:y val="3.0301278829508276E-2"/>
          <c:w val="0.91226637907374497"/>
          <c:h val="0.68340956050706358"/>
        </c:manualLayout>
      </c:layout>
      <c:lineChart>
        <c:grouping val="standard"/>
        <c:varyColors val="0"/>
        <c:ser>
          <c:idx val="0"/>
          <c:order val="0"/>
          <c:tx>
            <c:strRef>
              <c:f>Piano_indicatori!$A$72</c:f>
              <c:strCache>
                <c:ptCount val="1"/>
                <c:pt idx="0">
                  <c:v>Entrate natura tributaria, contributiva e perequativa (Titolo 1)</c:v>
                </c:pt>
              </c:strCache>
            </c:strRef>
          </c:tx>
          <c:marker>
            <c:symbol val="triangl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Piano_indicatori!$D$73:$K$73</c:f>
              <c:numCache>
                <c:formatCode>0.00</c:formatCode>
                <c:ptCount val="8"/>
                <c:pt idx="0">
                  <c:v>80.400000000000006</c:v>
                </c:pt>
                <c:pt idx="1">
                  <c:v>78.207749591706516</c:v>
                </c:pt>
                <c:pt idx="2">
                  <c:v>74.222123384522462</c:v>
                </c:pt>
                <c:pt idx="3">
                  <c:v>71.027999073798739</c:v>
                </c:pt>
                <c:pt idx="4">
                  <c:v>69.975145912446052</c:v>
                </c:pt>
                <c:pt idx="5">
                  <c:v>67.86211316229361</c:v>
                </c:pt>
                <c:pt idx="6">
                  <c:v>70.921714006446194</c:v>
                </c:pt>
                <c:pt idx="7">
                  <c:v>71.96425897339752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3F0-4554-BA49-E20421A575FC}"/>
            </c:ext>
          </c:extLst>
        </c:ser>
        <c:ser>
          <c:idx val="1"/>
          <c:order val="1"/>
          <c:tx>
            <c:strRef>
              <c:f>Piano_indicatori!$A$76</c:f>
              <c:strCache>
                <c:ptCount val="1"/>
                <c:pt idx="0">
                  <c:v>Totale Entrate</c:v>
                </c:pt>
              </c:strCache>
            </c:strRef>
          </c:tx>
          <c:marker>
            <c:symbol val="squar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Piano_indicatori!$D$76:$K$76</c:f>
              <c:numCache>
                <c:formatCode>0.00</c:formatCode>
                <c:ptCount val="8"/>
                <c:pt idx="0">
                  <c:v>71.795005849921381</c:v>
                </c:pt>
                <c:pt idx="1">
                  <c:v>76.976624940981466</c:v>
                </c:pt>
                <c:pt idx="2">
                  <c:v>71.475564637641426</c:v>
                </c:pt>
                <c:pt idx="3">
                  <c:v>69.917430494658404</c:v>
                </c:pt>
                <c:pt idx="4">
                  <c:v>67.438075922132455</c:v>
                </c:pt>
                <c:pt idx="5">
                  <c:v>62.967267950143388</c:v>
                </c:pt>
                <c:pt idx="6">
                  <c:v>67.347477902710551</c:v>
                </c:pt>
                <c:pt idx="7">
                  <c:v>64.673095868731068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3F0-4554-BA49-E20421A575FC}"/>
            </c:ext>
          </c:extLst>
        </c:ser>
        <c:ser>
          <c:idx val="2"/>
          <c:order val="2"/>
          <c:tx>
            <c:strRef>
              <c:f>Piano_indicatori!$A$77</c:f>
              <c:strCache>
                <c:ptCount val="1"/>
                <c:pt idx="0">
                  <c:v>Totale Entrate nette</c:v>
                </c:pt>
              </c:strCache>
            </c:strRef>
          </c:tx>
          <c:marker>
            <c:symbol val="diamond"/>
            <c:size val="7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Piano_indicatori!$D$77:$K$77</c:f>
              <c:numCache>
                <c:formatCode>0.00</c:formatCode>
                <c:ptCount val="8"/>
                <c:pt idx="0">
                  <c:v>69.784038146334723</c:v>
                </c:pt>
                <c:pt idx="1">
                  <c:v>75.362095219984823</c:v>
                </c:pt>
                <c:pt idx="2">
                  <c:v>69.336104967707541</c:v>
                </c:pt>
                <c:pt idx="3">
                  <c:v>67.812272551054988</c:v>
                </c:pt>
                <c:pt idx="4">
                  <c:v>65.078583611287883</c:v>
                </c:pt>
                <c:pt idx="5">
                  <c:v>60.553911794952718</c:v>
                </c:pt>
                <c:pt idx="6">
                  <c:v>65.103000277710635</c:v>
                </c:pt>
                <c:pt idx="7">
                  <c:v>61.996285570940735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3F0-4554-BA49-E20421A57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6371168"/>
        <c:axId val="1446372256"/>
      </c:lineChart>
      <c:catAx>
        <c:axId val="1446371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446372256"/>
        <c:crosses val="autoZero"/>
        <c:auto val="1"/>
        <c:lblAlgn val="ctr"/>
        <c:lblOffset val="100"/>
        <c:noMultiLvlLbl val="0"/>
      </c:catAx>
      <c:valAx>
        <c:axId val="1446372256"/>
        <c:scaling>
          <c:orientation val="minMax"/>
          <c:max val="82"/>
          <c:min val="60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1446371168"/>
        <c:crosses val="autoZero"/>
        <c:crossBetween val="between"/>
        <c:majorUnit val="5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5626467744163592E-2"/>
          <c:y val="0.82043195398447966"/>
          <c:w val="0.96177967444791534"/>
          <c:h val="0.17956804601552595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78781011404414E-2"/>
          <c:y val="4.1350142172088745E-2"/>
          <c:w val="0.9029842635309353"/>
          <c:h val="0.6784728934600847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Piano_indicatori!$B$79</c:f>
              <c:strCache>
                <c:ptCount val="1"/>
                <c:pt idx="0">
                  <c:v>Istruzione e diritto allo studio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Piano_indicatori!$D$79:$K$79</c:f>
              <c:numCache>
                <c:formatCode>0.00</c:formatCode>
                <c:ptCount val="8"/>
                <c:pt idx="0">
                  <c:v>12.51646903820817</c:v>
                </c:pt>
                <c:pt idx="1">
                  <c:v>12.151981657386179</c:v>
                </c:pt>
                <c:pt idx="2">
                  <c:v>11.244097946634458</c:v>
                </c:pt>
                <c:pt idx="3">
                  <c:v>9.6179039301310052</c:v>
                </c:pt>
                <c:pt idx="4">
                  <c:v>10.393320149417711</c:v>
                </c:pt>
                <c:pt idx="5">
                  <c:v>9.543973941368078</c:v>
                </c:pt>
                <c:pt idx="6">
                  <c:v>10.205869469995621</c:v>
                </c:pt>
                <c:pt idx="7">
                  <c:v>11.021211458561119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AA-4FC4-8050-8C2A7299C75D}"/>
            </c:ext>
          </c:extLst>
        </c:ser>
        <c:ser>
          <c:idx val="1"/>
          <c:order val="1"/>
          <c:tx>
            <c:strRef>
              <c:f>Piano_indicatori!$B$80</c:f>
              <c:strCache>
                <c:ptCount val="1"/>
                <c:pt idx="0">
                  <c:v>Sviluppo sostenibile, tutela territ. e ambiente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Piano_indicatori!$D$80:$K$80</c:f>
              <c:numCache>
                <c:formatCode>0.00</c:formatCode>
                <c:ptCount val="8"/>
                <c:pt idx="0">
                  <c:v>20.67413263065437</c:v>
                </c:pt>
                <c:pt idx="1">
                  <c:v>19.172398733486187</c:v>
                </c:pt>
                <c:pt idx="2">
                  <c:v>18.864609640935544</c:v>
                </c:pt>
                <c:pt idx="3">
                  <c:v>16.495633187772928</c:v>
                </c:pt>
                <c:pt idx="4">
                  <c:v>18.13887057789497</c:v>
                </c:pt>
                <c:pt idx="5">
                  <c:v>17.448425624321391</c:v>
                </c:pt>
                <c:pt idx="6">
                  <c:v>3.5698642137538323</c:v>
                </c:pt>
                <c:pt idx="7">
                  <c:v>3.5753334791165532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AA-4FC4-8050-8C2A7299C75D}"/>
            </c:ext>
          </c:extLst>
        </c:ser>
        <c:ser>
          <c:idx val="2"/>
          <c:order val="2"/>
          <c:tx>
            <c:strRef>
              <c:f>Piano_indicatori!$B$81</c:f>
              <c:strCache>
                <c:ptCount val="1"/>
                <c:pt idx="0">
                  <c:v>Trasporti e diritto alla mobilità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Piano_indicatori!$D$81:$K$81</c:f>
              <c:numCache>
                <c:formatCode>0.00</c:formatCode>
                <c:ptCount val="8"/>
                <c:pt idx="0">
                  <c:v>9.8155467720685099</c:v>
                </c:pt>
                <c:pt idx="1">
                  <c:v>8.9529424609673534</c:v>
                </c:pt>
                <c:pt idx="2">
                  <c:v>11.189195124629405</c:v>
                </c:pt>
                <c:pt idx="3">
                  <c:v>11.2117903930131</c:v>
                </c:pt>
                <c:pt idx="4">
                  <c:v>10.865743792573062</c:v>
                </c:pt>
                <c:pt idx="5">
                  <c:v>11.140065146579806</c:v>
                </c:pt>
                <c:pt idx="6">
                  <c:v>20.740254051686378</c:v>
                </c:pt>
                <c:pt idx="7">
                  <c:v>16.892630658211239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AA-4FC4-8050-8C2A7299C75D}"/>
            </c:ext>
          </c:extLst>
        </c:ser>
        <c:ser>
          <c:idx val="3"/>
          <c:order val="3"/>
          <c:tx>
            <c:strRef>
              <c:f>Piano_indicatori!$B$82</c:f>
              <c:strCache>
                <c:ptCount val="1"/>
                <c:pt idx="0">
                  <c:v>Diritti sociali, politiche sociali e famiglia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Piano_indicatori!$D$82:$K$82</c:f>
              <c:numCache>
                <c:formatCode>0.00</c:formatCode>
                <c:ptCount val="8"/>
                <c:pt idx="0">
                  <c:v>14.503732981993853</c:v>
                </c:pt>
                <c:pt idx="1">
                  <c:v>14.630418167922263</c:v>
                </c:pt>
                <c:pt idx="2">
                  <c:v>15.076314922587022</c:v>
                </c:pt>
                <c:pt idx="3">
                  <c:v>15.513100436681224</c:v>
                </c:pt>
                <c:pt idx="4">
                  <c:v>16.886398593715668</c:v>
                </c:pt>
                <c:pt idx="5">
                  <c:v>17.068403908794792</c:v>
                </c:pt>
                <c:pt idx="6">
                  <c:v>17.783618046430135</c:v>
                </c:pt>
                <c:pt idx="7">
                  <c:v>17.996938552372622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3AA-4FC4-8050-8C2A7299C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46372800"/>
        <c:axId val="1446369536"/>
      </c:barChart>
      <c:catAx>
        <c:axId val="1446372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it-IT"/>
          </a:p>
        </c:txPr>
        <c:crossAx val="1446369536"/>
        <c:crosses val="autoZero"/>
        <c:auto val="1"/>
        <c:lblAlgn val="ctr"/>
        <c:lblOffset val="100"/>
        <c:noMultiLvlLbl val="0"/>
      </c:catAx>
      <c:valAx>
        <c:axId val="1446369536"/>
        <c:scaling>
          <c:orientation val="minMax"/>
          <c:max val="70"/>
          <c:min val="0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it-IT"/>
          </a:p>
        </c:txPr>
        <c:crossAx val="1446372800"/>
        <c:crosses val="autoZero"/>
        <c:crossBetween val="between"/>
        <c:majorUnit val="2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4972222222222232E-2"/>
          <c:y val="0.83298533234485483"/>
          <c:w val="0.95561111111111163"/>
          <c:h val="0.13923715055226607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133073571989068E-2"/>
          <c:y val="3.0301278829508282E-2"/>
          <c:w val="0.9122665336936"/>
          <c:h val="0.72979616909588463"/>
        </c:manualLayout>
      </c:layout>
      <c:lineChart>
        <c:grouping val="standard"/>
        <c:varyColors val="0"/>
        <c:ser>
          <c:idx val="0"/>
          <c:order val="0"/>
          <c:tx>
            <c:strRef>
              <c:f>Piano_indicatori!$B$84</c:f>
              <c:strCache>
                <c:ptCount val="1"/>
                <c:pt idx="0">
                  <c:v>Istruzione e diritto allo studio</c:v>
                </c:pt>
              </c:strCache>
            </c:strRef>
          </c:tx>
          <c:marker>
            <c:symbol val="triangle"/>
            <c:size val="5"/>
            <c:spPr>
              <a:solidFill>
                <a:srgbClr val="4BACC6">
                  <a:lumMod val="40000"/>
                  <a:lumOff val="60000"/>
                </a:srgbClr>
              </a:solidFill>
            </c:spPr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Piano_indicatori!$D$84:$K$84</c:f>
              <c:numCache>
                <c:formatCode>0.00</c:formatCode>
                <c:ptCount val="8"/>
                <c:pt idx="0">
                  <c:v>83.88</c:v>
                </c:pt>
                <c:pt idx="1">
                  <c:v>87.055679728011313</c:v>
                </c:pt>
                <c:pt idx="2">
                  <c:v>84.182591228476838</c:v>
                </c:pt>
                <c:pt idx="3">
                  <c:v>89.80029861046981</c:v>
                </c:pt>
                <c:pt idx="4">
                  <c:v>75.727953402406712</c:v>
                </c:pt>
                <c:pt idx="5">
                  <c:v>85.240331147231501</c:v>
                </c:pt>
                <c:pt idx="6">
                  <c:v>82.446795646118588</c:v>
                </c:pt>
                <c:pt idx="7">
                  <c:v>88.786107232024378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73A-469B-84B2-5562AE3617E1}"/>
            </c:ext>
          </c:extLst>
        </c:ser>
        <c:ser>
          <c:idx val="1"/>
          <c:order val="1"/>
          <c:tx>
            <c:strRef>
              <c:f>Piano_indicatori!$B$85</c:f>
              <c:strCache>
                <c:ptCount val="1"/>
                <c:pt idx="0">
                  <c:v>Sviluppo sostenibile, tutela territ. e ambiente</c:v>
                </c:pt>
              </c:strCache>
            </c:strRef>
          </c:tx>
          <c:marker>
            <c:symbol val="squar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Piano_indicatori!$D$85:$K$85</c:f>
              <c:numCache>
                <c:formatCode>0.00</c:formatCode>
                <c:ptCount val="8"/>
                <c:pt idx="0">
                  <c:v>78.05</c:v>
                </c:pt>
                <c:pt idx="1">
                  <c:v>78.687847410355602</c:v>
                </c:pt>
                <c:pt idx="2">
                  <c:v>85.348114925436803</c:v>
                </c:pt>
                <c:pt idx="3">
                  <c:v>85.021202899280098</c:v>
                </c:pt>
                <c:pt idx="4">
                  <c:v>81.156807602575924</c:v>
                </c:pt>
                <c:pt idx="5">
                  <c:v>85.122637873853719</c:v>
                </c:pt>
                <c:pt idx="6">
                  <c:v>87.101071296336698</c:v>
                </c:pt>
                <c:pt idx="7">
                  <c:v>50.387501972180601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73A-469B-84B2-5562AE3617E1}"/>
            </c:ext>
          </c:extLst>
        </c:ser>
        <c:ser>
          <c:idx val="2"/>
          <c:order val="2"/>
          <c:tx>
            <c:strRef>
              <c:f>Piano_indicatori!$B$86</c:f>
              <c:strCache>
                <c:ptCount val="1"/>
                <c:pt idx="0">
                  <c:v>Trasporti e diritto alla mobilità</c:v>
                </c:pt>
              </c:strCache>
            </c:strRef>
          </c:tx>
          <c:marker>
            <c:symbol val="diamond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Piano_indicatori!$D$86:$K$86</c:f>
              <c:numCache>
                <c:formatCode>0.00</c:formatCode>
                <c:ptCount val="8"/>
                <c:pt idx="0">
                  <c:v>68.459999999999994</c:v>
                </c:pt>
                <c:pt idx="1">
                  <c:v>72.951694017996374</c:v>
                </c:pt>
                <c:pt idx="2">
                  <c:v>80.059582336985343</c:v>
                </c:pt>
                <c:pt idx="3">
                  <c:v>72.443227750124436</c:v>
                </c:pt>
                <c:pt idx="4">
                  <c:v>68.48688749704209</c:v>
                </c:pt>
                <c:pt idx="5">
                  <c:v>71.522362235530139</c:v>
                </c:pt>
                <c:pt idx="6">
                  <c:v>74.588035121919077</c:v>
                </c:pt>
                <c:pt idx="7">
                  <c:v>77.737489051881553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73A-469B-84B2-5562AE3617E1}"/>
            </c:ext>
          </c:extLst>
        </c:ser>
        <c:ser>
          <c:idx val="3"/>
          <c:order val="3"/>
          <c:tx>
            <c:strRef>
              <c:f>Piano_indicatori!$B$87</c:f>
              <c:strCache>
                <c:ptCount val="1"/>
                <c:pt idx="0">
                  <c:v>Diritti sociali, politiche sociali e famiglia</c:v>
                </c:pt>
              </c:strCache>
            </c:strRef>
          </c:tx>
          <c:marker>
            <c:symbol val="circl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Piano_indicatori!$D$87:$K$87</c:f>
              <c:numCache>
                <c:formatCode>0.00</c:formatCode>
                <c:ptCount val="8"/>
                <c:pt idx="0">
                  <c:v>79.260000000000005</c:v>
                </c:pt>
                <c:pt idx="1">
                  <c:v>84.310339754492446</c:v>
                </c:pt>
                <c:pt idx="2">
                  <c:v>76.996493005798939</c:v>
                </c:pt>
                <c:pt idx="3">
                  <c:v>73.470166452209938</c:v>
                </c:pt>
                <c:pt idx="4">
                  <c:v>76.514641279687524</c:v>
                </c:pt>
                <c:pt idx="5">
                  <c:v>73.524067727054771</c:v>
                </c:pt>
                <c:pt idx="6">
                  <c:v>71.082838411850062</c:v>
                </c:pt>
                <c:pt idx="7">
                  <c:v>75.280239158398615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73A-469B-84B2-5562AE361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3748592"/>
        <c:axId val="1433749136"/>
      </c:lineChart>
      <c:catAx>
        <c:axId val="1433748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433749136"/>
        <c:crosses val="autoZero"/>
        <c:auto val="1"/>
        <c:lblAlgn val="ctr"/>
        <c:lblOffset val="100"/>
        <c:noMultiLvlLbl val="0"/>
      </c:catAx>
      <c:valAx>
        <c:axId val="1433749136"/>
        <c:scaling>
          <c:orientation val="minMax"/>
          <c:max val="90"/>
          <c:min val="50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1433748592"/>
        <c:crosses val="autoZero"/>
        <c:crossBetween val="between"/>
        <c:majorUnit val="5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7.9534903497887523E-3"/>
          <c:y val="0.86298514547383764"/>
          <c:w val="0.97653411880215957"/>
          <c:h val="0.10961746802926231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686E-2"/>
          <c:y val="0"/>
          <c:w val="0.95679921453118633"/>
          <c:h val="0.802487112933598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Piano_indicatori!$B$20</c:f>
              <c:strCache>
                <c:ptCount val="1"/>
                <c:pt idx="0">
                  <c:v>Spesa di personale procapite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Piano_indicatori!$D$20:$K$20</c:f>
              <c:numCache>
                <c:formatCode>0.00</c:formatCode>
                <c:ptCount val="8"/>
                <c:pt idx="0">
                  <c:v>220.23</c:v>
                </c:pt>
                <c:pt idx="1">
                  <c:v>228.65</c:v>
                </c:pt>
                <c:pt idx="2">
                  <c:v>239.07</c:v>
                </c:pt>
                <c:pt idx="3">
                  <c:v>236.32</c:v>
                </c:pt>
                <c:pt idx="4">
                  <c:v>239.14</c:v>
                </c:pt>
                <c:pt idx="5">
                  <c:v>244.79</c:v>
                </c:pt>
                <c:pt idx="6">
                  <c:v>229.47</c:v>
                </c:pt>
                <c:pt idx="7">
                  <c:v>239.93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31-4E19-98D9-D92F9A6181BB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Piano_indicatori!$D$89:$K$89</c:f>
              <c:numCache>
                <c:formatCode>0.00</c:formatCode>
                <c:ptCount val="8"/>
                <c:pt idx="0">
                  <c:v>367.13226833883101</c:v>
                </c:pt>
                <c:pt idx="1">
                  <c:v>350.14826884227551</c:v>
                </c:pt>
                <c:pt idx="2">
                  <c:v>362.58510068602214</c:v>
                </c:pt>
                <c:pt idx="3">
                  <c:v>355.01394750014094</c:v>
                </c:pt>
                <c:pt idx="4">
                  <c:v>354.72657825926274</c:v>
                </c:pt>
                <c:pt idx="5">
                  <c:v>352.25227220007974</c:v>
                </c:pt>
                <c:pt idx="6">
                  <c:v>369.77947768871218</c:v>
                </c:pt>
                <c:pt idx="7">
                  <c:v>368.56431741147844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31-4E19-98D9-D92F9A618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3747504"/>
        <c:axId val="1433745872"/>
      </c:barChart>
      <c:catAx>
        <c:axId val="1433747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433745872"/>
        <c:crosses val="autoZero"/>
        <c:auto val="1"/>
        <c:lblAlgn val="ctr"/>
        <c:lblOffset val="100"/>
        <c:noMultiLvlLbl val="0"/>
      </c:catAx>
      <c:valAx>
        <c:axId val="1433745872"/>
        <c:scaling>
          <c:orientation val="minMax"/>
          <c:max val="400"/>
          <c:min val="0"/>
        </c:scaling>
        <c:delete val="1"/>
        <c:axPos val="l"/>
        <c:numFmt formatCode="0" sourceLinked="0"/>
        <c:majorTickMark val="none"/>
        <c:minorTickMark val="none"/>
        <c:tickLblPos val="none"/>
        <c:crossAx val="1433747504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1181099</xdr:colOff>
      <xdr:row>23</xdr:row>
      <xdr:rowOff>180976</xdr:rowOff>
    </xdr:from>
    <xdr:to>
      <xdr:col>10</xdr:col>
      <xdr:colOff>160020</xdr:colOff>
      <xdr:row>46</xdr:row>
      <xdr:rowOff>66674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1272541</xdr:colOff>
      <xdr:row>50</xdr:row>
      <xdr:rowOff>47625</xdr:rowOff>
    </xdr:from>
    <xdr:to>
      <xdr:col>10</xdr:col>
      <xdr:colOff>160021</xdr:colOff>
      <xdr:row>72</xdr:row>
      <xdr:rowOff>95250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97154</xdr:colOff>
      <xdr:row>30</xdr:row>
      <xdr:rowOff>163829</xdr:rowOff>
    </xdr:from>
    <xdr:to>
      <xdr:col>11</xdr:col>
      <xdr:colOff>403860</xdr:colOff>
      <xdr:row>48</xdr:row>
      <xdr:rowOff>28574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419098</xdr:colOff>
      <xdr:row>29</xdr:row>
      <xdr:rowOff>38100</xdr:rowOff>
    </xdr:from>
    <xdr:to>
      <xdr:col>7</xdr:col>
      <xdr:colOff>781050</xdr:colOff>
      <xdr:row>51</xdr:row>
      <xdr:rowOff>95250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419100</xdr:colOff>
      <xdr:row>55</xdr:row>
      <xdr:rowOff>85725</xdr:rowOff>
    </xdr:from>
    <xdr:to>
      <xdr:col>10</xdr:col>
      <xdr:colOff>180975</xdr:colOff>
      <xdr:row>77</xdr:row>
      <xdr:rowOff>85725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178</xdr:row>
      <xdr:rowOff>28576</xdr:rowOff>
    </xdr:from>
    <xdr:to>
      <xdr:col>2</xdr:col>
      <xdr:colOff>752475</xdr:colOff>
      <xdr:row>196</xdr:row>
      <xdr:rowOff>180976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552449</xdr:colOff>
      <xdr:row>198</xdr:row>
      <xdr:rowOff>123823</xdr:rowOff>
    </xdr:from>
    <xdr:to>
      <xdr:col>3</xdr:col>
      <xdr:colOff>85724</xdr:colOff>
      <xdr:row>216</xdr:row>
      <xdr:rowOff>104775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218</xdr:row>
      <xdr:rowOff>0</xdr:rowOff>
    </xdr:from>
    <xdr:to>
      <xdr:col>3</xdr:col>
      <xdr:colOff>123825</xdr:colOff>
      <xdr:row>236</xdr:row>
      <xdr:rowOff>152400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94</xdr:row>
      <xdr:rowOff>161924</xdr:rowOff>
    </xdr:from>
    <xdr:to>
      <xdr:col>3</xdr:col>
      <xdr:colOff>123825</xdr:colOff>
      <xdr:row>112</xdr:row>
      <xdr:rowOff>171449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115</xdr:row>
      <xdr:rowOff>142875</xdr:rowOff>
    </xdr:from>
    <xdr:to>
      <xdr:col>3</xdr:col>
      <xdr:colOff>123825</xdr:colOff>
      <xdr:row>133</xdr:row>
      <xdr:rowOff>152400</xdr:rowOff>
    </xdr:to>
    <xdr:graphicFrame macro="">
      <xdr:nvGraphicFramePr>
        <xdr:cNvPr id="10" name="Gra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136</xdr:row>
      <xdr:rowOff>0</xdr:rowOff>
    </xdr:from>
    <xdr:to>
      <xdr:col>3</xdr:col>
      <xdr:colOff>123825</xdr:colOff>
      <xdr:row>154</xdr:row>
      <xdr:rowOff>9525</xdr:rowOff>
    </xdr:to>
    <xdr:graphicFrame macro="">
      <xdr:nvGraphicFramePr>
        <xdr:cNvPr id="12" name="Gra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157</xdr:row>
      <xdr:rowOff>0</xdr:rowOff>
    </xdr:from>
    <xdr:to>
      <xdr:col>3</xdr:col>
      <xdr:colOff>123825</xdr:colOff>
      <xdr:row>175</xdr:row>
      <xdr:rowOff>9525</xdr:rowOff>
    </xdr:to>
    <xdr:graphicFrame macro="">
      <xdr:nvGraphicFramePr>
        <xdr:cNvPr id="13" name="Gra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57147</xdr:colOff>
      <xdr:row>12</xdr:row>
      <xdr:rowOff>19048</xdr:rowOff>
    </xdr:from>
    <xdr:to>
      <xdr:col>11</xdr:col>
      <xdr:colOff>333374</xdr:colOff>
      <xdr:row>30</xdr:row>
      <xdr:rowOff>76199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workbookViewId="0">
      <pane xSplit="1" ySplit="2" topLeftCell="S3" activePane="bottomRight" state="frozen"/>
      <selection pane="topRight" activeCell="B1" sqref="B1"/>
      <selection pane="bottomLeft" activeCell="A3" sqref="A3"/>
      <selection pane="bottomRight" activeCell="W3" sqref="W3:X55"/>
    </sheetView>
  </sheetViews>
  <sheetFormatPr defaultRowHeight="14.4" x14ac:dyDescent="0.3"/>
  <cols>
    <col min="1" max="1" width="60.6640625" bestFit="1" customWidth="1"/>
    <col min="2" max="3" width="15.33203125" bestFit="1" customWidth="1"/>
    <col min="4" max="4" width="7.109375" customWidth="1"/>
    <col min="5" max="6" width="15.33203125" bestFit="1" customWidth="1"/>
    <col min="7" max="7" width="7.109375" customWidth="1"/>
    <col min="8" max="9" width="15.33203125" style="97" bestFit="1" customWidth="1"/>
    <col min="10" max="10" width="7.109375" style="97" customWidth="1"/>
    <col min="11" max="12" width="15.33203125" style="130" bestFit="1" customWidth="1"/>
    <col min="13" max="13" width="7.109375" style="130" customWidth="1"/>
    <col min="14" max="15" width="15.33203125" style="130" bestFit="1" customWidth="1"/>
    <col min="16" max="16" width="7.109375" style="130" customWidth="1"/>
    <col min="17" max="18" width="15.33203125" style="130" bestFit="1" customWidth="1"/>
    <col min="19" max="19" width="7.109375" style="130" customWidth="1"/>
    <col min="20" max="21" width="15.33203125" style="130" bestFit="1" customWidth="1"/>
    <col min="22" max="22" width="7.109375" style="130" customWidth="1"/>
    <col min="23" max="24" width="15.33203125" bestFit="1" customWidth="1"/>
    <col min="25" max="25" width="7.109375" customWidth="1"/>
    <col min="26" max="27" width="8.88671875" style="130"/>
  </cols>
  <sheetData>
    <row r="1" spans="1:27" x14ac:dyDescent="0.3">
      <c r="B1" s="156">
        <v>2016</v>
      </c>
      <c r="C1" s="156"/>
      <c r="D1" s="157"/>
      <c r="E1" s="158">
        <v>2017</v>
      </c>
      <c r="F1" s="156"/>
      <c r="G1" s="157"/>
      <c r="H1" s="158">
        <v>2018</v>
      </c>
      <c r="I1" s="156"/>
      <c r="J1" s="157"/>
      <c r="K1" s="158">
        <v>2019</v>
      </c>
      <c r="L1" s="156"/>
      <c r="M1" s="157"/>
      <c r="N1" s="158">
        <v>2020</v>
      </c>
      <c r="O1" s="156"/>
      <c r="P1" s="157"/>
      <c r="Q1" s="158">
        <v>2021</v>
      </c>
      <c r="R1" s="156"/>
      <c r="S1" s="157"/>
      <c r="T1" s="158">
        <v>2022</v>
      </c>
      <c r="U1" s="156"/>
      <c r="V1" s="157"/>
      <c r="W1" s="158">
        <v>2023</v>
      </c>
      <c r="X1" s="156"/>
      <c r="Y1" s="157"/>
      <c r="Z1" s="155" t="s">
        <v>233</v>
      </c>
      <c r="AA1" s="155"/>
    </row>
    <row r="2" spans="1:27" x14ac:dyDescent="0.3">
      <c r="B2" s="15" t="s">
        <v>73</v>
      </c>
      <c r="C2" s="15" t="s">
        <v>74</v>
      </c>
      <c r="D2" s="16" t="s">
        <v>234</v>
      </c>
      <c r="E2" s="20" t="s">
        <v>73</v>
      </c>
      <c r="F2" s="15" t="s">
        <v>74</v>
      </c>
      <c r="G2" s="16" t="s">
        <v>234</v>
      </c>
      <c r="H2" s="107" t="s">
        <v>73</v>
      </c>
      <c r="I2" s="101" t="s">
        <v>74</v>
      </c>
      <c r="J2" s="102" t="s">
        <v>234</v>
      </c>
      <c r="K2" s="107" t="s">
        <v>73</v>
      </c>
      <c r="L2" s="101" t="s">
        <v>74</v>
      </c>
      <c r="M2" s="102" t="s">
        <v>234</v>
      </c>
      <c r="N2" s="107" t="s">
        <v>73</v>
      </c>
      <c r="O2" s="101" t="s">
        <v>74</v>
      </c>
      <c r="P2" s="102" t="s">
        <v>234</v>
      </c>
      <c r="Q2" s="107" t="s">
        <v>73</v>
      </c>
      <c r="R2" s="101" t="s">
        <v>74</v>
      </c>
      <c r="S2" s="102" t="s">
        <v>234</v>
      </c>
      <c r="T2" s="107" t="s">
        <v>73</v>
      </c>
      <c r="U2" s="101" t="s">
        <v>74</v>
      </c>
      <c r="V2" s="102" t="s">
        <v>234</v>
      </c>
      <c r="W2" s="20" t="s">
        <v>73</v>
      </c>
      <c r="X2" s="15" t="s">
        <v>74</v>
      </c>
      <c r="Y2" s="16" t="s">
        <v>234</v>
      </c>
      <c r="Z2" s="141" t="s">
        <v>73</v>
      </c>
      <c r="AA2" s="141" t="s">
        <v>74</v>
      </c>
    </row>
    <row r="3" spans="1:27" x14ac:dyDescent="0.3">
      <c r="A3" t="s">
        <v>20</v>
      </c>
      <c r="B3" s="25">
        <v>127755656.51000001</v>
      </c>
      <c r="C3" s="25">
        <v>108673571.76000001</v>
      </c>
      <c r="D3" s="18">
        <f>IF(B3&gt;0,C3/B3*100,"-")</f>
        <v>85.06360871112868</v>
      </c>
      <c r="E3" s="25">
        <v>127480943.5</v>
      </c>
      <c r="F3" s="25">
        <v>109975033.08</v>
      </c>
      <c r="G3" s="18">
        <f>IF(E3&gt;0,F3/E3*100,"-")</f>
        <v>86.267821731331935</v>
      </c>
      <c r="H3" s="111">
        <v>132033898.88</v>
      </c>
      <c r="I3" s="111">
        <v>111618912.12</v>
      </c>
      <c r="J3" s="104">
        <f>IF(H3&gt;0,I3/H3*100,"-")</f>
        <v>84.538071712512021</v>
      </c>
      <c r="K3" s="139">
        <v>134796843.16999999</v>
      </c>
      <c r="L3" s="139">
        <v>111443243.06999999</v>
      </c>
      <c r="M3" s="104">
        <f>IF(K3&gt;0,L3/K3*100,"-")</f>
        <v>82.674965117285851</v>
      </c>
      <c r="N3" s="139">
        <v>130582374.53</v>
      </c>
      <c r="O3" s="139">
        <v>106874855.34999999</v>
      </c>
      <c r="P3" s="104">
        <f>IF(N3&gt;0,O3/N3*100,"-")</f>
        <v>81.844778619373741</v>
      </c>
      <c r="Q3" s="139">
        <v>133230030.59</v>
      </c>
      <c r="R3" s="139">
        <v>104109333.45999999</v>
      </c>
      <c r="S3" s="104">
        <f>IF(Q3&gt;0,R3/Q3*100,"-")</f>
        <v>78.142542637691363</v>
      </c>
      <c r="T3" s="139">
        <v>99340747.069999993</v>
      </c>
      <c r="U3" s="139">
        <v>86240622.739999995</v>
      </c>
      <c r="V3" s="104">
        <f>IF(T3&gt;0,U3/T3*100,"-")</f>
        <v>86.812939587852043</v>
      </c>
      <c r="W3" s="95">
        <v>99123955.890000001</v>
      </c>
      <c r="X3" s="95">
        <v>86158996.319999993</v>
      </c>
      <c r="Y3" s="18">
        <f>IF(W3&gt;0,X3/W3*100,"-")</f>
        <v>86.9204578715689</v>
      </c>
      <c r="Z3" s="133">
        <f>IF(T3&gt;0,W3/T3*100-100,"-")</f>
        <v>-0.21822986679094925</v>
      </c>
      <c r="AA3" s="133">
        <f>IF(U3&gt;0,X3/U3*100-100,"-")</f>
        <v>-9.4649618018280535E-2</v>
      </c>
    </row>
    <row r="4" spans="1:27" x14ac:dyDescent="0.3">
      <c r="A4" t="s">
        <v>21</v>
      </c>
      <c r="B4" s="25">
        <v>14068409.460000001</v>
      </c>
      <c r="C4" s="25">
        <v>10963380.15</v>
      </c>
      <c r="D4" s="18">
        <f t="shared" ref="D4:D21" si="0">IF(B4&gt;0,C4/B4*100,"-")</f>
        <v>77.929066403502304</v>
      </c>
      <c r="E4" s="25">
        <v>13916565.02</v>
      </c>
      <c r="F4" s="25">
        <v>10750994.039999999</v>
      </c>
      <c r="G4" s="18">
        <f t="shared" ref="G4:G21" si="1">IF(E4&gt;0,F4/E4*100,"-")</f>
        <v>77.25321603822033</v>
      </c>
      <c r="H4" s="111">
        <v>16949040.390000001</v>
      </c>
      <c r="I4" s="111">
        <v>13737898.15</v>
      </c>
      <c r="J4" s="104">
        <f t="shared" ref="J4:J13" si="2">IF(H4&gt;0,I4/H4*100,"-")</f>
        <v>81.054135419403522</v>
      </c>
      <c r="K4" s="139">
        <v>14801196.67</v>
      </c>
      <c r="L4" s="139">
        <v>12000865.42</v>
      </c>
      <c r="M4" s="104">
        <f t="shared" ref="M4:M13" si="3">IF(K4&gt;0,L4/K4*100,"-")</f>
        <v>81.080372672326632</v>
      </c>
      <c r="N4" s="139">
        <v>30153686.760000002</v>
      </c>
      <c r="O4" s="139">
        <v>27973646.68</v>
      </c>
      <c r="P4" s="104">
        <f t="shared" ref="P4:P13" si="4">IF(N4&gt;0,O4/N4*100,"-")</f>
        <v>92.770237028223335</v>
      </c>
      <c r="Q4" s="139">
        <v>28616034.09</v>
      </c>
      <c r="R4" s="139">
        <v>24757106.379999999</v>
      </c>
      <c r="S4" s="104">
        <f t="shared" ref="S4:S13" si="5">IF(Q4&gt;0,R4/Q4*100,"-")</f>
        <v>86.514806007487536</v>
      </c>
      <c r="T4" s="139">
        <v>25820797.449999999</v>
      </c>
      <c r="U4" s="139">
        <v>20850010.609999999</v>
      </c>
      <c r="V4" s="104">
        <f t="shared" ref="V4:V13" si="6">IF(T4&gt;0,U4/T4*100,"-")</f>
        <v>80.74890270284817</v>
      </c>
      <c r="W4" s="95">
        <v>25865821.43</v>
      </c>
      <c r="X4" s="95">
        <v>21374277.91</v>
      </c>
      <c r="Y4" s="18">
        <f t="shared" ref="Y4:Y21" si="7">IF(W4&gt;0,X4/W4*100,"-")</f>
        <v>82.635217937480363</v>
      </c>
      <c r="Z4" s="133">
        <f t="shared" ref="Z4:AA55" si="8">IF(T4&gt;0,W4/T4*100-100,"-")</f>
        <v>0.17437098945988794</v>
      </c>
      <c r="AA4" s="133">
        <f t="shared" si="8"/>
        <v>2.5144701832840184</v>
      </c>
    </row>
    <row r="5" spans="1:27" x14ac:dyDescent="0.3">
      <c r="A5" t="s">
        <v>22</v>
      </c>
      <c r="B5" s="25">
        <v>28202826.890000001</v>
      </c>
      <c r="C5" s="25">
        <v>19273661.109999999</v>
      </c>
      <c r="D5" s="18">
        <f t="shared" si="0"/>
        <v>68.339465349248186</v>
      </c>
      <c r="E5" s="25">
        <v>27347440.920000002</v>
      </c>
      <c r="F5" s="25">
        <v>20716661.399999999</v>
      </c>
      <c r="G5" s="18">
        <f t="shared" si="1"/>
        <v>75.753564878713334</v>
      </c>
      <c r="H5" s="111">
        <v>29269031.219999999</v>
      </c>
      <c r="I5" s="111">
        <v>20539697.359999999</v>
      </c>
      <c r="J5" s="104">
        <f t="shared" si="2"/>
        <v>70.175528549660001</v>
      </c>
      <c r="K5" s="139">
        <v>34713004.840000004</v>
      </c>
      <c r="L5" s="139">
        <v>25411132.98</v>
      </c>
      <c r="M5" s="104">
        <f t="shared" si="3"/>
        <v>73.203495626856835</v>
      </c>
      <c r="N5" s="139">
        <v>30496630.219999999</v>
      </c>
      <c r="O5" s="139">
        <v>22195276.34</v>
      </c>
      <c r="P5" s="104">
        <f t="shared" si="4"/>
        <v>72.779438842538454</v>
      </c>
      <c r="Q5" s="139">
        <v>35780004.07</v>
      </c>
      <c r="R5" s="139">
        <v>25231538.449999999</v>
      </c>
      <c r="S5" s="104">
        <f t="shared" si="5"/>
        <v>70.518545499986573</v>
      </c>
      <c r="T5" s="139">
        <v>40482237.289999999</v>
      </c>
      <c r="U5" s="139">
        <v>30821779.969999999</v>
      </c>
      <c r="V5" s="104">
        <f t="shared" si="6"/>
        <v>76.13655280266255</v>
      </c>
      <c r="W5" s="95">
        <v>43088166.140000001</v>
      </c>
      <c r="X5" s="95">
        <v>33064213.510000002</v>
      </c>
      <c r="Y5" s="18">
        <f t="shared" si="7"/>
        <v>76.736181815140029</v>
      </c>
      <c r="Z5" s="133">
        <f t="shared" si="8"/>
        <v>6.4372154911599182</v>
      </c>
      <c r="AA5" s="133">
        <f t="shared" si="8"/>
        <v>7.2754835774658346</v>
      </c>
    </row>
    <row r="6" spans="1:27" x14ac:dyDescent="0.3">
      <c r="A6" t="s">
        <v>23</v>
      </c>
      <c r="B6" s="25">
        <v>0</v>
      </c>
      <c r="C6" s="25">
        <v>0</v>
      </c>
      <c r="D6" s="18" t="str">
        <f t="shared" si="0"/>
        <v>-</v>
      </c>
      <c r="E6" s="25">
        <v>0</v>
      </c>
      <c r="F6" s="25">
        <v>0</v>
      </c>
      <c r="G6" s="18" t="str">
        <f t="shared" si="1"/>
        <v>-</v>
      </c>
      <c r="H6" s="111">
        <v>0</v>
      </c>
      <c r="I6" s="111">
        <v>0</v>
      </c>
      <c r="J6" s="104" t="str">
        <f t="shared" si="2"/>
        <v>-</v>
      </c>
      <c r="K6" s="139">
        <v>0</v>
      </c>
      <c r="L6" s="139">
        <v>0</v>
      </c>
      <c r="M6" s="104" t="str">
        <f t="shared" si="3"/>
        <v>-</v>
      </c>
      <c r="N6" s="139">
        <v>0</v>
      </c>
      <c r="O6" s="139">
        <v>0</v>
      </c>
      <c r="P6" s="104" t="str">
        <f t="shared" si="4"/>
        <v>-</v>
      </c>
      <c r="Q6" s="139">
        <v>0</v>
      </c>
      <c r="R6" s="139">
        <v>0</v>
      </c>
      <c r="S6" s="104" t="str">
        <f t="shared" si="5"/>
        <v>-</v>
      </c>
      <c r="T6" s="139">
        <v>0</v>
      </c>
      <c r="U6" s="139">
        <v>0</v>
      </c>
      <c r="V6" s="104" t="str">
        <f t="shared" si="6"/>
        <v>-</v>
      </c>
      <c r="W6" s="95">
        <v>0</v>
      </c>
      <c r="X6" s="95">
        <v>0</v>
      </c>
      <c r="Y6" s="18" t="str">
        <f t="shared" si="7"/>
        <v>-</v>
      </c>
      <c r="Z6" s="133" t="str">
        <f t="shared" si="8"/>
        <v>-</v>
      </c>
      <c r="AA6" s="133" t="str">
        <f t="shared" si="8"/>
        <v>-</v>
      </c>
    </row>
    <row r="7" spans="1:27" x14ac:dyDescent="0.3">
      <c r="A7" t="s">
        <v>24</v>
      </c>
      <c r="B7" s="25">
        <v>2688952.86</v>
      </c>
      <c r="C7" s="25">
        <v>1064247.03</v>
      </c>
      <c r="D7" s="18">
        <f t="shared" si="0"/>
        <v>39.578493391661766</v>
      </c>
      <c r="E7" s="25">
        <v>1332930.51</v>
      </c>
      <c r="F7" s="25">
        <v>960777.92</v>
      </c>
      <c r="G7" s="18">
        <f t="shared" si="1"/>
        <v>72.080120665855276</v>
      </c>
      <c r="H7" s="111">
        <v>7740528.0300000003</v>
      </c>
      <c r="I7" s="111">
        <v>5696875.6500000004</v>
      </c>
      <c r="J7" s="104">
        <f t="shared" si="2"/>
        <v>73.598023648006873</v>
      </c>
      <c r="K7" s="139">
        <v>11029292.18</v>
      </c>
      <c r="L7" s="139">
        <v>7901868.3899999997</v>
      </c>
      <c r="M7" s="104">
        <f t="shared" si="3"/>
        <v>71.644383529242944</v>
      </c>
      <c r="N7" s="139">
        <v>8514747.4199999999</v>
      </c>
      <c r="O7" s="139">
        <v>4580868.46</v>
      </c>
      <c r="P7" s="104">
        <f t="shared" si="4"/>
        <v>53.79922896174412</v>
      </c>
      <c r="Q7" s="139">
        <v>9035756.3900000006</v>
      </c>
      <c r="R7" s="139">
        <v>2327702.08</v>
      </c>
      <c r="S7" s="104">
        <f t="shared" si="5"/>
        <v>25.761009698934568</v>
      </c>
      <c r="T7" s="139">
        <v>26427426.149999999</v>
      </c>
      <c r="U7" s="139">
        <v>17795811.670000002</v>
      </c>
      <c r="V7" s="104">
        <f t="shared" si="6"/>
        <v>67.338421717621571</v>
      </c>
      <c r="W7" s="95">
        <v>16170809.130000001</v>
      </c>
      <c r="X7" s="95">
        <v>7763340.54</v>
      </c>
      <c r="Y7" s="18">
        <f t="shared" si="7"/>
        <v>48.008361718879556</v>
      </c>
      <c r="Z7" s="133">
        <f t="shared" si="8"/>
        <v>-38.810503004659793</v>
      </c>
      <c r="AA7" s="133">
        <f t="shared" si="8"/>
        <v>-56.375462474199139</v>
      </c>
    </row>
    <row r="8" spans="1:27" x14ac:dyDescent="0.3">
      <c r="A8" t="s">
        <v>25</v>
      </c>
      <c r="B8" s="25">
        <v>0</v>
      </c>
      <c r="C8" s="25">
        <v>0</v>
      </c>
      <c r="D8" s="18" t="str">
        <f t="shared" si="0"/>
        <v>-</v>
      </c>
      <c r="E8" s="25">
        <v>0</v>
      </c>
      <c r="F8" s="25">
        <v>0</v>
      </c>
      <c r="G8" s="18" t="str">
        <f t="shared" si="1"/>
        <v>-</v>
      </c>
      <c r="H8" s="111">
        <v>0</v>
      </c>
      <c r="I8" s="111">
        <v>0</v>
      </c>
      <c r="J8" s="104" t="str">
        <f t="shared" si="2"/>
        <v>-</v>
      </c>
      <c r="K8" s="139">
        <v>0</v>
      </c>
      <c r="L8" s="139">
        <v>0</v>
      </c>
      <c r="M8" s="104" t="str">
        <f t="shared" si="3"/>
        <v>-</v>
      </c>
      <c r="N8" s="139">
        <v>0</v>
      </c>
      <c r="O8" s="139">
        <v>0</v>
      </c>
      <c r="P8" s="104" t="str">
        <f t="shared" si="4"/>
        <v>-</v>
      </c>
      <c r="Q8" s="139">
        <v>0</v>
      </c>
      <c r="R8" s="139">
        <v>0</v>
      </c>
      <c r="S8" s="104" t="str">
        <f t="shared" si="5"/>
        <v>-</v>
      </c>
      <c r="T8" s="139">
        <v>0</v>
      </c>
      <c r="U8" s="139">
        <v>0</v>
      </c>
      <c r="V8" s="104" t="str">
        <f t="shared" si="6"/>
        <v>-</v>
      </c>
      <c r="W8" s="95">
        <v>832.74</v>
      </c>
      <c r="X8" s="95">
        <v>832.74</v>
      </c>
      <c r="Y8" s="18">
        <f t="shared" si="7"/>
        <v>100</v>
      </c>
      <c r="Z8" s="133" t="str">
        <f t="shared" si="8"/>
        <v>-</v>
      </c>
      <c r="AA8" s="133" t="str">
        <f t="shared" si="8"/>
        <v>-</v>
      </c>
    </row>
    <row r="9" spans="1:27" x14ac:dyDescent="0.3">
      <c r="A9" t="s">
        <v>26</v>
      </c>
      <c r="B9" s="25">
        <v>844873.67</v>
      </c>
      <c r="C9" s="25">
        <v>806298.23</v>
      </c>
      <c r="D9" s="18">
        <f t="shared" si="0"/>
        <v>95.434176567486119</v>
      </c>
      <c r="E9" s="25">
        <v>777305.76</v>
      </c>
      <c r="F9" s="25">
        <v>683446.34</v>
      </c>
      <c r="G9" s="18">
        <f t="shared" si="1"/>
        <v>87.925032229273583</v>
      </c>
      <c r="H9" s="111">
        <v>791697.79</v>
      </c>
      <c r="I9" s="111">
        <v>755473.78</v>
      </c>
      <c r="J9" s="104">
        <f t="shared" si="2"/>
        <v>95.424515458101752</v>
      </c>
      <c r="K9" s="139">
        <v>601529</v>
      </c>
      <c r="L9" s="139">
        <v>547473.72</v>
      </c>
      <c r="M9" s="104">
        <f t="shared" si="3"/>
        <v>91.013686788168144</v>
      </c>
      <c r="N9" s="139">
        <v>690576</v>
      </c>
      <c r="O9" s="139">
        <v>690576</v>
      </c>
      <c r="P9" s="104">
        <f t="shared" si="4"/>
        <v>100</v>
      </c>
      <c r="Q9" s="139">
        <v>1125021</v>
      </c>
      <c r="R9" s="139">
        <v>1089619</v>
      </c>
      <c r="S9" s="104">
        <f t="shared" si="5"/>
        <v>96.853214295555361</v>
      </c>
      <c r="T9" s="139">
        <v>1822352.85</v>
      </c>
      <c r="U9" s="139">
        <v>1673339.95</v>
      </c>
      <c r="V9" s="104">
        <f t="shared" si="6"/>
        <v>91.823048977589593</v>
      </c>
      <c r="W9" s="95">
        <v>225024</v>
      </c>
      <c r="X9" s="95">
        <v>220774</v>
      </c>
      <c r="Y9" s="18">
        <f t="shared" si="7"/>
        <v>98.111312571103525</v>
      </c>
      <c r="Z9" s="133">
        <f t="shared" si="8"/>
        <v>-87.652007129135285</v>
      </c>
      <c r="AA9" s="133">
        <f t="shared" si="8"/>
        <v>-86.806386831319003</v>
      </c>
    </row>
    <row r="10" spans="1:27" x14ac:dyDescent="0.3">
      <c r="A10" t="s">
        <v>27</v>
      </c>
      <c r="B10" s="25">
        <v>9383361.4700000007</v>
      </c>
      <c r="C10" s="25">
        <v>9345404.4700000007</v>
      </c>
      <c r="D10" s="18">
        <f t="shared" si="0"/>
        <v>99.595486115275918</v>
      </c>
      <c r="E10" s="25">
        <v>8300405.0599999996</v>
      </c>
      <c r="F10" s="25">
        <v>8284038.8300000001</v>
      </c>
      <c r="G10" s="18">
        <f t="shared" si="1"/>
        <v>99.802826128584144</v>
      </c>
      <c r="H10" s="111">
        <v>5503004.2199999997</v>
      </c>
      <c r="I10" s="111">
        <v>5484984.8399999999</v>
      </c>
      <c r="J10" s="104">
        <f t="shared" si="2"/>
        <v>99.672553767367461</v>
      </c>
      <c r="K10" s="139">
        <v>19747565.120000001</v>
      </c>
      <c r="L10" s="139">
        <v>19739196.449999999</v>
      </c>
      <c r="M10" s="104">
        <f t="shared" si="3"/>
        <v>99.9576217627381</v>
      </c>
      <c r="N10" s="139">
        <v>5683594.6699999999</v>
      </c>
      <c r="O10" s="139">
        <v>5683594.6699999999</v>
      </c>
      <c r="P10" s="104">
        <f t="shared" si="4"/>
        <v>100</v>
      </c>
      <c r="Q10" s="139">
        <v>4393228.18</v>
      </c>
      <c r="R10" s="139">
        <v>4368228.18</v>
      </c>
      <c r="S10" s="104">
        <f t="shared" si="5"/>
        <v>99.430942373678391</v>
      </c>
      <c r="T10" s="139">
        <v>16788032.77</v>
      </c>
      <c r="U10" s="139">
        <v>16326551.060000001</v>
      </c>
      <c r="V10" s="104">
        <f t="shared" si="6"/>
        <v>97.251126940705873</v>
      </c>
      <c r="W10" s="95">
        <v>4386677.2300000004</v>
      </c>
      <c r="X10" s="95">
        <v>4384558.34</v>
      </c>
      <c r="Y10" s="18">
        <f t="shared" si="7"/>
        <v>99.951697152790047</v>
      </c>
      <c r="Z10" s="133">
        <f t="shared" si="8"/>
        <v>-73.87021284686233</v>
      </c>
      <c r="AA10" s="133">
        <f t="shared" si="8"/>
        <v>-73.144613801857062</v>
      </c>
    </row>
    <row r="11" spans="1:27" x14ac:dyDescent="0.3">
      <c r="A11" t="s">
        <v>28</v>
      </c>
      <c r="B11" s="25">
        <v>0</v>
      </c>
      <c r="C11" s="25">
        <v>0</v>
      </c>
      <c r="D11" s="18" t="str">
        <f t="shared" si="0"/>
        <v>-</v>
      </c>
      <c r="E11" s="25">
        <v>15246000</v>
      </c>
      <c r="F11" s="25">
        <v>15246000</v>
      </c>
      <c r="G11" s="18">
        <f t="shared" si="1"/>
        <v>100</v>
      </c>
      <c r="H11" s="111">
        <v>10131686.130000001</v>
      </c>
      <c r="I11" s="111">
        <v>10131686.130000001</v>
      </c>
      <c r="J11" s="104">
        <f t="shared" si="2"/>
        <v>100</v>
      </c>
      <c r="K11" s="139">
        <v>7359979.5499999998</v>
      </c>
      <c r="L11" s="139">
        <v>7359979.5499999998</v>
      </c>
      <c r="M11" s="104">
        <f t="shared" si="3"/>
        <v>100</v>
      </c>
      <c r="N11" s="139">
        <v>0</v>
      </c>
      <c r="O11" s="139">
        <v>0</v>
      </c>
      <c r="P11" s="104" t="str">
        <f t="shared" si="4"/>
        <v>-</v>
      </c>
      <c r="Q11" s="139">
        <v>0</v>
      </c>
      <c r="R11" s="139">
        <v>0</v>
      </c>
      <c r="S11" s="104" t="str">
        <f t="shared" si="5"/>
        <v>-</v>
      </c>
      <c r="T11" s="139">
        <v>0</v>
      </c>
      <c r="U11" s="139">
        <v>0</v>
      </c>
      <c r="V11" s="104" t="str">
        <f t="shared" si="6"/>
        <v>-</v>
      </c>
      <c r="W11" s="95">
        <v>0</v>
      </c>
      <c r="X11" s="95">
        <v>0</v>
      </c>
      <c r="Y11" s="18" t="str">
        <f t="shared" si="7"/>
        <v>-</v>
      </c>
      <c r="Z11" s="133" t="str">
        <f t="shared" si="8"/>
        <v>-</v>
      </c>
      <c r="AA11" s="133" t="str">
        <f t="shared" si="8"/>
        <v>-</v>
      </c>
    </row>
    <row r="12" spans="1:27" x14ac:dyDescent="0.3">
      <c r="A12" t="s">
        <v>29</v>
      </c>
      <c r="B12" s="25">
        <v>0</v>
      </c>
      <c r="C12" s="25">
        <v>0</v>
      </c>
      <c r="D12" s="18" t="str">
        <f t="shared" si="0"/>
        <v>-</v>
      </c>
      <c r="E12" s="25">
        <v>0</v>
      </c>
      <c r="F12" s="25">
        <v>0</v>
      </c>
      <c r="G12" s="18" t="str">
        <f t="shared" si="1"/>
        <v>-</v>
      </c>
      <c r="H12" s="111">
        <v>72675.06</v>
      </c>
      <c r="I12" s="111">
        <v>0</v>
      </c>
      <c r="J12" s="104">
        <f t="shared" si="2"/>
        <v>0</v>
      </c>
      <c r="K12" s="139">
        <v>0</v>
      </c>
      <c r="L12" s="139">
        <v>0</v>
      </c>
      <c r="M12" s="104" t="str">
        <f t="shared" si="3"/>
        <v>-</v>
      </c>
      <c r="N12" s="139">
        <v>0</v>
      </c>
      <c r="O12" s="139">
        <v>0</v>
      </c>
      <c r="P12" s="104" t="str">
        <f t="shared" si="4"/>
        <v>-</v>
      </c>
      <c r="Q12" s="139">
        <v>0</v>
      </c>
      <c r="R12" s="139">
        <v>0</v>
      </c>
      <c r="S12" s="104" t="str">
        <f t="shared" si="5"/>
        <v>-</v>
      </c>
      <c r="T12" s="139">
        <v>0</v>
      </c>
      <c r="U12" s="139">
        <v>0</v>
      </c>
      <c r="V12" s="104" t="str">
        <f t="shared" si="6"/>
        <v>-</v>
      </c>
      <c r="W12" s="95">
        <v>0</v>
      </c>
      <c r="X12" s="95">
        <v>0</v>
      </c>
      <c r="Y12" s="18" t="str">
        <f t="shared" si="7"/>
        <v>-</v>
      </c>
      <c r="Z12" s="133" t="str">
        <f t="shared" si="8"/>
        <v>-</v>
      </c>
      <c r="AA12" s="133" t="str">
        <f t="shared" si="8"/>
        <v>-</v>
      </c>
    </row>
    <row r="13" spans="1:27" x14ac:dyDescent="0.3">
      <c r="A13" t="s">
        <v>30</v>
      </c>
      <c r="B13" s="25">
        <v>2743000</v>
      </c>
      <c r="C13" s="25">
        <v>0</v>
      </c>
      <c r="D13" s="18">
        <f t="shared" si="0"/>
        <v>0</v>
      </c>
      <c r="E13" s="25">
        <v>680000</v>
      </c>
      <c r="F13" s="25">
        <v>0</v>
      </c>
      <c r="G13" s="18">
        <f t="shared" si="1"/>
        <v>0</v>
      </c>
      <c r="H13" s="111">
        <v>4550000</v>
      </c>
      <c r="I13" s="111">
        <v>0</v>
      </c>
      <c r="J13" s="104">
        <f t="shared" si="2"/>
        <v>0</v>
      </c>
      <c r="K13" s="139">
        <v>8522283.1799999997</v>
      </c>
      <c r="L13" s="139">
        <v>200469</v>
      </c>
      <c r="M13" s="104">
        <f t="shared" si="3"/>
        <v>2.352292170605859</v>
      </c>
      <c r="N13" s="139">
        <v>10626637.710000001</v>
      </c>
      <c r="O13" s="139">
        <v>0</v>
      </c>
      <c r="P13" s="104">
        <f t="shared" si="4"/>
        <v>0</v>
      </c>
      <c r="Q13" s="139">
        <v>14649176.23</v>
      </c>
      <c r="R13" s="139">
        <v>820774.1</v>
      </c>
      <c r="S13" s="104">
        <f t="shared" si="5"/>
        <v>5.6028686331122106</v>
      </c>
      <c r="T13" s="139">
        <v>10470000</v>
      </c>
      <c r="U13" s="139">
        <v>252930.77</v>
      </c>
      <c r="V13" s="104">
        <f t="shared" si="6"/>
        <v>2.4157666666666664</v>
      </c>
      <c r="W13" s="95">
        <v>20048000</v>
      </c>
      <c r="X13" s="95">
        <v>613754.52</v>
      </c>
      <c r="Y13" s="18">
        <f t="shared" si="7"/>
        <v>3.0614251795690346</v>
      </c>
      <c r="Z13" s="133">
        <f t="shared" si="8"/>
        <v>91.480420248328556</v>
      </c>
      <c r="AA13" s="133">
        <f t="shared" si="8"/>
        <v>142.65711917929167</v>
      </c>
    </row>
    <row r="14" spans="1:27" x14ac:dyDescent="0.3">
      <c r="A14" t="s">
        <v>31</v>
      </c>
      <c r="B14" s="25">
        <f>SUM(B3:B5)</f>
        <v>170026892.86000001</v>
      </c>
      <c r="C14" s="25">
        <f>SUM(C3:C5)</f>
        <v>138910613.02000001</v>
      </c>
      <c r="D14" s="18">
        <f>IF(B14&gt;0,C14/B14*100,"-")</f>
        <v>81.699201040143038</v>
      </c>
      <c r="E14" s="25">
        <f>SUM(E3:E5)</f>
        <v>168744949.44</v>
      </c>
      <c r="F14" s="25">
        <f>SUM(F3:F5)</f>
        <v>141442688.52000001</v>
      </c>
      <c r="G14" s="18">
        <f>IF(E14&gt;0,F14/E14*100,"-")</f>
        <v>83.820398174519738</v>
      </c>
      <c r="H14" s="111">
        <f>SUM(H3:H5)</f>
        <v>178251970.48999998</v>
      </c>
      <c r="I14" s="111">
        <f>SUM(I3:I5)</f>
        <v>145896507.63</v>
      </c>
      <c r="J14" s="104">
        <f t="shared" ref="J14:J21" si="9">IF(H14&gt;0,I14/H14*100,"-")</f>
        <v>81.84846833891514</v>
      </c>
      <c r="K14" s="139">
        <v>184311044.67999998</v>
      </c>
      <c r="L14" s="139">
        <v>148855241.47</v>
      </c>
      <c r="M14" s="104">
        <f>IF(K14&gt;0,L14/K14*100,"-")</f>
        <v>80.763061013756285</v>
      </c>
      <c r="N14" s="139">
        <f t="shared" ref="N14:O14" si="10">SUM(N3:N5)</f>
        <v>191232691.50999999</v>
      </c>
      <c r="O14" s="139">
        <f t="shared" si="10"/>
        <v>157043778.37</v>
      </c>
      <c r="P14" s="104">
        <f>IF(N14&gt;0,O14/N14*100,"-")</f>
        <v>82.121826100945626</v>
      </c>
      <c r="Q14" s="139">
        <f t="shared" ref="Q14:R14" si="11">SUM(Q3:Q5)</f>
        <v>197626068.75</v>
      </c>
      <c r="R14" s="139">
        <f t="shared" si="11"/>
        <v>154097978.28999999</v>
      </c>
      <c r="S14" s="104">
        <f>IF(Q14&gt;0,R14/Q14*100,"-")</f>
        <v>77.974519892381338</v>
      </c>
      <c r="T14" s="139">
        <v>165643781.81</v>
      </c>
      <c r="U14" s="139">
        <v>137912413.31999999</v>
      </c>
      <c r="V14" s="104">
        <f>IF(T14&gt;0,U14/T14*100,"-")</f>
        <v>83.258430719838913</v>
      </c>
      <c r="W14" s="139">
        <f t="shared" ref="W14:X14" si="12">SUM(W3:W5)</f>
        <v>168077943.45999998</v>
      </c>
      <c r="X14" s="139">
        <f t="shared" si="12"/>
        <v>140597487.73999998</v>
      </c>
      <c r="Y14" s="18">
        <f>IF(W14&gt;0,X14/W14*100,"-")</f>
        <v>83.650171370320265</v>
      </c>
      <c r="Z14" s="133">
        <f t="shared" si="8"/>
        <v>1.4695158631381986</v>
      </c>
      <c r="AA14" s="133">
        <f t="shared" si="8"/>
        <v>1.9469417983207791</v>
      </c>
    </row>
    <row r="15" spans="1:27" x14ac:dyDescent="0.3">
      <c r="A15" t="s">
        <v>32</v>
      </c>
      <c r="B15" s="24">
        <f>SUM(B6:B10)</f>
        <v>12917188</v>
      </c>
      <c r="C15" s="24">
        <f>SUM(C6:C10)</f>
        <v>11215949.73</v>
      </c>
      <c r="D15" s="18">
        <f>IF(B15&gt;0,C15/B15*100,"-")</f>
        <v>86.829654643100341</v>
      </c>
      <c r="E15" s="24">
        <f>SUM(E6:E10)</f>
        <v>10410641.33</v>
      </c>
      <c r="F15" s="24">
        <f>SUM(F6:F10)</f>
        <v>9928263.0899999999</v>
      </c>
      <c r="G15" s="18">
        <f>IF(E15&gt;0,F15/E15*100,"-")</f>
        <v>95.36648872332249</v>
      </c>
      <c r="H15" s="110">
        <f>SUM(H6:H10)</f>
        <v>14035230.039999999</v>
      </c>
      <c r="I15" s="110">
        <f>SUM(I6:I10)</f>
        <v>11937334.27</v>
      </c>
      <c r="J15" s="104">
        <f t="shared" si="9"/>
        <v>85.052644210169277</v>
      </c>
      <c r="K15" s="138">
        <v>31378386.300000001</v>
      </c>
      <c r="L15" s="138">
        <v>28188538.559999999</v>
      </c>
      <c r="M15" s="104">
        <f>IF(K15&gt;0,L15/K15*100,"-")</f>
        <v>89.834251801533838</v>
      </c>
      <c r="N15" s="138">
        <f t="shared" ref="N15:O15" si="13">SUM(N6:N10)</f>
        <v>14888918.09</v>
      </c>
      <c r="O15" s="138">
        <f t="shared" si="13"/>
        <v>10955039.129999999</v>
      </c>
      <c r="P15" s="104">
        <f>IF(N15&gt;0,O15/N15*100,"-")</f>
        <v>73.578476715227865</v>
      </c>
      <c r="Q15" s="138">
        <f t="shared" ref="Q15:R15" si="14">SUM(Q6:Q10)</f>
        <v>14554005.57</v>
      </c>
      <c r="R15" s="138">
        <f t="shared" si="14"/>
        <v>7785549.2599999998</v>
      </c>
      <c r="S15" s="104">
        <f>IF(Q15&gt;0,R15/Q15*100,"-")</f>
        <v>53.494202833399072</v>
      </c>
      <c r="T15" s="138">
        <v>45037811.769999996</v>
      </c>
      <c r="U15" s="138">
        <v>35795702.68</v>
      </c>
      <c r="V15" s="104">
        <f>IF(T15&gt;0,U15/T15*100,"-")</f>
        <v>79.479222620322261</v>
      </c>
      <c r="W15" s="138">
        <f t="shared" ref="W15:X15" si="15">SUM(W6:W10)</f>
        <v>20783343.100000001</v>
      </c>
      <c r="X15" s="138">
        <f t="shared" si="15"/>
        <v>12369505.620000001</v>
      </c>
      <c r="Y15" s="18">
        <f>IF(W15&gt;0,X15/W15*100,"-")</f>
        <v>59.516438527158797</v>
      </c>
      <c r="Z15" s="133">
        <f t="shared" si="8"/>
        <v>-53.85356818369241</v>
      </c>
      <c r="AA15" s="133">
        <f t="shared" si="8"/>
        <v>-65.444160349138315</v>
      </c>
    </row>
    <row r="16" spans="1:27" x14ac:dyDescent="0.3">
      <c r="A16" t="s">
        <v>33</v>
      </c>
      <c r="B16" s="25">
        <f>SUM(B11:B13)</f>
        <v>2743000</v>
      </c>
      <c r="C16" s="25">
        <f>SUM(C11:C13)</f>
        <v>0</v>
      </c>
      <c r="D16" s="18">
        <f t="shared" si="0"/>
        <v>0</v>
      </c>
      <c r="E16" s="25">
        <f>SUM(E11:E13)</f>
        <v>15926000</v>
      </c>
      <c r="F16" s="25">
        <f>SUM(F11:F13)</f>
        <v>15246000</v>
      </c>
      <c r="G16" s="18">
        <f t="shared" si="1"/>
        <v>95.73025241743062</v>
      </c>
      <c r="H16" s="111">
        <f>SUM(H11:H13)</f>
        <v>14754361.190000001</v>
      </c>
      <c r="I16" s="111">
        <f>SUM(I11:I13)</f>
        <v>10131686.130000001</v>
      </c>
      <c r="J16" s="104">
        <f t="shared" si="9"/>
        <v>68.669093832858792</v>
      </c>
      <c r="K16" s="139">
        <v>15882262.73</v>
      </c>
      <c r="L16" s="139">
        <v>7560448.5499999998</v>
      </c>
      <c r="M16" s="104">
        <f t="shared" ref="M16:M21" si="16">IF(K16&gt;0,L16/K16*100,"-")</f>
        <v>47.60309458751788</v>
      </c>
      <c r="N16" s="139">
        <f t="shared" ref="N16:O16" si="17">SUM(N11:N13)</f>
        <v>10626637.710000001</v>
      </c>
      <c r="O16" s="139">
        <f t="shared" si="17"/>
        <v>0</v>
      </c>
      <c r="P16" s="104">
        <f t="shared" ref="P16:P21" si="18">IF(N16&gt;0,O16/N16*100,"-")</f>
        <v>0</v>
      </c>
      <c r="Q16" s="139">
        <f t="shared" ref="Q16:R16" si="19">SUM(Q11:Q13)</f>
        <v>14649176.23</v>
      </c>
      <c r="R16" s="139">
        <f t="shared" si="19"/>
        <v>820774.1</v>
      </c>
      <c r="S16" s="104">
        <f t="shared" ref="S16:S21" si="20">IF(Q16&gt;0,R16/Q16*100,"-")</f>
        <v>5.6028686331122106</v>
      </c>
      <c r="T16" s="139">
        <v>10470000</v>
      </c>
      <c r="U16" s="139">
        <v>252930.77</v>
      </c>
      <c r="V16" s="104">
        <f t="shared" ref="V16:V21" si="21">IF(T16&gt;0,U16/T16*100,"-")</f>
        <v>2.4157666666666664</v>
      </c>
      <c r="W16" s="139">
        <f t="shared" ref="W16:X16" si="22">SUM(W11:W13)</f>
        <v>20048000</v>
      </c>
      <c r="X16" s="139">
        <f t="shared" si="22"/>
        <v>613754.52</v>
      </c>
      <c r="Y16" s="18">
        <f t="shared" si="7"/>
        <v>3.0614251795690346</v>
      </c>
      <c r="Z16" s="133">
        <f t="shared" si="8"/>
        <v>91.480420248328556</v>
      </c>
      <c r="AA16" s="133">
        <f t="shared" si="8"/>
        <v>142.65711917929167</v>
      </c>
    </row>
    <row r="17" spans="1:27" x14ac:dyDescent="0.3">
      <c r="A17" t="s">
        <v>34</v>
      </c>
      <c r="B17" s="25">
        <v>4174735</v>
      </c>
      <c r="C17" s="25">
        <v>2743000</v>
      </c>
      <c r="D17" s="18">
        <f t="shared" si="0"/>
        <v>65.704769284756992</v>
      </c>
      <c r="E17" s="25">
        <v>680000</v>
      </c>
      <c r="F17" s="25">
        <v>680000</v>
      </c>
      <c r="G17" s="18">
        <f t="shared" si="1"/>
        <v>100</v>
      </c>
      <c r="H17" s="111">
        <v>4550000</v>
      </c>
      <c r="I17" s="111">
        <v>4550000</v>
      </c>
      <c r="J17" s="104">
        <f t="shared" si="9"/>
        <v>100</v>
      </c>
      <c r="K17" s="139">
        <v>8522283.1799999997</v>
      </c>
      <c r="L17" s="139">
        <v>8522283.1799999997</v>
      </c>
      <c r="M17" s="104">
        <f t="shared" si="16"/>
        <v>100</v>
      </c>
      <c r="N17" s="139">
        <v>12126637.710000001</v>
      </c>
      <c r="O17" s="139">
        <v>10626637.710000001</v>
      </c>
      <c r="P17" s="104">
        <f t="shared" si="18"/>
        <v>87.630536708760971</v>
      </c>
      <c r="Q17" s="139">
        <v>15149176.23</v>
      </c>
      <c r="R17" s="139">
        <v>14649176.23</v>
      </c>
      <c r="S17" s="104">
        <f t="shared" si="20"/>
        <v>96.699490504243741</v>
      </c>
      <c r="T17" s="139">
        <v>10470000</v>
      </c>
      <c r="U17" s="139">
        <v>10470000</v>
      </c>
      <c r="V17" s="104">
        <f t="shared" si="21"/>
        <v>100</v>
      </c>
      <c r="W17" s="95">
        <v>20048000</v>
      </c>
      <c r="X17" s="95">
        <v>20048000</v>
      </c>
      <c r="Y17" s="18">
        <f t="shared" si="7"/>
        <v>100</v>
      </c>
      <c r="Z17" s="133">
        <f t="shared" si="8"/>
        <v>91.480420248328556</v>
      </c>
      <c r="AA17" s="133">
        <f t="shared" si="8"/>
        <v>91.480420248328556</v>
      </c>
    </row>
    <row r="18" spans="1:27" x14ac:dyDescent="0.3">
      <c r="A18" t="s">
        <v>35</v>
      </c>
      <c r="B18" s="25">
        <v>0</v>
      </c>
      <c r="C18" s="25">
        <v>0</v>
      </c>
      <c r="D18" s="18" t="str">
        <f t="shared" si="0"/>
        <v>-</v>
      </c>
      <c r="E18" s="25">
        <v>0</v>
      </c>
      <c r="F18" s="25">
        <v>0</v>
      </c>
      <c r="G18" s="18" t="str">
        <f t="shared" si="1"/>
        <v>-</v>
      </c>
      <c r="H18" s="111">
        <v>0</v>
      </c>
      <c r="I18" s="111">
        <v>0</v>
      </c>
      <c r="J18" s="104" t="str">
        <f t="shared" si="9"/>
        <v>-</v>
      </c>
      <c r="K18" s="139">
        <v>0</v>
      </c>
      <c r="L18" s="139">
        <v>0</v>
      </c>
      <c r="M18" s="104" t="str">
        <f t="shared" si="16"/>
        <v>-</v>
      </c>
      <c r="N18" s="139">
        <v>0</v>
      </c>
      <c r="O18" s="139">
        <v>0</v>
      </c>
      <c r="P18" s="104" t="str">
        <f t="shared" si="18"/>
        <v>-</v>
      </c>
      <c r="Q18" s="139">
        <v>0</v>
      </c>
      <c r="R18" s="139">
        <v>0</v>
      </c>
      <c r="S18" s="104" t="str">
        <f t="shared" si="20"/>
        <v>-</v>
      </c>
      <c r="T18" s="139">
        <v>0</v>
      </c>
      <c r="U18" s="139">
        <v>0</v>
      </c>
      <c r="V18" s="104" t="str">
        <f t="shared" si="21"/>
        <v>-</v>
      </c>
      <c r="W18" s="139">
        <v>0</v>
      </c>
      <c r="X18" s="139">
        <v>0</v>
      </c>
      <c r="Y18" s="18" t="str">
        <f t="shared" si="7"/>
        <v>-</v>
      </c>
      <c r="Z18" s="133" t="str">
        <f t="shared" si="8"/>
        <v>-</v>
      </c>
      <c r="AA18" s="133" t="str">
        <f t="shared" si="8"/>
        <v>-</v>
      </c>
    </row>
    <row r="19" spans="1:27" x14ac:dyDescent="0.3">
      <c r="A19" t="s">
        <v>36</v>
      </c>
      <c r="B19" s="25">
        <v>19389751.43</v>
      </c>
      <c r="C19" s="25">
        <v>19105752.719999999</v>
      </c>
      <c r="D19" s="18">
        <f t="shared" si="0"/>
        <v>98.535315364793192</v>
      </c>
      <c r="E19" s="25">
        <v>19084551.32</v>
      </c>
      <c r="F19" s="25">
        <v>18938448.68</v>
      </c>
      <c r="G19" s="18">
        <f t="shared" si="1"/>
        <v>99.234445507519524</v>
      </c>
      <c r="H19" s="111">
        <v>22044472.690000001</v>
      </c>
      <c r="I19" s="111">
        <v>21896395.539999999</v>
      </c>
      <c r="J19" s="104">
        <f t="shared" si="9"/>
        <v>99.328279918134882</v>
      </c>
      <c r="K19" s="139">
        <v>22792371.899999999</v>
      </c>
      <c r="L19" s="139">
        <v>22780010.699999999</v>
      </c>
      <c r="M19" s="104">
        <f t="shared" si="16"/>
        <v>99.945766065707275</v>
      </c>
      <c r="N19" s="139">
        <v>23552947.41</v>
      </c>
      <c r="O19" s="139">
        <v>23542554.68</v>
      </c>
      <c r="P19" s="104">
        <f t="shared" si="18"/>
        <v>99.955875034155653</v>
      </c>
      <c r="Q19" s="139">
        <v>22916983.43</v>
      </c>
      <c r="R19" s="139">
        <v>22900314.210000001</v>
      </c>
      <c r="S19" s="104">
        <f t="shared" si="20"/>
        <v>99.92726259086011</v>
      </c>
      <c r="T19" s="139">
        <v>25157157.68</v>
      </c>
      <c r="U19" s="139">
        <v>25143067.530000001</v>
      </c>
      <c r="V19" s="104">
        <f t="shared" si="21"/>
        <v>99.943991486720293</v>
      </c>
      <c r="W19" s="95">
        <v>26621972.399999999</v>
      </c>
      <c r="X19" s="95">
        <v>26602180.079999998</v>
      </c>
      <c r="Y19" s="18">
        <f t="shared" si="7"/>
        <v>99.925654193826745</v>
      </c>
      <c r="Z19" s="133">
        <f t="shared" si="8"/>
        <v>5.8226558764407912</v>
      </c>
      <c r="AA19" s="133">
        <f t="shared" si="8"/>
        <v>5.8032399915365289</v>
      </c>
    </row>
    <row r="20" spans="1:27" x14ac:dyDescent="0.3">
      <c r="A20" t="s">
        <v>37</v>
      </c>
      <c r="B20" s="25">
        <f>B14+B15+B16+B17+B18+B19</f>
        <v>209251567.29000002</v>
      </c>
      <c r="C20" s="25">
        <f>C14+C15+C16+C17+C18+C19</f>
        <v>171975315.47</v>
      </c>
      <c r="D20" s="18">
        <f t="shared" si="0"/>
        <v>82.18591511511157</v>
      </c>
      <c r="E20" s="25">
        <f>E14+E15+E16+E17+E18+E19</f>
        <v>214846142.09</v>
      </c>
      <c r="F20" s="25">
        <f>F14+F15+F16+F17+F18+F19</f>
        <v>186235400.29000002</v>
      </c>
      <c r="G20" s="18">
        <f t="shared" si="1"/>
        <v>86.683148451409096</v>
      </c>
      <c r="H20" s="111">
        <f>H14+H15+H16+H17+H18+H19</f>
        <v>233636034.40999997</v>
      </c>
      <c r="I20" s="111">
        <f>I14+I15+I16+I17+I18+I19</f>
        <v>194411923.56999999</v>
      </c>
      <c r="J20" s="104">
        <f t="shared" si="9"/>
        <v>83.211446411058787</v>
      </c>
      <c r="K20" s="139">
        <v>262886348.78999999</v>
      </c>
      <c r="L20" s="139">
        <v>215906522.46000001</v>
      </c>
      <c r="M20" s="104">
        <f t="shared" si="16"/>
        <v>82.129225596446389</v>
      </c>
      <c r="N20" s="139">
        <f t="shared" ref="N20:O20" si="23">N14+N15+N16+N17+N18+N19</f>
        <v>252427832.43000001</v>
      </c>
      <c r="O20" s="139">
        <f t="shared" si="23"/>
        <v>202168009.89000002</v>
      </c>
      <c r="P20" s="104">
        <f t="shared" si="18"/>
        <v>80.089429102895224</v>
      </c>
      <c r="Q20" s="139">
        <f t="shared" ref="Q20:R20" si="24">Q14+Q15+Q16+Q17+Q18+Q19</f>
        <v>264895410.20999998</v>
      </c>
      <c r="R20" s="139">
        <f t="shared" si="24"/>
        <v>200253792.08999997</v>
      </c>
      <c r="S20" s="104">
        <f t="shared" si="20"/>
        <v>75.59730534071754</v>
      </c>
      <c r="T20" s="139">
        <v>256778751.25999999</v>
      </c>
      <c r="U20" s="139">
        <v>209574114.30000001</v>
      </c>
      <c r="V20" s="104">
        <f t="shared" si="21"/>
        <v>81.616610903990576</v>
      </c>
      <c r="W20" s="139">
        <f t="shared" ref="W20:X20" si="25">W14+W15+W16+W17+W18+W19</f>
        <v>255579258.95999998</v>
      </c>
      <c r="X20" s="139">
        <f t="shared" si="25"/>
        <v>200230927.95999998</v>
      </c>
      <c r="Y20" s="18">
        <f t="shared" si="7"/>
        <v>78.343966085032577</v>
      </c>
      <c r="Z20" s="133">
        <f t="shared" si="8"/>
        <v>-0.46713066954106353</v>
      </c>
      <c r="AA20" s="133">
        <f t="shared" si="8"/>
        <v>-4.4581776576784193</v>
      </c>
    </row>
    <row r="21" spans="1:27" x14ac:dyDescent="0.3">
      <c r="A21" t="s">
        <v>38</v>
      </c>
      <c r="B21" s="25">
        <f>B20-B19</f>
        <v>189861815.86000001</v>
      </c>
      <c r="C21" s="25">
        <f>C20-C19</f>
        <v>152869562.75</v>
      </c>
      <c r="D21" s="18">
        <f t="shared" si="0"/>
        <v>80.516222842155216</v>
      </c>
      <c r="E21" s="25">
        <f>E20-E19</f>
        <v>195761590.77000001</v>
      </c>
      <c r="F21" s="25">
        <f>F20-F19</f>
        <v>167296951.61000001</v>
      </c>
      <c r="G21" s="18">
        <f t="shared" si="1"/>
        <v>85.459538284278111</v>
      </c>
      <c r="H21" s="111">
        <f>H20-H19</f>
        <v>211591561.71999997</v>
      </c>
      <c r="I21" s="111">
        <f>I20-I19</f>
        <v>172515528.03</v>
      </c>
      <c r="J21" s="104">
        <f t="shared" si="9"/>
        <v>81.532328901797385</v>
      </c>
      <c r="K21" s="139">
        <v>240093976.88999999</v>
      </c>
      <c r="L21" s="139">
        <v>193126511.76000002</v>
      </c>
      <c r="M21" s="104">
        <f t="shared" si="16"/>
        <v>80.437882808064657</v>
      </c>
      <c r="N21" s="139">
        <f t="shared" ref="N21:O21" si="26">N20-N19</f>
        <v>228874885.02000001</v>
      </c>
      <c r="O21" s="139">
        <f t="shared" si="26"/>
        <v>178625455.21000001</v>
      </c>
      <c r="P21" s="104">
        <f t="shared" si="18"/>
        <v>78.045022368614624</v>
      </c>
      <c r="Q21" s="139">
        <f t="shared" ref="Q21:R21" si="27">Q20-Q19</f>
        <v>241978426.77999997</v>
      </c>
      <c r="R21" s="139">
        <f t="shared" si="27"/>
        <v>177353477.87999997</v>
      </c>
      <c r="S21" s="104">
        <f t="shared" si="20"/>
        <v>73.293094859751605</v>
      </c>
      <c r="T21" s="139">
        <v>231621593.57999998</v>
      </c>
      <c r="U21" s="139">
        <v>184431046.77000001</v>
      </c>
      <c r="V21" s="104">
        <f t="shared" si="21"/>
        <v>79.626015830125624</v>
      </c>
      <c r="W21" s="139">
        <f t="shared" ref="W21:X21" si="28">W20-W19</f>
        <v>228957286.55999997</v>
      </c>
      <c r="X21" s="139">
        <f t="shared" si="28"/>
        <v>173628747.88</v>
      </c>
      <c r="Y21" s="18">
        <f t="shared" si="7"/>
        <v>75.834558702502477</v>
      </c>
      <c r="Z21" s="133">
        <f t="shared" si="8"/>
        <v>-1.1502843836016439</v>
      </c>
      <c r="AA21" s="133">
        <f t="shared" si="8"/>
        <v>-5.8570935204154182</v>
      </c>
    </row>
    <row r="22" spans="1:27" x14ac:dyDescent="0.3">
      <c r="B22" s="12" t="s">
        <v>75</v>
      </c>
      <c r="C22" s="12" t="s">
        <v>76</v>
      </c>
      <c r="D22" s="16"/>
      <c r="E22" s="12" t="s">
        <v>75</v>
      </c>
      <c r="F22" s="12" t="s">
        <v>76</v>
      </c>
      <c r="G22" s="16"/>
      <c r="H22" s="99" t="s">
        <v>75</v>
      </c>
      <c r="I22" s="99" t="s">
        <v>76</v>
      </c>
      <c r="J22" s="102"/>
      <c r="K22" s="141" t="s">
        <v>75</v>
      </c>
      <c r="L22" s="141" t="s">
        <v>76</v>
      </c>
      <c r="M22" s="102"/>
      <c r="N22" s="141" t="s">
        <v>75</v>
      </c>
      <c r="O22" s="141" t="s">
        <v>76</v>
      </c>
      <c r="P22" s="102"/>
      <c r="Q22" s="141" t="s">
        <v>75</v>
      </c>
      <c r="R22" s="141" t="s">
        <v>76</v>
      </c>
      <c r="S22" s="102"/>
      <c r="T22" s="141" t="s">
        <v>75</v>
      </c>
      <c r="U22" s="141" t="s">
        <v>76</v>
      </c>
      <c r="V22" s="102"/>
      <c r="W22" s="141" t="s">
        <v>75</v>
      </c>
      <c r="X22" s="141" t="s">
        <v>76</v>
      </c>
      <c r="Y22" s="16"/>
    </row>
    <row r="23" spans="1:27" x14ac:dyDescent="0.3">
      <c r="A23" s="5" t="s">
        <v>39</v>
      </c>
      <c r="B23" s="24">
        <v>35129559.539999999</v>
      </c>
      <c r="C23" s="24">
        <v>34108784.560000002</v>
      </c>
      <c r="D23" s="18">
        <f>IF(B23&gt;0,C23/B23*100,"-")</f>
        <v>97.094256252095335</v>
      </c>
      <c r="E23" s="88">
        <v>34834909.170000002</v>
      </c>
      <c r="F23" s="88">
        <v>34200602.289999999</v>
      </c>
      <c r="G23" s="18">
        <f>IF(E23&gt;0,F23/E23*100,"-")</f>
        <v>98.179105687043759</v>
      </c>
      <c r="H23" s="128">
        <v>36139968.780000001</v>
      </c>
      <c r="I23" s="128">
        <v>35642239.170000002</v>
      </c>
      <c r="J23" s="104">
        <f>IF(H23&gt;0,I23/H23*100,"-")</f>
        <v>98.622772440590907</v>
      </c>
      <c r="K23" s="143">
        <v>36846830.100000001</v>
      </c>
      <c r="L23" s="143">
        <v>36199149.789999999</v>
      </c>
      <c r="M23" s="104">
        <f>IF(K23&gt;0,L23/K23*100,"-")</f>
        <v>98.242236012589856</v>
      </c>
      <c r="N23" s="143">
        <v>35530083.229999997</v>
      </c>
      <c r="O23" s="143">
        <v>34903874.020000003</v>
      </c>
      <c r="P23" s="104">
        <f>IF(N23&gt;0,O23/N23*100,"-")</f>
        <v>98.237523942890036</v>
      </c>
      <c r="Q23" s="95">
        <v>35456819.149999999</v>
      </c>
      <c r="R23" s="95">
        <v>34883550.159999996</v>
      </c>
      <c r="S23" s="104">
        <f>IF(Q23&gt;0,R23/Q23*100,"-")</f>
        <v>98.383191149846837</v>
      </c>
      <c r="T23" s="95">
        <v>37167560.960000001</v>
      </c>
      <c r="U23" s="95">
        <v>36361622.979999997</v>
      </c>
      <c r="V23" s="104">
        <f>IF(T23&gt;0,U23/T23*100,"-")</f>
        <v>97.831609179662451</v>
      </c>
      <c r="W23" s="95">
        <v>38384590.229999997</v>
      </c>
      <c r="X23" s="95">
        <v>37727196.57</v>
      </c>
      <c r="Y23" s="18">
        <f>IF(W23&gt;0,X23/W23*100,"-")</f>
        <v>98.287350064020742</v>
      </c>
      <c r="Z23" s="133">
        <f t="shared" si="8"/>
        <v>3.2744394266542685</v>
      </c>
      <c r="AA23" s="133">
        <f t="shared" si="8"/>
        <v>3.7555353091667882</v>
      </c>
    </row>
    <row r="24" spans="1:27" x14ac:dyDescent="0.3">
      <c r="A24" s="5" t="s">
        <v>40</v>
      </c>
      <c r="B24" s="24">
        <v>2422924.9</v>
      </c>
      <c r="C24" s="24">
        <v>2048076.49</v>
      </c>
      <c r="D24" s="18">
        <f t="shared" ref="D24:D55" si="29">IF(B24&gt;0,C24/B24*100,"-")</f>
        <v>84.52909497937803</v>
      </c>
      <c r="E24" s="24">
        <v>2480999.37</v>
      </c>
      <c r="F24" s="24">
        <v>2053167.96</v>
      </c>
      <c r="G24" s="18">
        <f t="shared" ref="G24:G55" si="30">IF(E24&gt;0,F24/E24*100,"-")</f>
        <v>82.755682440983449</v>
      </c>
      <c r="H24" s="110">
        <v>2475979.85</v>
      </c>
      <c r="I24" s="110">
        <v>2132652.33</v>
      </c>
      <c r="J24" s="104">
        <f t="shared" ref="J24:J55" si="31">IF(H24&gt;0,I24/H24*100,"-")</f>
        <v>86.133670675874043</v>
      </c>
      <c r="K24" s="138">
        <v>2577926.9500000002</v>
      </c>
      <c r="L24" s="138">
        <v>2185488.21</v>
      </c>
      <c r="M24" s="104">
        <f t="shared" ref="M24:M55" si="32">IF(K24&gt;0,L24/K24*100,"-")</f>
        <v>84.776964296835473</v>
      </c>
      <c r="N24" s="138">
        <v>2549972.77</v>
      </c>
      <c r="O24" s="138">
        <v>2109644.17</v>
      </c>
      <c r="P24" s="104">
        <f t="shared" ref="P24:P55" si="33">IF(N24&gt;0,O24/N24*100,"-")</f>
        <v>82.732027369845213</v>
      </c>
      <c r="Q24" s="95">
        <v>2587413.88</v>
      </c>
      <c r="R24" s="95">
        <v>2184839.5499999998</v>
      </c>
      <c r="S24" s="104">
        <f t="shared" ref="S24:S55" si="34">IF(Q24&gt;0,R24/Q24*100,"-")</f>
        <v>84.441053937609695</v>
      </c>
      <c r="T24" s="95">
        <v>2651529.71</v>
      </c>
      <c r="U24" s="95">
        <v>2240529.2799999998</v>
      </c>
      <c r="V24" s="104">
        <f t="shared" ref="V24:V55" si="35">IF(T24&gt;0,U24/T24*100,"-")</f>
        <v>84.499497461787826</v>
      </c>
      <c r="W24" s="95">
        <v>2775110.02</v>
      </c>
      <c r="X24" s="95">
        <v>2384249.4900000002</v>
      </c>
      <c r="Y24" s="18">
        <f t="shared" ref="Y24:Y55" si="36">IF(W24&gt;0,X24/W24*100,"-")</f>
        <v>85.915494262097766</v>
      </c>
      <c r="Z24" s="133">
        <f t="shared" si="8"/>
        <v>4.6607175297311585</v>
      </c>
      <c r="AA24" s="133">
        <f t="shared" si="8"/>
        <v>6.4145651334670504</v>
      </c>
    </row>
    <row r="25" spans="1:27" x14ac:dyDescent="0.3">
      <c r="A25" s="5" t="s">
        <v>41</v>
      </c>
      <c r="B25" s="24">
        <v>72602386.890000001</v>
      </c>
      <c r="C25" s="24">
        <v>49925310.159999996</v>
      </c>
      <c r="D25" s="18">
        <f t="shared" si="29"/>
        <v>68.765384030199883</v>
      </c>
      <c r="E25" s="24">
        <v>73771387.659999996</v>
      </c>
      <c r="F25" s="24">
        <v>51187221.189999998</v>
      </c>
      <c r="G25" s="18">
        <f t="shared" si="30"/>
        <v>69.386279441988194</v>
      </c>
      <c r="H25" s="110">
        <v>78978757.439999998</v>
      </c>
      <c r="I25" s="110">
        <v>58350858.030000001</v>
      </c>
      <c r="J25" s="104">
        <f t="shared" si="31"/>
        <v>73.881711894909259</v>
      </c>
      <c r="K25" s="138">
        <v>81615568.060000002</v>
      </c>
      <c r="L25" s="138">
        <v>59876926.590000004</v>
      </c>
      <c r="M25" s="104">
        <f t="shared" si="32"/>
        <v>73.36458964052207</v>
      </c>
      <c r="N25" s="138">
        <v>81420191.900000006</v>
      </c>
      <c r="O25" s="138">
        <v>57142884.43</v>
      </c>
      <c r="P25" s="104">
        <f t="shared" si="33"/>
        <v>70.182694361839253</v>
      </c>
      <c r="Q25" s="95">
        <v>92181924.920000002</v>
      </c>
      <c r="R25" s="95">
        <v>62844015.5</v>
      </c>
      <c r="S25" s="104">
        <f t="shared" si="34"/>
        <v>68.173902372443536</v>
      </c>
      <c r="T25" s="95">
        <v>64260186.640000001</v>
      </c>
      <c r="U25" s="95">
        <v>38126954.299999997</v>
      </c>
      <c r="V25" s="104">
        <f t="shared" si="35"/>
        <v>59.332156181860718</v>
      </c>
      <c r="W25" s="95">
        <v>64100238.969999999</v>
      </c>
      <c r="X25" s="95">
        <v>43001478.259999998</v>
      </c>
      <c r="Y25" s="18">
        <f t="shared" si="36"/>
        <v>67.084739387828847</v>
      </c>
      <c r="Z25" s="133">
        <f t="shared" si="8"/>
        <v>-0.24890632655031197</v>
      </c>
      <c r="AA25" s="133">
        <f t="shared" si="8"/>
        <v>12.784981254062558</v>
      </c>
    </row>
    <row r="26" spans="1:27" x14ac:dyDescent="0.3">
      <c r="A26" s="5" t="s">
        <v>42</v>
      </c>
      <c r="B26" s="24">
        <v>33953261.219999999</v>
      </c>
      <c r="C26" s="24">
        <v>30480686.32</v>
      </c>
      <c r="D26" s="18">
        <f t="shared" si="29"/>
        <v>89.772484953655947</v>
      </c>
      <c r="E26" s="24">
        <v>34187825.25</v>
      </c>
      <c r="F26" s="24">
        <v>31222787.850000001</v>
      </c>
      <c r="G26" s="18">
        <f t="shared" si="30"/>
        <v>91.327212601801861</v>
      </c>
      <c r="H26" s="110">
        <v>37259028.920000002</v>
      </c>
      <c r="I26" s="110">
        <v>30426108.530000001</v>
      </c>
      <c r="J26" s="104">
        <f t="shared" si="31"/>
        <v>81.661034685924932</v>
      </c>
      <c r="K26" s="138">
        <v>35167945.109999999</v>
      </c>
      <c r="L26" s="138">
        <v>30005387.219999999</v>
      </c>
      <c r="M26" s="104">
        <f t="shared" si="32"/>
        <v>85.320274261540447</v>
      </c>
      <c r="N26" s="138">
        <v>42316063.880000003</v>
      </c>
      <c r="O26" s="138">
        <v>30164034.640000001</v>
      </c>
      <c r="P26" s="104">
        <f t="shared" si="33"/>
        <v>71.282704188979494</v>
      </c>
      <c r="Q26" s="95">
        <v>42065289.840000004</v>
      </c>
      <c r="R26" s="95">
        <v>34863568.009999998</v>
      </c>
      <c r="S26" s="104">
        <f t="shared" si="34"/>
        <v>82.879657177229603</v>
      </c>
      <c r="T26" s="95">
        <v>41919413.380000003</v>
      </c>
      <c r="U26" s="95">
        <v>35824150.899999999</v>
      </c>
      <c r="V26" s="104">
        <f t="shared" si="35"/>
        <v>85.45957114250055</v>
      </c>
      <c r="W26" s="95">
        <v>47934676.380000003</v>
      </c>
      <c r="X26" s="95">
        <v>40397210.740000002</v>
      </c>
      <c r="Y26" s="18">
        <f t="shared" si="36"/>
        <v>84.27554703770798</v>
      </c>
      <c r="Z26" s="133">
        <f t="shared" si="8"/>
        <v>14.349587732708869</v>
      </c>
      <c r="AA26" s="133">
        <f t="shared" si="8"/>
        <v>12.765298618703639</v>
      </c>
    </row>
    <row r="27" spans="1:27" x14ac:dyDescent="0.3">
      <c r="A27" s="5" t="s">
        <v>43</v>
      </c>
      <c r="B27" s="24">
        <v>2293243.67</v>
      </c>
      <c r="C27" s="24">
        <v>2293243.67</v>
      </c>
      <c r="D27" s="18">
        <f t="shared" si="29"/>
        <v>100</v>
      </c>
      <c r="E27" s="24">
        <v>2164337.64</v>
      </c>
      <c r="F27" s="24">
        <v>2164337.64</v>
      </c>
      <c r="G27" s="18">
        <f t="shared" si="30"/>
        <v>100</v>
      </c>
      <c r="H27" s="110">
        <v>1766022.52</v>
      </c>
      <c r="I27" s="110">
        <v>1766022.52</v>
      </c>
      <c r="J27" s="104">
        <f t="shared" si="31"/>
        <v>100</v>
      </c>
      <c r="K27" s="138">
        <v>1591106.29</v>
      </c>
      <c r="L27" s="138">
        <v>1591106.29</v>
      </c>
      <c r="M27" s="104">
        <f t="shared" si="32"/>
        <v>100</v>
      </c>
      <c r="N27" s="138">
        <v>1667829.31</v>
      </c>
      <c r="O27" s="138">
        <v>1667829.31</v>
      </c>
      <c r="P27" s="104">
        <f t="shared" si="33"/>
        <v>100</v>
      </c>
      <c r="Q27" s="95">
        <v>1620602.74</v>
      </c>
      <c r="R27" s="95">
        <v>1620602.74</v>
      </c>
      <c r="S27" s="104">
        <f t="shared" si="34"/>
        <v>100</v>
      </c>
      <c r="T27" s="95">
        <v>1650930.96</v>
      </c>
      <c r="U27" s="95">
        <v>1564935.81</v>
      </c>
      <c r="V27" s="104">
        <f t="shared" si="35"/>
        <v>94.791111676771749</v>
      </c>
      <c r="W27" s="95">
        <v>1865920.55</v>
      </c>
      <c r="X27" s="95">
        <v>1785072.93</v>
      </c>
      <c r="Y27" s="18">
        <f t="shared" si="36"/>
        <v>95.667145634898546</v>
      </c>
      <c r="Z27" s="133">
        <f t="shared" si="8"/>
        <v>13.022324688853132</v>
      </c>
      <c r="AA27" s="133">
        <f t="shared" si="8"/>
        <v>14.066846613983472</v>
      </c>
    </row>
    <row r="28" spans="1:27" x14ac:dyDescent="0.3">
      <c r="A28" s="5" t="s">
        <v>44</v>
      </c>
      <c r="B28" s="24">
        <v>0</v>
      </c>
      <c r="C28" s="24">
        <v>0</v>
      </c>
      <c r="D28" s="18" t="str">
        <f t="shared" si="29"/>
        <v>-</v>
      </c>
      <c r="E28" s="24">
        <v>802727.48</v>
      </c>
      <c r="F28" s="24">
        <v>802727.48</v>
      </c>
      <c r="G28" s="18">
        <f t="shared" si="30"/>
        <v>100</v>
      </c>
      <c r="H28" s="110">
        <v>0</v>
      </c>
      <c r="I28" s="110">
        <v>0</v>
      </c>
      <c r="J28" s="104" t="str">
        <f t="shared" si="31"/>
        <v>-</v>
      </c>
      <c r="K28" s="138">
        <v>0</v>
      </c>
      <c r="L28" s="138">
        <v>0</v>
      </c>
      <c r="M28" s="104" t="str">
        <f t="shared" si="32"/>
        <v>-</v>
      </c>
      <c r="N28" s="138">
        <v>22000</v>
      </c>
      <c r="O28" s="138">
        <v>22000</v>
      </c>
      <c r="P28" s="104">
        <f t="shared" si="33"/>
        <v>100</v>
      </c>
      <c r="Q28" s="95">
        <v>22000</v>
      </c>
      <c r="R28" s="95">
        <v>22000</v>
      </c>
      <c r="S28" s="104">
        <f t="shared" si="34"/>
        <v>100</v>
      </c>
      <c r="T28" s="95">
        <v>22000</v>
      </c>
      <c r="U28" s="95">
        <v>22000</v>
      </c>
      <c r="V28" s="104">
        <f t="shared" si="35"/>
        <v>100</v>
      </c>
      <c r="W28" s="95">
        <v>22000</v>
      </c>
      <c r="X28" s="95">
        <v>22000</v>
      </c>
      <c r="Y28" s="18">
        <f t="shared" si="36"/>
        <v>100</v>
      </c>
      <c r="Z28" s="133">
        <f t="shared" si="8"/>
        <v>0</v>
      </c>
      <c r="AA28" s="133">
        <f t="shared" si="8"/>
        <v>0</v>
      </c>
    </row>
    <row r="29" spans="1:27" x14ac:dyDescent="0.3">
      <c r="A29" s="5" t="s">
        <v>45</v>
      </c>
      <c r="B29" s="24">
        <v>417210.43</v>
      </c>
      <c r="C29" s="24">
        <v>166397.70000000001</v>
      </c>
      <c r="D29" s="18">
        <f t="shared" si="29"/>
        <v>39.883398888182157</v>
      </c>
      <c r="E29" s="24">
        <v>401262.89</v>
      </c>
      <c r="F29" s="24">
        <v>130250.45</v>
      </c>
      <c r="G29" s="18">
        <f t="shared" si="30"/>
        <v>32.460128570573772</v>
      </c>
      <c r="H29" s="110">
        <v>418972.68</v>
      </c>
      <c r="I29" s="110">
        <v>198272.89</v>
      </c>
      <c r="J29" s="104">
        <f t="shared" si="31"/>
        <v>47.323584439921</v>
      </c>
      <c r="K29" s="138">
        <v>1396359.23</v>
      </c>
      <c r="L29" s="138">
        <v>691803.34</v>
      </c>
      <c r="M29" s="104">
        <f t="shared" si="32"/>
        <v>49.543364281697052</v>
      </c>
      <c r="N29" s="138">
        <v>1096436.04</v>
      </c>
      <c r="O29" s="138">
        <v>413233.18</v>
      </c>
      <c r="P29" s="104">
        <f t="shared" si="33"/>
        <v>37.688762948726129</v>
      </c>
      <c r="Q29" s="95">
        <v>830324.24</v>
      </c>
      <c r="R29" s="95">
        <v>273622.94</v>
      </c>
      <c r="S29" s="104">
        <f t="shared" si="34"/>
        <v>32.953745876430155</v>
      </c>
      <c r="T29" s="95">
        <v>800391.45</v>
      </c>
      <c r="U29" s="95">
        <v>397566.9</v>
      </c>
      <c r="V29" s="104">
        <f t="shared" si="35"/>
        <v>49.671557585978718</v>
      </c>
      <c r="W29" s="95">
        <v>752161.99</v>
      </c>
      <c r="X29" s="95">
        <v>401303.26</v>
      </c>
      <c r="Y29" s="18">
        <f t="shared" si="36"/>
        <v>53.35330225873286</v>
      </c>
      <c r="Z29" s="133">
        <f t="shared" si="8"/>
        <v>-6.025734033015965</v>
      </c>
      <c r="AA29" s="133">
        <f t="shared" si="8"/>
        <v>0.93980660864876597</v>
      </c>
    </row>
    <row r="30" spans="1:27" x14ac:dyDescent="0.3">
      <c r="A30" s="5" t="s">
        <v>46</v>
      </c>
      <c r="B30" s="24">
        <v>3312589.98</v>
      </c>
      <c r="C30" s="24">
        <v>2818743.47</v>
      </c>
      <c r="D30" s="18">
        <f t="shared" si="29"/>
        <v>85.091831075332792</v>
      </c>
      <c r="E30" s="24">
        <v>2249666.9900000002</v>
      </c>
      <c r="F30" s="24">
        <v>1837607.44</v>
      </c>
      <c r="G30" s="18">
        <f t="shared" si="30"/>
        <v>81.683531303448603</v>
      </c>
      <c r="H30" s="110">
        <v>1818649.6000000001</v>
      </c>
      <c r="I30" s="110">
        <v>1547148.05</v>
      </c>
      <c r="J30" s="104">
        <f t="shared" si="31"/>
        <v>85.071255617354765</v>
      </c>
      <c r="K30" s="138">
        <v>1618735.28</v>
      </c>
      <c r="L30" s="138">
        <v>1390390.07</v>
      </c>
      <c r="M30" s="104">
        <f t="shared" si="32"/>
        <v>85.893603925158175</v>
      </c>
      <c r="N30" s="138">
        <v>1563118.04</v>
      </c>
      <c r="O30" s="138">
        <v>1379843.52</v>
      </c>
      <c r="P30" s="104">
        <f t="shared" si="33"/>
        <v>88.275068465078945</v>
      </c>
      <c r="Q30" s="95">
        <v>2902742.01</v>
      </c>
      <c r="R30" s="95">
        <v>2706693.49</v>
      </c>
      <c r="S30" s="104">
        <f t="shared" si="34"/>
        <v>93.246092166489177</v>
      </c>
      <c r="T30" s="95">
        <v>1602017.32</v>
      </c>
      <c r="U30" s="95">
        <v>1308431.6399999999</v>
      </c>
      <c r="V30" s="104">
        <f t="shared" si="35"/>
        <v>81.674000877843184</v>
      </c>
      <c r="W30" s="95">
        <v>2313199.0299999998</v>
      </c>
      <c r="X30" s="95">
        <v>1939991.22</v>
      </c>
      <c r="Y30" s="18">
        <f t="shared" si="36"/>
        <v>83.866160881106723</v>
      </c>
      <c r="Z30" s="133">
        <f t="shared" si="8"/>
        <v>44.392885215498154</v>
      </c>
      <c r="AA30" s="133">
        <f t="shared" si="8"/>
        <v>48.268442973451812</v>
      </c>
    </row>
    <row r="31" spans="1:27" x14ac:dyDescent="0.3">
      <c r="A31" s="5" t="s">
        <v>47</v>
      </c>
      <c r="B31" s="25">
        <v>0</v>
      </c>
      <c r="C31" s="25">
        <v>0</v>
      </c>
      <c r="D31" s="18" t="str">
        <f t="shared" si="29"/>
        <v>-</v>
      </c>
      <c r="E31" s="25">
        <v>0</v>
      </c>
      <c r="F31" s="25">
        <v>0</v>
      </c>
      <c r="G31" s="18" t="str">
        <f t="shared" si="30"/>
        <v>-</v>
      </c>
      <c r="H31" s="111">
        <v>0</v>
      </c>
      <c r="I31" s="111">
        <v>0</v>
      </c>
      <c r="J31" s="104" t="str">
        <f t="shared" si="31"/>
        <v>-</v>
      </c>
      <c r="K31" s="139">
        <v>0</v>
      </c>
      <c r="L31" s="139">
        <v>0</v>
      </c>
      <c r="M31" s="104" t="str">
        <f t="shared" si="32"/>
        <v>-</v>
      </c>
      <c r="N31" s="139">
        <v>0</v>
      </c>
      <c r="O31" s="139">
        <v>0</v>
      </c>
      <c r="P31" s="104" t="str">
        <f t="shared" si="33"/>
        <v>-</v>
      </c>
      <c r="Q31" s="139">
        <v>0</v>
      </c>
      <c r="R31" s="139">
        <v>0</v>
      </c>
      <c r="S31" s="104" t="str">
        <f t="shared" si="34"/>
        <v>-</v>
      </c>
      <c r="T31" s="139">
        <v>0</v>
      </c>
      <c r="U31" s="139">
        <v>0</v>
      </c>
      <c r="V31" s="104" t="str">
        <f t="shared" si="35"/>
        <v>-</v>
      </c>
      <c r="W31" s="95">
        <v>0</v>
      </c>
      <c r="X31" s="95">
        <v>0</v>
      </c>
      <c r="Y31" s="18" t="str">
        <f t="shared" si="36"/>
        <v>-</v>
      </c>
      <c r="Z31" s="133" t="str">
        <f t="shared" si="8"/>
        <v>-</v>
      </c>
      <c r="AA31" s="133" t="str">
        <f t="shared" si="8"/>
        <v>-</v>
      </c>
    </row>
    <row r="32" spans="1:27" x14ac:dyDescent="0.3">
      <c r="A32" s="5" t="s">
        <v>48</v>
      </c>
      <c r="B32" s="24">
        <v>13187937.960000001</v>
      </c>
      <c r="C32" s="24">
        <v>9211541.9800000004</v>
      </c>
      <c r="D32" s="18">
        <f t="shared" si="29"/>
        <v>69.848235622121464</v>
      </c>
      <c r="E32" s="24">
        <v>13033243.949999999</v>
      </c>
      <c r="F32" s="24">
        <v>9646797.7400000002</v>
      </c>
      <c r="G32" s="18">
        <f t="shared" si="30"/>
        <v>74.016858558072187</v>
      </c>
      <c r="H32" s="110">
        <v>15097236.039999999</v>
      </c>
      <c r="I32" s="110">
        <v>10398120.880000001</v>
      </c>
      <c r="J32" s="104">
        <f t="shared" si="31"/>
        <v>68.874334695769917</v>
      </c>
      <c r="K32" s="138">
        <v>35088816.909999996</v>
      </c>
      <c r="L32" s="138">
        <v>26765885.34</v>
      </c>
      <c r="M32" s="104">
        <f t="shared" si="32"/>
        <v>76.280387020891453</v>
      </c>
      <c r="N32" s="138">
        <v>14822786.779999999</v>
      </c>
      <c r="O32" s="138">
        <v>10940980.41</v>
      </c>
      <c r="P32" s="104">
        <f t="shared" si="33"/>
        <v>73.811899019976323</v>
      </c>
      <c r="Q32" s="95">
        <v>12208664.82</v>
      </c>
      <c r="R32" s="95">
        <v>9729838.3399999999</v>
      </c>
      <c r="S32" s="104">
        <f t="shared" si="34"/>
        <v>79.696170576005699</v>
      </c>
      <c r="T32" s="95">
        <v>35549673.460000001</v>
      </c>
      <c r="U32" s="95">
        <v>30436228.879999999</v>
      </c>
      <c r="V32" s="104">
        <f t="shared" si="35"/>
        <v>85.616057526509834</v>
      </c>
      <c r="W32" s="95">
        <v>24151115.879999999</v>
      </c>
      <c r="X32" s="95">
        <v>19579706.530000001</v>
      </c>
      <c r="Y32" s="18">
        <f t="shared" si="36"/>
        <v>81.071643344704952</v>
      </c>
      <c r="Z32" s="133">
        <f t="shared" si="8"/>
        <v>-32.063747625770745</v>
      </c>
      <c r="AA32" s="133">
        <f t="shared" si="8"/>
        <v>-35.669735540508924</v>
      </c>
    </row>
    <row r="33" spans="1:27" x14ac:dyDescent="0.3">
      <c r="A33" s="5" t="s">
        <v>49</v>
      </c>
      <c r="B33" s="24">
        <v>782618</v>
      </c>
      <c r="C33" s="24">
        <v>20000</v>
      </c>
      <c r="D33" s="18">
        <f t="shared" si="29"/>
        <v>2.5555251732007185</v>
      </c>
      <c r="E33" s="24">
        <v>1009348.8</v>
      </c>
      <c r="F33" s="24">
        <v>429348.8</v>
      </c>
      <c r="G33" s="18">
        <f t="shared" si="30"/>
        <v>42.537208148461659</v>
      </c>
      <c r="H33" s="110">
        <v>1734000</v>
      </c>
      <c r="I33" s="110">
        <v>1234000</v>
      </c>
      <c r="J33" s="104">
        <f t="shared" si="31"/>
        <v>71.164936562860433</v>
      </c>
      <c r="K33" s="138">
        <v>2787927.44</v>
      </c>
      <c r="L33" s="138">
        <v>750536.88</v>
      </c>
      <c r="M33" s="104">
        <f t="shared" si="32"/>
        <v>26.920961759320395</v>
      </c>
      <c r="N33" s="138">
        <v>3049590.87</v>
      </c>
      <c r="O33" s="138">
        <v>2432192.44</v>
      </c>
      <c r="P33" s="104">
        <f t="shared" si="33"/>
        <v>79.754712801852008</v>
      </c>
      <c r="Q33" s="95">
        <v>6301118.5</v>
      </c>
      <c r="R33" s="95">
        <v>4745108.6900000004</v>
      </c>
      <c r="S33" s="104">
        <f t="shared" si="34"/>
        <v>75.305815784927717</v>
      </c>
      <c r="T33" s="95">
        <v>9866343.5199999996</v>
      </c>
      <c r="U33" s="95">
        <v>7346402.7300000004</v>
      </c>
      <c r="V33" s="104">
        <f t="shared" si="35"/>
        <v>74.45922306585166</v>
      </c>
      <c r="W33" s="95">
        <v>4722969.62</v>
      </c>
      <c r="X33" s="95">
        <v>3240648.93</v>
      </c>
      <c r="Y33" s="18">
        <f t="shared" si="36"/>
        <v>68.614646943250932</v>
      </c>
      <c r="Z33" s="133">
        <f t="shared" si="8"/>
        <v>-52.130496871246173</v>
      </c>
      <c r="AA33" s="133">
        <f t="shared" si="8"/>
        <v>-55.887948849218617</v>
      </c>
    </row>
    <row r="34" spans="1:27" x14ac:dyDescent="0.3">
      <c r="A34" s="5" t="s">
        <v>50</v>
      </c>
      <c r="B34" s="24">
        <v>0</v>
      </c>
      <c r="C34" s="24">
        <v>0</v>
      </c>
      <c r="D34" s="18" t="str">
        <f t="shared" si="29"/>
        <v>-</v>
      </c>
      <c r="E34" s="24">
        <v>0</v>
      </c>
      <c r="F34" s="24">
        <v>0</v>
      </c>
      <c r="G34" s="18" t="str">
        <f t="shared" si="30"/>
        <v>-</v>
      </c>
      <c r="H34" s="110">
        <v>0</v>
      </c>
      <c r="I34" s="110">
        <v>0</v>
      </c>
      <c r="J34" s="104" t="str">
        <f t="shared" si="31"/>
        <v>-</v>
      </c>
      <c r="K34" s="138">
        <v>0</v>
      </c>
      <c r="L34" s="138">
        <v>0</v>
      </c>
      <c r="M34" s="104" t="str">
        <f t="shared" si="32"/>
        <v>-</v>
      </c>
      <c r="N34" s="138">
        <v>0</v>
      </c>
      <c r="O34" s="138">
        <v>0</v>
      </c>
      <c r="P34" s="104" t="str">
        <f t="shared" si="33"/>
        <v>-</v>
      </c>
      <c r="Q34" s="138">
        <v>0</v>
      </c>
      <c r="R34" s="138">
        <v>0</v>
      </c>
      <c r="S34" s="104" t="str">
        <f t="shared" si="34"/>
        <v>-</v>
      </c>
      <c r="T34" s="138">
        <v>0</v>
      </c>
      <c r="U34" s="138">
        <v>0</v>
      </c>
      <c r="V34" s="104" t="str">
        <f t="shared" si="35"/>
        <v>-</v>
      </c>
      <c r="W34" s="95">
        <v>0</v>
      </c>
      <c r="X34" s="95">
        <v>0</v>
      </c>
      <c r="Y34" s="18" t="str">
        <f t="shared" si="36"/>
        <v>-</v>
      </c>
      <c r="Z34" s="133" t="str">
        <f t="shared" si="8"/>
        <v>-</v>
      </c>
      <c r="AA34" s="133" t="str">
        <f t="shared" si="8"/>
        <v>-</v>
      </c>
    </row>
    <row r="35" spans="1:27" x14ac:dyDescent="0.3">
      <c r="A35" s="5" t="s">
        <v>51</v>
      </c>
      <c r="B35" s="24">
        <v>586261.61</v>
      </c>
      <c r="C35" s="24">
        <v>380711.56</v>
      </c>
      <c r="D35" s="18">
        <f t="shared" si="29"/>
        <v>64.938852127806896</v>
      </c>
      <c r="E35" s="24">
        <v>46636.6</v>
      </c>
      <c r="F35" s="24">
        <v>42063.88</v>
      </c>
      <c r="G35" s="18">
        <f t="shared" si="30"/>
        <v>90.194997062393057</v>
      </c>
      <c r="H35" s="110">
        <v>551930.56999999995</v>
      </c>
      <c r="I35" s="110">
        <v>511668.4</v>
      </c>
      <c r="J35" s="104">
        <f t="shared" si="31"/>
        <v>92.705211092040088</v>
      </c>
      <c r="K35" s="138">
        <v>177372.2</v>
      </c>
      <c r="L35" s="138">
        <v>176268.65</v>
      </c>
      <c r="M35" s="104">
        <f t="shared" si="32"/>
        <v>99.377833730426744</v>
      </c>
      <c r="N35" s="138">
        <v>15781.3</v>
      </c>
      <c r="O35" s="138">
        <v>15781.3</v>
      </c>
      <c r="P35" s="104">
        <f t="shared" si="33"/>
        <v>100</v>
      </c>
      <c r="Q35" s="95">
        <v>16057.9</v>
      </c>
      <c r="R35" s="95">
        <v>16057.9</v>
      </c>
      <c r="S35" s="104">
        <f t="shared" si="34"/>
        <v>100</v>
      </c>
      <c r="T35" s="95">
        <v>149681.32999999999</v>
      </c>
      <c r="U35" s="95">
        <v>47663.37</v>
      </c>
      <c r="V35" s="104">
        <f t="shared" si="35"/>
        <v>31.843229880440006</v>
      </c>
      <c r="W35" s="95">
        <v>375472.97</v>
      </c>
      <c r="X35" s="95">
        <v>375472.97</v>
      </c>
      <c r="Y35" s="18">
        <f t="shared" si="36"/>
        <v>100</v>
      </c>
      <c r="Z35" s="133">
        <f t="shared" si="8"/>
        <v>150.84823204069605</v>
      </c>
      <c r="AA35" s="133">
        <f t="shared" si="8"/>
        <v>687.76001361213014</v>
      </c>
    </row>
    <row r="36" spans="1:27" x14ac:dyDescent="0.3">
      <c r="A36" s="5" t="s">
        <v>52</v>
      </c>
      <c r="B36" s="24">
        <v>3205226.42</v>
      </c>
      <c r="C36" s="24">
        <v>3205226.42</v>
      </c>
      <c r="D36" s="18">
        <f t="shared" si="29"/>
        <v>100</v>
      </c>
      <c r="E36" s="24">
        <v>3879569.22</v>
      </c>
      <c r="F36" s="24">
        <v>3879569.22</v>
      </c>
      <c r="G36" s="18">
        <f t="shared" si="30"/>
        <v>100</v>
      </c>
      <c r="H36" s="110">
        <v>4359883.67</v>
      </c>
      <c r="I36" s="110">
        <v>4359883.67</v>
      </c>
      <c r="J36" s="104">
        <f t="shared" si="31"/>
        <v>100</v>
      </c>
      <c r="K36" s="138">
        <v>6135021.79</v>
      </c>
      <c r="L36" s="138">
        <v>6135021.79</v>
      </c>
      <c r="M36" s="104">
        <f t="shared" si="32"/>
        <v>100</v>
      </c>
      <c r="N36" s="138">
        <v>1197500</v>
      </c>
      <c r="O36" s="138">
        <v>400000</v>
      </c>
      <c r="P36" s="104">
        <f t="shared" si="33"/>
        <v>33.40292275574113</v>
      </c>
      <c r="Q36" s="95">
        <v>200000</v>
      </c>
      <c r="R36" s="95">
        <v>200000</v>
      </c>
      <c r="S36" s="104">
        <f t="shared" si="34"/>
        <v>100</v>
      </c>
      <c r="T36" s="95">
        <v>750000</v>
      </c>
      <c r="U36" s="95">
        <v>750000</v>
      </c>
      <c r="V36" s="104">
        <f t="shared" si="35"/>
        <v>100</v>
      </c>
      <c r="W36" s="95">
        <v>3000000</v>
      </c>
      <c r="X36" s="95">
        <v>3000000</v>
      </c>
      <c r="Y36" s="18">
        <f t="shared" si="36"/>
        <v>100</v>
      </c>
      <c r="Z36" s="133">
        <f t="shared" si="8"/>
        <v>300</v>
      </c>
      <c r="AA36" s="133">
        <f t="shared" si="8"/>
        <v>300</v>
      </c>
    </row>
    <row r="37" spans="1:27" x14ac:dyDescent="0.3">
      <c r="A37" s="5" t="s">
        <v>263</v>
      </c>
      <c r="B37" s="24">
        <v>0</v>
      </c>
      <c r="C37" s="24">
        <v>0</v>
      </c>
      <c r="D37" s="18" t="str">
        <f t="shared" si="29"/>
        <v>-</v>
      </c>
      <c r="E37" s="24">
        <v>0</v>
      </c>
      <c r="F37" s="24">
        <v>0</v>
      </c>
      <c r="G37" s="18" t="str">
        <f t="shared" si="30"/>
        <v>-</v>
      </c>
      <c r="H37" s="110">
        <v>0</v>
      </c>
      <c r="I37" s="110">
        <v>0</v>
      </c>
      <c r="J37" s="104" t="str">
        <f t="shared" si="31"/>
        <v>-</v>
      </c>
      <c r="K37" s="138">
        <v>0</v>
      </c>
      <c r="L37" s="138">
        <v>0</v>
      </c>
      <c r="M37" s="104" t="str">
        <f t="shared" si="32"/>
        <v>-</v>
      </c>
      <c r="N37" s="138">
        <v>0</v>
      </c>
      <c r="O37" s="138">
        <v>0</v>
      </c>
      <c r="P37" s="104" t="str">
        <f t="shared" si="33"/>
        <v>-</v>
      </c>
      <c r="Q37" s="138">
        <v>0</v>
      </c>
      <c r="R37" s="138">
        <v>0</v>
      </c>
      <c r="S37" s="104" t="str">
        <f t="shared" si="34"/>
        <v>-</v>
      </c>
      <c r="T37" s="138">
        <v>0</v>
      </c>
      <c r="U37" s="138">
        <v>0</v>
      </c>
      <c r="V37" s="104" t="str">
        <f t="shared" si="35"/>
        <v>-</v>
      </c>
      <c r="W37" s="95">
        <v>0</v>
      </c>
      <c r="X37" s="95">
        <v>0</v>
      </c>
      <c r="Y37" s="18" t="str">
        <f t="shared" si="36"/>
        <v>-</v>
      </c>
      <c r="Z37" s="133" t="str">
        <f t="shared" si="8"/>
        <v>-</v>
      </c>
      <c r="AA37" s="133" t="str">
        <f t="shared" si="8"/>
        <v>-</v>
      </c>
    </row>
    <row r="38" spans="1:27" x14ac:dyDescent="0.3">
      <c r="A38" s="5" t="s">
        <v>53</v>
      </c>
      <c r="B38" s="24">
        <v>0</v>
      </c>
      <c r="C38" s="24">
        <v>0</v>
      </c>
      <c r="D38" s="18" t="str">
        <f t="shared" si="29"/>
        <v>-</v>
      </c>
      <c r="E38" s="24">
        <v>0</v>
      </c>
      <c r="F38" s="24">
        <v>0</v>
      </c>
      <c r="G38" s="18" t="str">
        <f t="shared" si="30"/>
        <v>-</v>
      </c>
      <c r="H38" s="110">
        <v>72675.06</v>
      </c>
      <c r="I38" s="110">
        <v>72675.06</v>
      </c>
      <c r="J38" s="104">
        <f t="shared" si="31"/>
        <v>100</v>
      </c>
      <c r="K38" s="138">
        <v>0</v>
      </c>
      <c r="L38" s="138">
        <v>0</v>
      </c>
      <c r="M38" s="104" t="str">
        <f t="shared" si="32"/>
        <v>-</v>
      </c>
      <c r="N38" s="138">
        <v>0</v>
      </c>
      <c r="O38" s="138">
        <v>0</v>
      </c>
      <c r="P38" s="104" t="str">
        <f t="shared" si="33"/>
        <v>-</v>
      </c>
      <c r="Q38" s="138">
        <v>0</v>
      </c>
      <c r="R38" s="138">
        <v>0</v>
      </c>
      <c r="S38" s="104" t="str">
        <f t="shared" si="34"/>
        <v>-</v>
      </c>
      <c r="T38" s="138">
        <v>0</v>
      </c>
      <c r="U38" s="138">
        <v>0</v>
      </c>
      <c r="V38" s="104" t="str">
        <f t="shared" si="35"/>
        <v>-</v>
      </c>
      <c r="W38" s="95">
        <v>0</v>
      </c>
      <c r="X38" s="95">
        <v>0</v>
      </c>
      <c r="Y38" s="18" t="str">
        <f t="shared" si="36"/>
        <v>-</v>
      </c>
      <c r="Z38" s="133" t="str">
        <f t="shared" si="8"/>
        <v>-</v>
      </c>
      <c r="AA38" s="133" t="str">
        <f t="shared" si="8"/>
        <v>-</v>
      </c>
    </row>
    <row r="39" spans="1:27" x14ac:dyDescent="0.3">
      <c r="A39" s="5" t="s">
        <v>54</v>
      </c>
      <c r="B39" s="24">
        <v>2743000</v>
      </c>
      <c r="C39" s="24">
        <v>2743000</v>
      </c>
      <c r="D39" s="18">
        <f t="shared" si="29"/>
        <v>100</v>
      </c>
      <c r="E39" s="24">
        <v>680000</v>
      </c>
      <c r="F39" s="24">
        <v>680000</v>
      </c>
      <c r="G39" s="18">
        <f t="shared" si="30"/>
        <v>100</v>
      </c>
      <c r="H39" s="110">
        <v>4550000</v>
      </c>
      <c r="I39" s="110">
        <v>4550000</v>
      </c>
      <c r="J39" s="104">
        <f t="shared" si="31"/>
        <v>100</v>
      </c>
      <c r="K39" s="138">
        <v>8522283.1799999997</v>
      </c>
      <c r="L39" s="138">
        <v>8522283.1799999997</v>
      </c>
      <c r="M39" s="104">
        <f t="shared" si="32"/>
        <v>100</v>
      </c>
      <c r="N39" s="138">
        <v>10626637.710000001</v>
      </c>
      <c r="O39" s="138">
        <v>10626637.710000001</v>
      </c>
      <c r="P39" s="104">
        <f t="shared" si="33"/>
        <v>100</v>
      </c>
      <c r="Q39" s="95">
        <v>14649176.23</v>
      </c>
      <c r="R39" s="95">
        <v>14649176.23</v>
      </c>
      <c r="S39" s="104">
        <f t="shared" si="34"/>
        <v>100</v>
      </c>
      <c r="T39" s="95">
        <v>10470000</v>
      </c>
      <c r="U39" s="95">
        <v>10470000</v>
      </c>
      <c r="V39" s="104">
        <f t="shared" si="35"/>
        <v>100</v>
      </c>
      <c r="W39" s="95">
        <v>20048000</v>
      </c>
      <c r="X39" s="95">
        <v>20048000</v>
      </c>
      <c r="Y39" s="18">
        <f t="shared" si="36"/>
        <v>100</v>
      </c>
      <c r="Z39" s="133">
        <f t="shared" si="8"/>
        <v>91.480420248328556</v>
      </c>
      <c r="AA39" s="133">
        <f t="shared" si="8"/>
        <v>91.480420248328556</v>
      </c>
    </row>
    <row r="40" spans="1:27" x14ac:dyDescent="0.3">
      <c r="A40" s="5" t="s">
        <v>55</v>
      </c>
      <c r="B40" s="24">
        <v>8584938.8100000005</v>
      </c>
      <c r="C40" s="24">
        <v>0</v>
      </c>
      <c r="D40" s="18">
        <f t="shared" si="29"/>
        <v>0</v>
      </c>
      <c r="E40" s="24">
        <v>8944756.5999999996</v>
      </c>
      <c r="F40" s="24">
        <v>0</v>
      </c>
      <c r="G40" s="18">
        <f t="shared" si="30"/>
        <v>0</v>
      </c>
      <c r="H40" s="110">
        <v>0</v>
      </c>
      <c r="I40" s="110">
        <v>0</v>
      </c>
      <c r="J40" s="104" t="str">
        <f t="shared" si="31"/>
        <v>-</v>
      </c>
      <c r="K40" s="138">
        <v>5824349.8799999999</v>
      </c>
      <c r="L40" s="138">
        <v>5824349.8799999999</v>
      </c>
      <c r="M40" s="104">
        <f t="shared" si="32"/>
        <v>100</v>
      </c>
      <c r="N40" s="138">
        <v>4684291.08</v>
      </c>
      <c r="O40" s="138">
        <v>4684291.08</v>
      </c>
      <c r="P40" s="104">
        <f t="shared" si="33"/>
        <v>100</v>
      </c>
      <c r="Q40" s="95">
        <v>2315617.7799999998</v>
      </c>
      <c r="R40" s="95">
        <v>2315617.7799999998</v>
      </c>
      <c r="S40" s="104">
        <f t="shared" si="34"/>
        <v>100</v>
      </c>
      <c r="T40" s="95">
        <v>1999621.7</v>
      </c>
      <c r="U40" s="95">
        <v>1999622.7</v>
      </c>
      <c r="V40" s="104">
        <f t="shared" si="35"/>
        <v>100.00005000945929</v>
      </c>
      <c r="W40" s="95">
        <v>1545270.98</v>
      </c>
      <c r="X40" s="95">
        <v>1545270.98</v>
      </c>
      <c r="Y40" s="18">
        <f t="shared" si="36"/>
        <v>100</v>
      </c>
      <c r="Z40" s="133">
        <f t="shared" si="8"/>
        <v>-22.721833834869869</v>
      </c>
      <c r="AA40" s="133">
        <f t="shared" si="8"/>
        <v>-22.721872481243594</v>
      </c>
    </row>
    <row r="41" spans="1:27" x14ac:dyDescent="0.3">
      <c r="A41" s="5" t="s">
        <v>56</v>
      </c>
      <c r="B41" s="24">
        <v>0</v>
      </c>
      <c r="C41" s="24">
        <v>0</v>
      </c>
      <c r="D41" s="18" t="str">
        <f t="shared" si="29"/>
        <v>-</v>
      </c>
      <c r="E41" s="24">
        <v>0</v>
      </c>
      <c r="F41" s="24">
        <v>0</v>
      </c>
      <c r="G41" s="18" t="str">
        <f t="shared" si="30"/>
        <v>-</v>
      </c>
      <c r="H41" s="110">
        <v>0</v>
      </c>
      <c r="I41" s="110">
        <v>0</v>
      </c>
      <c r="J41" s="104" t="str">
        <f t="shared" si="31"/>
        <v>-</v>
      </c>
      <c r="K41" s="138">
        <v>0</v>
      </c>
      <c r="L41" s="138">
        <v>0</v>
      </c>
      <c r="M41" s="104" t="str">
        <f t="shared" si="32"/>
        <v>-</v>
      </c>
      <c r="N41" s="138">
        <v>598113.99</v>
      </c>
      <c r="O41" s="138">
        <v>598113.99</v>
      </c>
      <c r="P41" s="104">
        <f t="shared" si="33"/>
        <v>100</v>
      </c>
      <c r="Q41" s="138">
        <v>0</v>
      </c>
      <c r="R41" s="138">
        <v>0</v>
      </c>
      <c r="S41" s="104" t="str">
        <f t="shared" si="34"/>
        <v>-</v>
      </c>
      <c r="T41" s="138">
        <v>0</v>
      </c>
      <c r="U41" s="138">
        <v>1</v>
      </c>
      <c r="V41" s="104" t="str">
        <f t="shared" si="35"/>
        <v>-</v>
      </c>
      <c r="W41" s="95">
        <v>0</v>
      </c>
      <c r="X41" s="95">
        <v>0</v>
      </c>
      <c r="Y41" s="18" t="str">
        <f t="shared" si="36"/>
        <v>-</v>
      </c>
      <c r="Z41" s="133" t="str">
        <f t="shared" si="8"/>
        <v>-</v>
      </c>
      <c r="AA41" s="133">
        <f t="shared" si="8"/>
        <v>-100</v>
      </c>
    </row>
    <row r="42" spans="1:27" x14ac:dyDescent="0.3">
      <c r="A42" s="5" t="s">
        <v>57</v>
      </c>
      <c r="B42" s="24">
        <v>2899247.82</v>
      </c>
      <c r="C42" s="24">
        <v>0</v>
      </c>
      <c r="D42" s="18">
        <f t="shared" si="29"/>
        <v>0</v>
      </c>
      <c r="E42" s="24">
        <v>7384285.8200000003</v>
      </c>
      <c r="F42" s="24">
        <v>0</v>
      </c>
      <c r="G42" s="18">
        <f t="shared" si="30"/>
        <v>0</v>
      </c>
      <c r="H42" s="110">
        <v>0</v>
      </c>
      <c r="I42" s="110">
        <v>0</v>
      </c>
      <c r="J42" s="104" t="str">
        <f t="shared" si="31"/>
        <v>-</v>
      </c>
      <c r="K42" s="138">
        <v>3080280.79</v>
      </c>
      <c r="L42" s="138">
        <v>3080280.79</v>
      </c>
      <c r="M42" s="104">
        <f t="shared" si="32"/>
        <v>100</v>
      </c>
      <c r="N42" s="138">
        <v>855242.86</v>
      </c>
      <c r="O42" s="138">
        <v>855242.86</v>
      </c>
      <c r="P42" s="104">
        <f t="shared" si="33"/>
        <v>100</v>
      </c>
      <c r="Q42" s="95">
        <v>3888543.06</v>
      </c>
      <c r="R42" s="95">
        <v>3888543.06</v>
      </c>
      <c r="S42" s="104">
        <f t="shared" si="34"/>
        <v>100</v>
      </c>
      <c r="T42" s="95">
        <v>4707345.0199999996</v>
      </c>
      <c r="U42" s="95">
        <v>4707346.0199999996</v>
      </c>
      <c r="V42" s="104">
        <f t="shared" si="35"/>
        <v>100.0000212433972</v>
      </c>
      <c r="W42" s="95">
        <v>5190873.97</v>
      </c>
      <c r="X42" s="95">
        <v>5190873.97</v>
      </c>
      <c r="Y42" s="18">
        <f t="shared" si="36"/>
        <v>100</v>
      </c>
      <c r="Z42" s="133">
        <f t="shared" si="8"/>
        <v>10.271797540771715</v>
      </c>
      <c r="AA42" s="133">
        <f t="shared" si="8"/>
        <v>10.271774115300758</v>
      </c>
    </row>
    <row r="43" spans="1:27" x14ac:dyDescent="0.3">
      <c r="A43" s="5" t="s">
        <v>58</v>
      </c>
      <c r="B43" s="24">
        <v>0</v>
      </c>
      <c r="C43" s="24">
        <v>0</v>
      </c>
      <c r="D43" s="18" t="str">
        <f t="shared" si="29"/>
        <v>-</v>
      </c>
      <c r="E43" s="24">
        <v>0</v>
      </c>
      <c r="F43" s="24">
        <v>0</v>
      </c>
      <c r="G43" s="18" t="str">
        <f t="shared" si="30"/>
        <v>-</v>
      </c>
      <c r="H43" s="110">
        <v>0</v>
      </c>
      <c r="I43" s="110">
        <v>0</v>
      </c>
      <c r="J43" s="104" t="str">
        <f t="shared" si="31"/>
        <v>-</v>
      </c>
      <c r="K43" s="138">
        <v>0</v>
      </c>
      <c r="L43" s="138">
        <v>0</v>
      </c>
      <c r="M43" s="104" t="str">
        <f t="shared" si="32"/>
        <v>-</v>
      </c>
      <c r="N43" s="138">
        <v>0</v>
      </c>
      <c r="O43" s="138">
        <v>0</v>
      </c>
      <c r="P43" s="104" t="str">
        <f t="shared" si="33"/>
        <v>-</v>
      </c>
      <c r="Q43" s="138">
        <v>0</v>
      </c>
      <c r="R43" s="138">
        <v>0</v>
      </c>
      <c r="S43" s="104" t="str">
        <f t="shared" si="34"/>
        <v>-</v>
      </c>
      <c r="T43" s="138">
        <v>0</v>
      </c>
      <c r="U43" s="138">
        <v>0</v>
      </c>
      <c r="V43" s="104" t="str">
        <f t="shared" si="35"/>
        <v>-</v>
      </c>
      <c r="W43" s="138">
        <v>0</v>
      </c>
      <c r="X43" s="138">
        <v>0</v>
      </c>
      <c r="Y43" s="18" t="str">
        <f t="shared" si="36"/>
        <v>-</v>
      </c>
      <c r="Z43" s="133" t="str">
        <f t="shared" si="8"/>
        <v>-</v>
      </c>
      <c r="AA43" s="133" t="str">
        <f t="shared" si="8"/>
        <v>-</v>
      </c>
    </row>
    <row r="44" spans="1:27" x14ac:dyDescent="0.3">
      <c r="A44" s="5" t="s">
        <v>59</v>
      </c>
      <c r="B44" s="24">
        <v>0</v>
      </c>
      <c r="C44" s="24">
        <v>0</v>
      </c>
      <c r="D44" s="18" t="str">
        <f t="shared" si="29"/>
        <v>-</v>
      </c>
      <c r="E44" s="24">
        <v>0</v>
      </c>
      <c r="F44" s="24">
        <v>0</v>
      </c>
      <c r="G44" s="18" t="str">
        <f t="shared" si="30"/>
        <v>-</v>
      </c>
      <c r="H44" s="110">
        <v>0</v>
      </c>
      <c r="I44" s="110">
        <v>0</v>
      </c>
      <c r="J44" s="104" t="str">
        <f t="shared" si="31"/>
        <v>-</v>
      </c>
      <c r="K44" s="138">
        <v>0</v>
      </c>
      <c r="L44" s="138">
        <v>0</v>
      </c>
      <c r="M44" s="104" t="str">
        <f t="shared" si="32"/>
        <v>-</v>
      </c>
      <c r="N44" s="138">
        <v>0</v>
      </c>
      <c r="O44" s="138">
        <v>0</v>
      </c>
      <c r="P44" s="104" t="str">
        <f t="shared" si="33"/>
        <v>-</v>
      </c>
      <c r="Q44" s="138">
        <v>0</v>
      </c>
      <c r="R44" s="138">
        <v>0</v>
      </c>
      <c r="S44" s="104" t="str">
        <f t="shared" si="34"/>
        <v>-</v>
      </c>
      <c r="T44" s="138">
        <v>0</v>
      </c>
      <c r="U44" s="138">
        <v>0</v>
      </c>
      <c r="V44" s="104" t="str">
        <f t="shared" si="35"/>
        <v>-</v>
      </c>
      <c r="W44" s="138">
        <v>0</v>
      </c>
      <c r="X44" s="138">
        <v>0</v>
      </c>
      <c r="Y44" s="18" t="str">
        <f t="shared" si="36"/>
        <v>-</v>
      </c>
      <c r="Z44" s="133" t="str">
        <f t="shared" si="8"/>
        <v>-</v>
      </c>
      <c r="AA44" s="133" t="str">
        <f t="shared" si="8"/>
        <v>-</v>
      </c>
    </row>
    <row r="45" spans="1:27" x14ac:dyDescent="0.3">
      <c r="A45" s="5" t="s">
        <v>60</v>
      </c>
      <c r="B45" s="24">
        <v>0</v>
      </c>
      <c r="C45" s="24">
        <v>0</v>
      </c>
      <c r="D45" s="18" t="str">
        <f t="shared" si="29"/>
        <v>-</v>
      </c>
      <c r="E45" s="24">
        <v>0</v>
      </c>
      <c r="F45" s="24">
        <v>0</v>
      </c>
      <c r="G45" s="18" t="str">
        <f t="shared" si="30"/>
        <v>-</v>
      </c>
      <c r="H45" s="110">
        <v>0</v>
      </c>
      <c r="I45" s="110">
        <v>0</v>
      </c>
      <c r="J45" s="104" t="str">
        <f t="shared" si="31"/>
        <v>-</v>
      </c>
      <c r="K45" s="138">
        <v>0</v>
      </c>
      <c r="L45" s="138">
        <v>0</v>
      </c>
      <c r="M45" s="104" t="str">
        <f t="shared" si="32"/>
        <v>-</v>
      </c>
      <c r="N45" s="138">
        <v>0</v>
      </c>
      <c r="O45" s="138">
        <v>0</v>
      </c>
      <c r="P45" s="104" t="str">
        <f t="shared" si="33"/>
        <v>-</v>
      </c>
      <c r="Q45" s="138">
        <v>0</v>
      </c>
      <c r="R45" s="138">
        <v>0</v>
      </c>
      <c r="S45" s="104" t="str">
        <f t="shared" si="34"/>
        <v>-</v>
      </c>
      <c r="T45" s="138">
        <v>0</v>
      </c>
      <c r="U45" s="138">
        <v>0</v>
      </c>
      <c r="V45" s="104" t="str">
        <f t="shared" si="35"/>
        <v>-</v>
      </c>
      <c r="W45" s="138">
        <v>0</v>
      </c>
      <c r="X45" s="138">
        <v>0</v>
      </c>
      <c r="Y45" s="18" t="str">
        <f t="shared" si="36"/>
        <v>-</v>
      </c>
      <c r="Z45" s="133" t="str">
        <f t="shared" si="8"/>
        <v>-</v>
      </c>
      <c r="AA45" s="133" t="str">
        <f t="shared" si="8"/>
        <v>-</v>
      </c>
    </row>
    <row r="46" spans="1:27" x14ac:dyDescent="0.3">
      <c r="A46" s="5" t="s">
        <v>61</v>
      </c>
      <c r="B46" s="24">
        <v>16236958.92</v>
      </c>
      <c r="C46" s="24">
        <v>0</v>
      </c>
      <c r="D46" s="18">
        <f t="shared" si="29"/>
        <v>0</v>
      </c>
      <c r="E46" s="24">
        <v>15864955.35</v>
      </c>
      <c r="F46" s="24">
        <v>0</v>
      </c>
      <c r="G46" s="18">
        <f t="shared" si="30"/>
        <v>0</v>
      </c>
      <c r="H46" s="110">
        <v>0</v>
      </c>
      <c r="I46" s="110">
        <v>0</v>
      </c>
      <c r="J46" s="104" t="str">
        <f t="shared" si="31"/>
        <v>-</v>
      </c>
      <c r="K46" s="138">
        <v>17865350.059999999</v>
      </c>
      <c r="L46" s="138">
        <v>0</v>
      </c>
      <c r="M46" s="104">
        <f t="shared" si="32"/>
        <v>0</v>
      </c>
      <c r="N46" s="138">
        <v>16729794.369999999</v>
      </c>
      <c r="O46" s="138">
        <v>0</v>
      </c>
      <c r="P46" s="104">
        <f t="shared" si="33"/>
        <v>0</v>
      </c>
      <c r="Q46" s="95">
        <v>17302348.620000001</v>
      </c>
      <c r="R46" s="138">
        <v>0</v>
      </c>
      <c r="S46" s="104">
        <f t="shared" si="34"/>
        <v>0</v>
      </c>
      <c r="T46" s="95">
        <v>18137750.620000001</v>
      </c>
      <c r="U46" s="138">
        <v>0</v>
      </c>
      <c r="V46" s="104">
        <f t="shared" si="35"/>
        <v>0</v>
      </c>
      <c r="W46" s="95">
        <v>17583302.879999999</v>
      </c>
      <c r="X46" s="138">
        <v>0</v>
      </c>
      <c r="Y46" s="18">
        <f t="shared" si="36"/>
        <v>0</v>
      </c>
      <c r="Z46" s="133">
        <f t="shared" si="8"/>
        <v>-3.0568715581998873</v>
      </c>
      <c r="AA46" s="133" t="str">
        <f t="shared" si="8"/>
        <v>-</v>
      </c>
    </row>
    <row r="47" spans="1:27" x14ac:dyDescent="0.3">
      <c r="A47" s="5" t="s">
        <v>62</v>
      </c>
      <c r="B47" s="24">
        <v>3152792.51</v>
      </c>
      <c r="C47" s="24">
        <v>0</v>
      </c>
      <c r="D47" s="18">
        <f t="shared" si="29"/>
        <v>0</v>
      </c>
      <c r="E47" s="24">
        <v>3219595.97</v>
      </c>
      <c r="F47" s="24">
        <v>0</v>
      </c>
      <c r="G47" s="18">
        <f t="shared" si="30"/>
        <v>0</v>
      </c>
      <c r="H47" s="110">
        <v>0</v>
      </c>
      <c r="I47" s="110">
        <v>0</v>
      </c>
      <c r="J47" s="104" t="str">
        <f t="shared" si="31"/>
        <v>-</v>
      </c>
      <c r="K47" s="138">
        <v>4927021.84</v>
      </c>
      <c r="L47" s="138">
        <v>0</v>
      </c>
      <c r="M47" s="104">
        <f t="shared" si="32"/>
        <v>0</v>
      </c>
      <c r="N47" s="138">
        <v>6823153.04</v>
      </c>
      <c r="O47" s="138">
        <v>0</v>
      </c>
      <c r="P47" s="104">
        <f t="shared" si="33"/>
        <v>0</v>
      </c>
      <c r="Q47" s="95">
        <v>5614634.8099999996</v>
      </c>
      <c r="R47" s="138">
        <v>0</v>
      </c>
      <c r="S47" s="104">
        <f t="shared" si="34"/>
        <v>0</v>
      </c>
      <c r="T47" s="95">
        <v>7019407.0599999996</v>
      </c>
      <c r="U47" s="138">
        <v>0</v>
      </c>
      <c r="V47" s="104">
        <f t="shared" si="35"/>
        <v>0</v>
      </c>
      <c r="W47" s="95">
        <v>9038669.5199999996</v>
      </c>
      <c r="X47" s="138">
        <v>0</v>
      </c>
      <c r="Y47" s="18">
        <f t="shared" si="36"/>
        <v>0</v>
      </c>
      <c r="Z47" s="133">
        <f t="shared" si="8"/>
        <v>28.766852281679775</v>
      </c>
      <c r="AA47" s="133" t="str">
        <f t="shared" si="8"/>
        <v>-</v>
      </c>
    </row>
    <row r="48" spans="1:27" x14ac:dyDescent="0.3">
      <c r="A48" s="5" t="s">
        <v>63</v>
      </c>
      <c r="B48" s="24">
        <f>SUM(B23:B30)</f>
        <v>150131176.63</v>
      </c>
      <c r="C48" s="24">
        <f>SUM(C23:C30)</f>
        <v>121841242.37</v>
      </c>
      <c r="D48" s="18">
        <f t="shared" si="29"/>
        <v>81.156522652372971</v>
      </c>
      <c r="E48" s="24">
        <f>SUM(E23:E30)</f>
        <v>150893116.44999996</v>
      </c>
      <c r="F48" s="24">
        <f>SUM(F23:F30)</f>
        <v>123598702.3</v>
      </c>
      <c r="G48" s="18">
        <f t="shared" si="30"/>
        <v>81.911425257729192</v>
      </c>
      <c r="H48" s="110">
        <f>SUM(H23:H30)</f>
        <v>158857379.79000002</v>
      </c>
      <c r="I48" s="110">
        <f>SUM(I23:I30)</f>
        <v>130063301.52</v>
      </c>
      <c r="J48" s="104">
        <f t="shared" si="31"/>
        <v>81.87425833910639</v>
      </c>
      <c r="K48" s="138">
        <v>160814471.02000001</v>
      </c>
      <c r="L48" s="138">
        <v>131940251.51000001</v>
      </c>
      <c r="M48" s="104">
        <f t="shared" si="32"/>
        <v>82.045011666637251</v>
      </c>
      <c r="N48" s="138">
        <f t="shared" ref="N48:O48" si="37">SUM(N23:N30)</f>
        <v>166165695.16999999</v>
      </c>
      <c r="O48" s="138">
        <f t="shared" si="37"/>
        <v>127803343.27000001</v>
      </c>
      <c r="P48" s="104">
        <f t="shared" si="33"/>
        <v>76.913193869076039</v>
      </c>
      <c r="Q48" s="138">
        <f t="shared" ref="Q48:R48" si="38">SUM(Q23:Q30)</f>
        <v>177667116.78000003</v>
      </c>
      <c r="R48" s="138">
        <f t="shared" si="38"/>
        <v>139398892.39000002</v>
      </c>
      <c r="S48" s="104">
        <f t="shared" si="34"/>
        <v>78.460716263332827</v>
      </c>
      <c r="T48" s="138">
        <v>150074030.41999999</v>
      </c>
      <c r="U48" s="138">
        <v>115846191.81000002</v>
      </c>
      <c r="V48" s="104">
        <f t="shared" si="35"/>
        <v>77.192697154724712</v>
      </c>
      <c r="W48" s="138">
        <f t="shared" ref="W48:X48" si="39">SUM(W23:W30)</f>
        <v>158147897.17000002</v>
      </c>
      <c r="X48" s="138">
        <f t="shared" si="39"/>
        <v>127658502.47000001</v>
      </c>
      <c r="Y48" s="18">
        <f t="shared" si="36"/>
        <v>80.720961046212551</v>
      </c>
      <c r="Z48" s="133">
        <f t="shared" si="8"/>
        <v>5.3799226471124655</v>
      </c>
      <c r="AA48" s="133">
        <f t="shared" si="8"/>
        <v>10.196546365005617</v>
      </c>
    </row>
    <row r="49" spans="1:27" x14ac:dyDescent="0.3">
      <c r="A49" s="5" t="s">
        <v>64</v>
      </c>
      <c r="B49" s="24">
        <f>SUM(B31:B35)</f>
        <v>14556817.57</v>
      </c>
      <c r="C49" s="24">
        <f>SUM(C31:C35)</f>
        <v>9612253.540000001</v>
      </c>
      <c r="D49" s="18">
        <f t="shared" si="29"/>
        <v>66.032657851052548</v>
      </c>
      <c r="E49" s="24">
        <f>SUM(E31:E35)</f>
        <v>14089229.35</v>
      </c>
      <c r="F49" s="24">
        <f>SUM(F31:F35)</f>
        <v>10118210.420000002</v>
      </c>
      <c r="G49" s="18">
        <f t="shared" si="30"/>
        <v>71.815215500058571</v>
      </c>
      <c r="H49" s="110">
        <f>SUM(H31:H35)</f>
        <v>17383166.609999999</v>
      </c>
      <c r="I49" s="110">
        <f>SUM(I31:I35)</f>
        <v>12143789.280000001</v>
      </c>
      <c r="J49" s="104">
        <f t="shared" si="31"/>
        <v>69.859477001238972</v>
      </c>
      <c r="K49" s="138">
        <v>38054116.549999997</v>
      </c>
      <c r="L49" s="138">
        <v>27692690.869999997</v>
      </c>
      <c r="M49" s="104">
        <f t="shared" si="32"/>
        <v>72.771866438192205</v>
      </c>
      <c r="N49" s="138">
        <f t="shared" ref="N49:O49" si="40">SUM(N31:N35)</f>
        <v>17888158.949999999</v>
      </c>
      <c r="O49" s="138">
        <f t="shared" si="40"/>
        <v>13388954.15</v>
      </c>
      <c r="P49" s="104">
        <f t="shared" si="33"/>
        <v>74.848139416829156</v>
      </c>
      <c r="Q49" s="138">
        <f t="shared" ref="Q49:R49" si="41">SUM(Q31:Q35)</f>
        <v>18525841.219999999</v>
      </c>
      <c r="R49" s="138">
        <f t="shared" si="41"/>
        <v>14491004.930000002</v>
      </c>
      <c r="S49" s="104">
        <f t="shared" si="34"/>
        <v>78.220496213450772</v>
      </c>
      <c r="T49" s="138">
        <v>45565698.310000002</v>
      </c>
      <c r="U49" s="138">
        <v>37830294.979999997</v>
      </c>
      <c r="V49" s="104">
        <f t="shared" si="35"/>
        <v>83.02362606763262</v>
      </c>
      <c r="W49" s="138">
        <f t="shared" ref="W49:X49" si="42">SUM(W31:W35)</f>
        <v>29249558.469999999</v>
      </c>
      <c r="X49" s="138">
        <f t="shared" si="42"/>
        <v>23195828.43</v>
      </c>
      <c r="Y49" s="18">
        <f t="shared" si="36"/>
        <v>79.303174623271502</v>
      </c>
      <c r="Z49" s="133">
        <f t="shared" si="8"/>
        <v>-35.807944232513194</v>
      </c>
      <c r="AA49" s="133">
        <f t="shared" si="8"/>
        <v>-38.684516094143341</v>
      </c>
    </row>
    <row r="50" spans="1:27" x14ac:dyDescent="0.3">
      <c r="A50" s="5" t="s">
        <v>65</v>
      </c>
      <c r="B50" s="24">
        <f>SUM(B36:B39)</f>
        <v>5948226.4199999999</v>
      </c>
      <c r="C50" s="24">
        <f>SUM(C36:C39)</f>
        <v>5948226.4199999999</v>
      </c>
      <c r="D50" s="18">
        <f t="shared" si="29"/>
        <v>100</v>
      </c>
      <c r="E50" s="24">
        <f>SUM(E36:E39)</f>
        <v>4559569.2200000007</v>
      </c>
      <c r="F50" s="24">
        <f>SUM(F36:F39)</f>
        <v>4559569.2200000007</v>
      </c>
      <c r="G50" s="18">
        <f t="shared" si="30"/>
        <v>100</v>
      </c>
      <c r="H50" s="110">
        <f>SUM(H36:H39)</f>
        <v>8982558.7300000004</v>
      </c>
      <c r="I50" s="110">
        <f>SUM(I36:I39)</f>
        <v>8982558.7300000004</v>
      </c>
      <c r="J50" s="104">
        <f t="shared" si="31"/>
        <v>100</v>
      </c>
      <c r="K50" s="138">
        <v>14657304.969999999</v>
      </c>
      <c r="L50" s="138">
        <v>14657304.969999999</v>
      </c>
      <c r="M50" s="104">
        <f t="shared" si="32"/>
        <v>100</v>
      </c>
      <c r="N50" s="138">
        <f t="shared" ref="N50:O50" si="43">SUM(N36:N39)</f>
        <v>11824137.710000001</v>
      </c>
      <c r="O50" s="138">
        <f t="shared" si="43"/>
        <v>11026637.710000001</v>
      </c>
      <c r="P50" s="104">
        <f t="shared" si="33"/>
        <v>93.255322125303636</v>
      </c>
      <c r="Q50" s="138">
        <f t="shared" ref="Q50:R50" si="44">SUM(Q36:Q39)</f>
        <v>14849176.23</v>
      </c>
      <c r="R50" s="138">
        <f t="shared" si="44"/>
        <v>14849176.23</v>
      </c>
      <c r="S50" s="104">
        <f t="shared" si="34"/>
        <v>100</v>
      </c>
      <c r="T50" s="138">
        <v>11220000</v>
      </c>
      <c r="U50" s="138">
        <v>11220000</v>
      </c>
      <c r="V50" s="104">
        <f t="shared" si="35"/>
        <v>100</v>
      </c>
      <c r="W50" s="138">
        <f t="shared" ref="W50:X50" si="45">SUM(W36:W39)</f>
        <v>23048000</v>
      </c>
      <c r="X50" s="138">
        <f t="shared" si="45"/>
        <v>23048000</v>
      </c>
      <c r="Y50" s="18">
        <f t="shared" si="36"/>
        <v>100</v>
      </c>
      <c r="Z50" s="133">
        <f t="shared" si="8"/>
        <v>105.41889483065953</v>
      </c>
      <c r="AA50" s="133">
        <f t="shared" si="8"/>
        <v>105.41889483065953</v>
      </c>
    </row>
    <row r="51" spans="1:27" x14ac:dyDescent="0.3">
      <c r="A51" s="5" t="s">
        <v>66</v>
      </c>
      <c r="B51" s="24">
        <f>SUM(B40:B44)</f>
        <v>11484186.630000001</v>
      </c>
      <c r="C51" s="26">
        <v>9790506.4499999993</v>
      </c>
      <c r="D51" s="18">
        <f t="shared" si="29"/>
        <v>85.252066736919602</v>
      </c>
      <c r="E51" s="24">
        <f>SUM(E40:E44)</f>
        <v>16329042.42</v>
      </c>
      <c r="F51" s="26">
        <v>15020545.939999999</v>
      </c>
      <c r="G51" s="18">
        <f t="shared" si="30"/>
        <v>91.986691893228596</v>
      </c>
      <c r="H51" s="112">
        <v>11344213.1</v>
      </c>
      <c r="I51" s="112">
        <v>11344213.1</v>
      </c>
      <c r="J51" s="104">
        <f t="shared" si="31"/>
        <v>100</v>
      </c>
      <c r="K51" s="138">
        <v>8904630.6699999999</v>
      </c>
      <c r="L51" s="138">
        <v>8904630.6699999999</v>
      </c>
      <c r="M51" s="104">
        <f t="shared" si="32"/>
        <v>100</v>
      </c>
      <c r="N51" s="138">
        <f t="shared" ref="N51:O51" si="46">SUM(N40:N44)</f>
        <v>6137647.9300000006</v>
      </c>
      <c r="O51" s="138">
        <f t="shared" si="46"/>
        <v>6137647.9300000006</v>
      </c>
      <c r="P51" s="104">
        <f t="shared" si="33"/>
        <v>100</v>
      </c>
      <c r="Q51" s="138">
        <f t="shared" ref="Q51:R51" si="47">SUM(Q40:Q44)</f>
        <v>6204160.8399999999</v>
      </c>
      <c r="R51" s="138">
        <f t="shared" si="47"/>
        <v>6204160.8399999999</v>
      </c>
      <c r="S51" s="104">
        <f t="shared" si="34"/>
        <v>100</v>
      </c>
      <c r="T51" s="138">
        <v>6706966.7199999997</v>
      </c>
      <c r="U51" s="138">
        <v>6706969.7199999997</v>
      </c>
      <c r="V51" s="104">
        <f t="shared" si="35"/>
        <v>100.00004472960914</v>
      </c>
      <c r="W51" s="138">
        <f t="shared" ref="W51:X51" si="48">SUM(W40:W44)</f>
        <v>6736144.9499999993</v>
      </c>
      <c r="X51" s="138">
        <f t="shared" si="48"/>
        <v>6736144.9499999993</v>
      </c>
      <c r="Y51" s="18">
        <f t="shared" si="36"/>
        <v>100</v>
      </c>
      <c r="Z51" s="133">
        <f t="shared" si="8"/>
        <v>0.43504360790981877</v>
      </c>
      <c r="AA51" s="133">
        <f t="shared" si="8"/>
        <v>0.4349986837274713</v>
      </c>
    </row>
    <row r="52" spans="1:27" x14ac:dyDescent="0.3">
      <c r="A52" s="5" t="s">
        <v>67</v>
      </c>
      <c r="B52" s="24">
        <f>B45</f>
        <v>0</v>
      </c>
      <c r="C52" s="88">
        <f>C45</f>
        <v>0</v>
      </c>
      <c r="D52" s="18" t="str">
        <f t="shared" si="29"/>
        <v>-</v>
      </c>
      <c r="E52" s="24">
        <f>E45</f>
        <v>0</v>
      </c>
      <c r="F52" s="24">
        <f>F45</f>
        <v>0</v>
      </c>
      <c r="G52" s="18" t="str">
        <f t="shared" si="30"/>
        <v>-</v>
      </c>
      <c r="H52" s="110">
        <f>H45</f>
        <v>0</v>
      </c>
      <c r="I52" s="110">
        <f>I45</f>
        <v>0</v>
      </c>
      <c r="J52" s="104" t="str">
        <f t="shared" si="31"/>
        <v>-</v>
      </c>
      <c r="K52" s="138">
        <v>0</v>
      </c>
      <c r="L52" s="138">
        <v>0</v>
      </c>
      <c r="M52" s="104" t="str">
        <f t="shared" si="32"/>
        <v>-</v>
      </c>
      <c r="N52" s="138">
        <f t="shared" ref="N52:O52" si="49">N45</f>
        <v>0</v>
      </c>
      <c r="O52" s="138">
        <f t="shared" si="49"/>
        <v>0</v>
      </c>
      <c r="P52" s="104" t="str">
        <f t="shared" si="33"/>
        <v>-</v>
      </c>
      <c r="Q52" s="138">
        <f t="shared" ref="Q52:R52" si="50">Q45</f>
        <v>0</v>
      </c>
      <c r="R52" s="138">
        <f t="shared" si="50"/>
        <v>0</v>
      </c>
      <c r="S52" s="104" t="str">
        <f t="shared" si="34"/>
        <v>-</v>
      </c>
      <c r="T52" s="138">
        <v>0</v>
      </c>
      <c r="U52" s="138">
        <v>0</v>
      </c>
      <c r="V52" s="104" t="str">
        <f t="shared" si="35"/>
        <v>-</v>
      </c>
      <c r="W52" s="138">
        <f t="shared" ref="W52:X52" si="51">W45</f>
        <v>0</v>
      </c>
      <c r="X52" s="138">
        <f t="shared" si="51"/>
        <v>0</v>
      </c>
      <c r="Y52" s="18" t="str">
        <f t="shared" si="36"/>
        <v>-</v>
      </c>
      <c r="Z52" s="133" t="str">
        <f t="shared" si="8"/>
        <v>-</v>
      </c>
      <c r="AA52" s="133" t="str">
        <f t="shared" si="8"/>
        <v>-</v>
      </c>
    </row>
    <row r="53" spans="1:27" x14ac:dyDescent="0.3">
      <c r="A53" s="5" t="s">
        <v>68</v>
      </c>
      <c r="B53" s="24">
        <f>SUM(B46:B47)</f>
        <v>19389751.43</v>
      </c>
      <c r="C53" s="26">
        <v>16351896.699999999</v>
      </c>
      <c r="D53" s="18">
        <f t="shared" si="29"/>
        <v>84.332678317372327</v>
      </c>
      <c r="E53" s="24">
        <f>SUM(E46:E47)</f>
        <v>19084551.32</v>
      </c>
      <c r="F53" s="26">
        <v>15054069.449999999</v>
      </c>
      <c r="G53" s="18">
        <f t="shared" si="30"/>
        <v>78.88091890441153</v>
      </c>
      <c r="H53" s="112">
        <v>22044472.690000001</v>
      </c>
      <c r="I53" s="112">
        <v>18669991.370000001</v>
      </c>
      <c r="J53" s="104">
        <f t="shared" si="31"/>
        <v>84.692392657998298</v>
      </c>
      <c r="K53" s="138">
        <v>22792371.899999999</v>
      </c>
      <c r="L53" s="140">
        <v>19234573.809999999</v>
      </c>
      <c r="M53" s="104">
        <f t="shared" si="32"/>
        <v>84.390399974124676</v>
      </c>
      <c r="N53" s="138">
        <f>SUM(N46:N47)</f>
        <v>23552947.41</v>
      </c>
      <c r="O53" s="140">
        <v>20967045.039999999</v>
      </c>
      <c r="P53" s="104">
        <f t="shared" si="33"/>
        <v>89.020896939199673</v>
      </c>
      <c r="Q53" s="138">
        <f>SUM(Q46:Q47)</f>
        <v>22916983.43</v>
      </c>
      <c r="R53" s="140">
        <v>20707800.77</v>
      </c>
      <c r="S53" s="104">
        <f t="shared" si="34"/>
        <v>90.360063457967954</v>
      </c>
      <c r="T53" s="138">
        <v>25157157.68</v>
      </c>
      <c r="U53" s="140">
        <v>21699341.850000001</v>
      </c>
      <c r="V53" s="104">
        <f t="shared" si="35"/>
        <v>86.255141085556858</v>
      </c>
      <c r="W53" s="138">
        <f>SUM(W46:W47)</f>
        <v>26621972.399999999</v>
      </c>
      <c r="X53" s="140">
        <v>23311705.920000002</v>
      </c>
      <c r="Y53" s="18">
        <f t="shared" si="36"/>
        <v>87.565660311480158</v>
      </c>
      <c r="Z53" s="133">
        <f t="shared" si="8"/>
        <v>5.8226558764407912</v>
      </c>
      <c r="AA53" s="133">
        <f t="shared" si="8"/>
        <v>7.4304745330328927</v>
      </c>
    </row>
    <row r="54" spans="1:27" x14ac:dyDescent="0.3">
      <c r="A54" s="5" t="s">
        <v>69</v>
      </c>
      <c r="B54" s="17">
        <f>SUM(B48:B53)</f>
        <v>201510158.67999998</v>
      </c>
      <c r="C54" s="17">
        <f>SUM(C48:C53)</f>
        <v>163544125.47999999</v>
      </c>
      <c r="D54" s="18">
        <f t="shared" si="29"/>
        <v>81.159246040647304</v>
      </c>
      <c r="E54" s="21">
        <f>SUM(E48:E53)</f>
        <v>204955508.75999993</v>
      </c>
      <c r="F54" s="17">
        <f>SUM(F48:F53)</f>
        <v>168351097.32999998</v>
      </c>
      <c r="G54" s="18">
        <f t="shared" si="30"/>
        <v>82.140313450728854</v>
      </c>
      <c r="H54" s="108">
        <f>SUM(H48:H53)</f>
        <v>218611790.92000002</v>
      </c>
      <c r="I54" s="103">
        <f>SUM(I48:I53)</f>
        <v>181203854</v>
      </c>
      <c r="J54" s="104">
        <f t="shared" si="31"/>
        <v>82.888417517383914</v>
      </c>
      <c r="K54" s="108">
        <f>SUM(K48:K53)</f>
        <v>245222895.10999998</v>
      </c>
      <c r="L54" s="103">
        <f>SUM(L48:L53)</f>
        <v>202429451.82999998</v>
      </c>
      <c r="M54" s="104">
        <f t="shared" si="32"/>
        <v>82.549164807468699</v>
      </c>
      <c r="N54" s="108">
        <f>SUM(N48:N53)</f>
        <v>225568587.16999999</v>
      </c>
      <c r="O54" s="103">
        <f>SUM(O48:O53)</f>
        <v>179323628.10000002</v>
      </c>
      <c r="P54" s="104">
        <f t="shared" si="33"/>
        <v>79.498493274177662</v>
      </c>
      <c r="Q54" s="108">
        <f>SUM(Q48:Q53)</f>
        <v>240163278.50000003</v>
      </c>
      <c r="R54" s="103">
        <f>SUM(R48:R53)</f>
        <v>195651035.16000003</v>
      </c>
      <c r="S54" s="104">
        <f t="shared" si="34"/>
        <v>81.465841231843442</v>
      </c>
      <c r="T54" s="108">
        <f>SUM(T48:T53)</f>
        <v>238723853.13</v>
      </c>
      <c r="U54" s="103">
        <f>SUM(U48:U53)</f>
        <v>193302798.36000001</v>
      </c>
      <c r="V54" s="104">
        <f t="shared" si="35"/>
        <v>80.973390729720933</v>
      </c>
      <c r="W54" s="139">
        <f t="shared" ref="W54:X54" si="52">SUM(W48:W53)</f>
        <v>243803572.99000001</v>
      </c>
      <c r="X54" s="139">
        <f t="shared" si="52"/>
        <v>203950181.76999998</v>
      </c>
      <c r="Y54" s="18">
        <f t="shared" si="36"/>
        <v>83.653483527234982</v>
      </c>
      <c r="Z54" s="133">
        <f t="shared" si="8"/>
        <v>2.1278643895018803</v>
      </c>
      <c r="AA54" s="133">
        <f t="shared" si="8"/>
        <v>5.5081372335700394</v>
      </c>
    </row>
    <row r="55" spans="1:27" x14ac:dyDescent="0.3">
      <c r="A55" s="13" t="s">
        <v>70</v>
      </c>
      <c r="B55" s="14">
        <f>B54-B53</f>
        <v>182120407.24999997</v>
      </c>
      <c r="C55" s="14">
        <f>C54-C53</f>
        <v>147192228.78</v>
      </c>
      <c r="D55" s="19">
        <f t="shared" si="29"/>
        <v>80.821381306240198</v>
      </c>
      <c r="E55" s="22">
        <f>E54-E53</f>
        <v>185870957.43999994</v>
      </c>
      <c r="F55" s="14">
        <f>F54-F53</f>
        <v>153297027.88</v>
      </c>
      <c r="G55" s="19">
        <f t="shared" si="30"/>
        <v>82.474976183132341</v>
      </c>
      <c r="H55" s="109">
        <f>H54-H53</f>
        <v>196567318.23000002</v>
      </c>
      <c r="I55" s="100">
        <f>I54-I53</f>
        <v>162533862.63</v>
      </c>
      <c r="J55" s="105">
        <f t="shared" si="31"/>
        <v>82.686106771738082</v>
      </c>
      <c r="K55" s="109">
        <f>K54-K53</f>
        <v>222430523.20999998</v>
      </c>
      <c r="L55" s="100">
        <f>L54-L53</f>
        <v>183194878.01999998</v>
      </c>
      <c r="M55" s="105">
        <f t="shared" si="32"/>
        <v>82.360494133731351</v>
      </c>
      <c r="N55" s="109">
        <f>N54-N53</f>
        <v>202015639.75999999</v>
      </c>
      <c r="O55" s="100">
        <f>O54-O53</f>
        <v>158356583.06000003</v>
      </c>
      <c r="P55" s="105">
        <f t="shared" si="33"/>
        <v>78.38827887193878</v>
      </c>
      <c r="Q55" s="109">
        <f>Q54-Q53</f>
        <v>217246295.07000002</v>
      </c>
      <c r="R55" s="100">
        <f>R54-R53</f>
        <v>174943234.39000002</v>
      </c>
      <c r="S55" s="105">
        <f t="shared" si="34"/>
        <v>80.527603167469749</v>
      </c>
      <c r="T55" s="109">
        <f>T54-T53</f>
        <v>213566695.44999999</v>
      </c>
      <c r="U55" s="100">
        <f>U54-U53</f>
        <v>171603456.51000002</v>
      </c>
      <c r="V55" s="105">
        <f t="shared" si="35"/>
        <v>80.351225245312492</v>
      </c>
      <c r="W55" s="139">
        <f t="shared" ref="W55:X55" si="53">W54-W53</f>
        <v>217181600.59</v>
      </c>
      <c r="X55" s="139">
        <f t="shared" si="53"/>
        <v>180638475.84999996</v>
      </c>
      <c r="Y55" s="19">
        <f t="shared" si="36"/>
        <v>83.173931566612353</v>
      </c>
      <c r="Z55" s="135">
        <f t="shared" si="8"/>
        <v>1.6926352362118848</v>
      </c>
      <c r="AA55" s="135">
        <f t="shared" si="8"/>
        <v>5.2650567323936315</v>
      </c>
    </row>
    <row r="56" spans="1:27" s="130" customFormat="1" x14ac:dyDescent="0.3">
      <c r="A56" s="137" t="s">
        <v>71</v>
      </c>
      <c r="B56" s="139">
        <f>B14-B48</f>
        <v>19895716.230000019</v>
      </c>
      <c r="C56" s="139">
        <f>C14-C48</f>
        <v>17069370.650000006</v>
      </c>
      <c r="D56" s="106"/>
      <c r="E56" s="139">
        <f>E14-E48</f>
        <v>17851832.990000039</v>
      </c>
      <c r="F56" s="139">
        <f>F14-F48</f>
        <v>17843986.220000014</v>
      </c>
      <c r="G56" s="106"/>
      <c r="H56" s="139">
        <f>H14-H48</f>
        <v>19394590.699999958</v>
      </c>
      <c r="I56" s="139">
        <f>I14-I48</f>
        <v>15833206.109999999</v>
      </c>
      <c r="J56" s="106"/>
      <c r="K56" s="139">
        <f>K14-K48</f>
        <v>23496573.659999967</v>
      </c>
      <c r="L56" s="139">
        <f>L14-L48</f>
        <v>16914989.959999993</v>
      </c>
      <c r="M56" s="106"/>
      <c r="N56" s="139">
        <f>N14-N48</f>
        <v>25066996.340000004</v>
      </c>
      <c r="O56" s="139">
        <f>O14-O48</f>
        <v>29240435.099999994</v>
      </c>
      <c r="P56" s="106"/>
      <c r="Q56" s="139">
        <f>Q14-Q48</f>
        <v>19958951.969999969</v>
      </c>
      <c r="R56" s="139">
        <f>R14-R48</f>
        <v>14699085.899999976</v>
      </c>
      <c r="S56" s="106"/>
      <c r="T56" s="139">
        <f>T14-T48</f>
        <v>15569751.390000015</v>
      </c>
      <c r="U56" s="139">
        <f>U14-U48</f>
        <v>22066221.509999976</v>
      </c>
      <c r="V56" s="106"/>
      <c r="W56" s="139">
        <f>W14-W48</f>
        <v>9930046.2899999619</v>
      </c>
      <c r="X56" s="139">
        <f>X14-X48</f>
        <v>12938985.269999966</v>
      </c>
      <c r="Y56" s="106"/>
      <c r="Z56" s="133">
        <f t="shared" ref="Z56:AA59" si="54">IF(T56&gt;0,W56/T56*100-100,"-")</f>
        <v>-36.222191085351994</v>
      </c>
      <c r="AA56" s="133">
        <f t="shared" si="54"/>
        <v>-41.362932189653435</v>
      </c>
    </row>
    <row r="57" spans="1:27" s="130" customFormat="1" x14ac:dyDescent="0.3">
      <c r="A57" s="137" t="s">
        <v>72</v>
      </c>
      <c r="B57" s="139">
        <f>B15-B49</f>
        <v>-1639629.5700000003</v>
      </c>
      <c r="C57" s="139">
        <f>C15-C49</f>
        <v>1603696.1899999995</v>
      </c>
      <c r="D57" s="106"/>
      <c r="E57" s="139">
        <f>E15-E49</f>
        <v>-3678588.0199999996</v>
      </c>
      <c r="F57" s="139">
        <f>F15-F49</f>
        <v>-189947.33000000194</v>
      </c>
      <c r="G57" s="106"/>
      <c r="H57" s="139">
        <f>H15-H49</f>
        <v>-3347936.5700000003</v>
      </c>
      <c r="I57" s="139">
        <f>I15-I49</f>
        <v>-206455.01000000164</v>
      </c>
      <c r="J57" s="106"/>
      <c r="K57" s="139">
        <f>K15-K49</f>
        <v>-6675730.2499999963</v>
      </c>
      <c r="L57" s="139">
        <f>L15-L49</f>
        <v>495847.69000000134</v>
      </c>
      <c r="M57" s="106"/>
      <c r="N57" s="139">
        <f>N15-N49</f>
        <v>-2999240.8599999994</v>
      </c>
      <c r="O57" s="139">
        <f>O15-O49</f>
        <v>-2433915.0200000014</v>
      </c>
      <c r="P57" s="106"/>
      <c r="Q57" s="139">
        <f>Q15-Q49</f>
        <v>-3971835.6499999985</v>
      </c>
      <c r="R57" s="139">
        <f>R15-R49</f>
        <v>-6705455.6700000018</v>
      </c>
      <c r="S57" s="106"/>
      <c r="T57" s="139">
        <f>T15-T49</f>
        <v>-527886.54000000656</v>
      </c>
      <c r="U57" s="139">
        <f>U15-U49</f>
        <v>-2034592.299999997</v>
      </c>
      <c r="V57" s="106"/>
      <c r="W57" s="139">
        <f>W15-W49</f>
        <v>-8466215.3699999973</v>
      </c>
      <c r="X57" s="139">
        <f>X15-X49</f>
        <v>-10826322.809999999</v>
      </c>
      <c r="Y57" s="106"/>
      <c r="Z57" s="133" t="str">
        <f t="shared" si="54"/>
        <v>-</v>
      </c>
      <c r="AA57" s="133" t="str">
        <f t="shared" si="54"/>
        <v>-</v>
      </c>
    </row>
    <row r="58" spans="1:27" s="130" customFormat="1" x14ac:dyDescent="0.3">
      <c r="A58" s="137" t="s">
        <v>358</v>
      </c>
      <c r="B58" s="139">
        <f>SUM(B14:B16)-SUM(B48:B50)</f>
        <v>15050860.240000039</v>
      </c>
      <c r="C58" s="139">
        <f>SUM(C14:C16)-SUM(C48:C50)</f>
        <v>12724840.419999987</v>
      </c>
      <c r="D58" s="106"/>
      <c r="E58" s="139">
        <f>SUM(E14:E16)-SUM(E48:E50)</f>
        <v>25539675.75000006</v>
      </c>
      <c r="F58" s="139">
        <f>SUM(F14:F16)-SUM(F48:F50)</f>
        <v>28340469.670000017</v>
      </c>
      <c r="G58" s="106"/>
      <c r="H58" s="139">
        <f>SUM(H14:H16)-SUM(H48:H50)</f>
        <v>21818456.589999944</v>
      </c>
      <c r="I58" s="139">
        <f>SUM(I14:I16)-SUM(I48:I50)</f>
        <v>16775878.5</v>
      </c>
      <c r="J58" s="106"/>
      <c r="K58" s="139">
        <f>SUM(K14:K16)-SUM(K48:K50)</f>
        <v>18045801.169999987</v>
      </c>
      <c r="L58" s="139">
        <f>SUM(L14:L16)-SUM(L48:L50)</f>
        <v>10313981.230000019</v>
      </c>
      <c r="M58" s="106"/>
      <c r="N58" s="139">
        <f>SUM(N14:N16)-SUM(N48:N50)</f>
        <v>20870255.480000019</v>
      </c>
      <c r="O58" s="139">
        <f>SUM(O14:O16)-SUM(O48:O50)</f>
        <v>15779882.369999975</v>
      </c>
      <c r="P58" s="106"/>
      <c r="Q58" s="139">
        <f>SUM(Q14:Q16)-SUM(Q48:Q50)</f>
        <v>15787116.319999963</v>
      </c>
      <c r="R58" s="139">
        <f>SUM(R14:R16)-SUM(R48:R50)</f>
        <v>-6034771.9000000358</v>
      </c>
      <c r="S58" s="106"/>
      <c r="T58" s="139">
        <f>SUM(T14:T16)-SUM(T48:T50)</f>
        <v>14291864.849999994</v>
      </c>
      <c r="U58" s="139">
        <f>SUM(U14:U16)-SUM(U48:U50)</f>
        <v>9064559.9799999893</v>
      </c>
      <c r="V58" s="106"/>
      <c r="W58" s="139">
        <f>SUM(W14:W16)-SUM(W48:W50)</f>
        <v>-1536169.0800000429</v>
      </c>
      <c r="X58" s="139">
        <f>SUM(X14:X16)-SUM(X48:X50)</f>
        <v>-20321583.020000011</v>
      </c>
      <c r="Y58" s="106"/>
      <c r="Z58" s="133">
        <f t="shared" si="54"/>
        <v>-110.74855588212509</v>
      </c>
      <c r="AA58" s="133">
        <f t="shared" si="54"/>
        <v>-324.18719788756954</v>
      </c>
    </row>
    <row r="59" spans="1:27" s="130" customFormat="1" x14ac:dyDescent="0.3">
      <c r="A59" s="137" t="s">
        <v>359</v>
      </c>
      <c r="B59" s="139">
        <f>B21-B55</f>
        <v>7741408.6100000441</v>
      </c>
      <c r="C59" s="139">
        <f>C21-C55</f>
        <v>5677333.9699999988</v>
      </c>
      <c r="D59" s="129"/>
      <c r="E59" s="139">
        <f>E21-E55</f>
        <v>9890633.3300000727</v>
      </c>
      <c r="F59" s="139">
        <f>F21-F55</f>
        <v>13999923.730000019</v>
      </c>
      <c r="G59" s="129"/>
      <c r="H59" s="139">
        <f>H21-H55</f>
        <v>15024243.48999995</v>
      </c>
      <c r="I59" s="139">
        <f>I21-I55</f>
        <v>9981665.400000006</v>
      </c>
      <c r="J59" s="129"/>
      <c r="K59" s="139">
        <f>K21-K55</f>
        <v>17663453.680000007</v>
      </c>
      <c r="L59" s="139">
        <f>L21-L55</f>
        <v>9931633.7400000393</v>
      </c>
      <c r="M59" s="129"/>
      <c r="N59" s="139">
        <f>N21-N55</f>
        <v>26859245.26000002</v>
      </c>
      <c r="O59" s="139">
        <f>O21-O55</f>
        <v>20268872.149999976</v>
      </c>
      <c r="P59" s="129"/>
      <c r="Q59" s="139">
        <f>Q21-Q55</f>
        <v>24732131.709999949</v>
      </c>
      <c r="R59" s="139">
        <f>R21-R55</f>
        <v>2410243.4899999499</v>
      </c>
      <c r="S59" s="129"/>
      <c r="T59" s="139">
        <f>T21-T55</f>
        <v>18054898.129999995</v>
      </c>
      <c r="U59" s="139">
        <f>U21-U55</f>
        <v>12827590.25999999</v>
      </c>
      <c r="V59" s="129"/>
      <c r="W59" s="139">
        <f>W21-W55</f>
        <v>11775685.969999969</v>
      </c>
      <c r="X59" s="139">
        <f>X21-X55</f>
        <v>-7009727.969999969</v>
      </c>
      <c r="Y59" s="129"/>
      <c r="Z59" s="133">
        <f t="shared" si="54"/>
        <v>-34.778441366924667</v>
      </c>
      <c r="AA59" s="133">
        <f t="shared" si="54"/>
        <v>-154.64571153210483</v>
      </c>
    </row>
    <row r="60" spans="1:27" s="130" customFormat="1" x14ac:dyDescent="0.3">
      <c r="A60" s="137" t="s">
        <v>360</v>
      </c>
      <c r="C60" s="132">
        <f>SUM(C14:C16)/SUM(B14:B16)*100</f>
        <v>80.849223357218321</v>
      </c>
      <c r="D60" s="129"/>
      <c r="F60" s="132">
        <f>SUM(F14:F16)/SUM(E14:E16)*100</f>
        <v>85.408854291351545</v>
      </c>
      <c r="G60" s="129"/>
      <c r="I60" s="132">
        <f>SUM(I14:I16)/SUM(H14:H16)*100</f>
        <v>81.126478488002405</v>
      </c>
      <c r="J60" s="129"/>
      <c r="L60" s="132">
        <f>SUM(L14:L16)/SUM(K14:K16)*100</f>
        <v>79.717959316384366</v>
      </c>
      <c r="M60" s="129"/>
      <c r="O60" s="132">
        <f>SUM(O14:O16)/SUM(N14:N16)*100</f>
        <v>77.508731712936495</v>
      </c>
      <c r="P60" s="129"/>
      <c r="R60" s="132">
        <f>SUM(R14:R16)/SUM(Q14:Q16)*100</f>
        <v>71.729859026331823</v>
      </c>
      <c r="S60" s="129"/>
      <c r="U60" s="132">
        <f>SUM(U14:U16)/SUM(T14:T16)*100</f>
        <v>78.661448445349265</v>
      </c>
      <c r="V60" s="129"/>
      <c r="X60" s="132">
        <f>SUM(X14:X16)/SUM(W14:W16)*100</f>
        <v>73.515519778432974</v>
      </c>
      <c r="Y60" s="129"/>
    </row>
    <row r="61" spans="1:27" s="130" customFormat="1" x14ac:dyDescent="0.3">
      <c r="A61" s="137" t="s">
        <v>361</v>
      </c>
      <c r="C61" s="132">
        <f>SUM(C48:C50)/SUM(B48:B50)*100</f>
        <v>80.523186595879977</v>
      </c>
      <c r="D61" s="129"/>
      <c r="F61" s="132">
        <f>SUM(F48:F50)/SUM(E48:E50)*100</f>
        <v>81.558877003181337</v>
      </c>
      <c r="G61" s="129"/>
      <c r="I61" s="132">
        <f>SUM(I48:I50)/SUM(H48:H50)*100</f>
        <v>81.625696439915842</v>
      </c>
      <c r="J61" s="129"/>
      <c r="L61" s="132">
        <f>SUM(L48:L50)/SUM(K48:K50)*100</f>
        <v>81.624877094167886</v>
      </c>
      <c r="M61" s="129"/>
      <c r="O61" s="132">
        <f>SUM(O48:O50)/SUM(N48:N50)*100</f>
        <v>77.711096437066246</v>
      </c>
      <c r="P61" s="129"/>
      <c r="R61" s="132">
        <f>SUM(R48:R50)/SUM(Q48:Q50)*100</f>
        <v>79.95515879596968</v>
      </c>
      <c r="S61" s="129"/>
      <c r="U61" s="132">
        <f>SUM(U48:U50)/SUM(T48:T50)*100</f>
        <v>79.714155965672887</v>
      </c>
      <c r="V61" s="129"/>
      <c r="X61" s="132">
        <f>SUM(X48:X50)/SUM(W48:W50)*100</f>
        <v>82.635346233129042</v>
      </c>
      <c r="Y61" s="129"/>
    </row>
  </sheetData>
  <mergeCells count="9">
    <mergeCell ref="Z1:AA1"/>
    <mergeCell ref="B1:D1"/>
    <mergeCell ref="E1:G1"/>
    <mergeCell ref="W1:Y1"/>
    <mergeCell ref="H1:J1"/>
    <mergeCell ref="K1:M1"/>
    <mergeCell ref="N1:P1"/>
    <mergeCell ref="Q1:S1"/>
    <mergeCell ref="T1:V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showGridLines="0" workbookViewId="0">
      <selection activeCell="K18" sqref="K18"/>
    </sheetView>
  </sheetViews>
  <sheetFormatPr defaultRowHeight="14.4" x14ac:dyDescent="0.3"/>
  <cols>
    <col min="1" max="2" width="10.33203125" bestFit="1" customWidth="1"/>
    <col min="3" max="3" width="50.6640625" bestFit="1" customWidth="1"/>
    <col min="4" max="4" width="7.44140625" customWidth="1"/>
    <col min="5" max="7" width="6.33203125" customWidth="1"/>
    <col min="8" max="12" width="6.33203125" style="130" customWidth="1"/>
  </cols>
  <sheetData>
    <row r="1" spans="1:12" ht="23.25" customHeight="1" x14ac:dyDescent="0.3">
      <c r="A1" s="65" t="s">
        <v>311</v>
      </c>
      <c r="B1" s="65" t="s">
        <v>312</v>
      </c>
      <c r="C1" s="65" t="s">
        <v>322</v>
      </c>
      <c r="D1" s="39" t="s">
        <v>211</v>
      </c>
      <c r="E1" s="39">
        <v>2016</v>
      </c>
      <c r="F1" s="39">
        <v>2017</v>
      </c>
      <c r="G1" s="39">
        <v>2018</v>
      </c>
      <c r="H1" s="146">
        <v>2019</v>
      </c>
      <c r="I1" s="146">
        <v>2020</v>
      </c>
      <c r="J1" s="146">
        <v>2021</v>
      </c>
      <c r="K1" s="146">
        <v>2022</v>
      </c>
      <c r="L1" s="146">
        <v>2023</v>
      </c>
    </row>
    <row r="2" spans="1:12" ht="29.25" customHeight="1" x14ac:dyDescent="0.3">
      <c r="A2" s="66" t="s">
        <v>313</v>
      </c>
      <c r="B2" s="66" t="s">
        <v>78</v>
      </c>
      <c r="C2" s="68" t="s">
        <v>321</v>
      </c>
      <c r="D2" s="78" t="s">
        <v>328</v>
      </c>
      <c r="E2" s="73">
        <f>Piano_indicatori!D3</f>
        <v>30.3</v>
      </c>
      <c r="F2" s="73">
        <f>Piano_indicatori!E3</f>
        <v>34.200000000000003</v>
      </c>
      <c r="G2" s="73">
        <f>Piano_indicatori!F3</f>
        <v>30.42</v>
      </c>
      <c r="H2" s="73">
        <f>Piano_indicatori!G3</f>
        <v>27.08</v>
      </c>
      <c r="I2" s="73">
        <f>Piano_indicatori!H3</f>
        <v>25.64</v>
      </c>
      <c r="J2" s="73">
        <f>Piano_indicatori!I3</f>
        <v>25.17</v>
      </c>
      <c r="K2" s="73">
        <f>Piano_indicatori!J3</f>
        <v>28.63</v>
      </c>
      <c r="L2" s="73">
        <f>Piano_indicatori!K3</f>
        <v>29.41</v>
      </c>
    </row>
    <row r="3" spans="1:12" ht="29.25" customHeight="1" x14ac:dyDescent="0.3">
      <c r="A3" s="67" t="s">
        <v>314</v>
      </c>
      <c r="B3" s="67" t="s">
        <v>95</v>
      </c>
      <c r="C3" s="69" t="s">
        <v>96</v>
      </c>
      <c r="D3" s="79" t="s">
        <v>329</v>
      </c>
      <c r="E3" s="74">
        <f>Piano_indicatori!D12</f>
        <v>61.33</v>
      </c>
      <c r="F3" s="74">
        <f>Piano_indicatori!E12</f>
        <v>60.46</v>
      </c>
      <c r="G3" s="74">
        <f>Piano_indicatori!F12</f>
        <v>53.11</v>
      </c>
      <c r="H3" s="74">
        <f>Piano_indicatori!G12</f>
        <v>60.02</v>
      </c>
      <c r="I3" s="74">
        <f>Piano_indicatori!H12</f>
        <v>52.1</v>
      </c>
      <c r="J3" s="74">
        <f>Piano_indicatori!I12</f>
        <v>55.49</v>
      </c>
      <c r="K3" s="74">
        <f>Piano_indicatori!J12</f>
        <v>59.12</v>
      </c>
      <c r="L3" s="74">
        <f>Piano_indicatori!K12</f>
        <v>58.36</v>
      </c>
    </row>
    <row r="4" spans="1:12" ht="29.25" customHeight="1" x14ac:dyDescent="0.3">
      <c r="A4" s="66" t="s">
        <v>315</v>
      </c>
      <c r="B4" s="66" t="s">
        <v>100</v>
      </c>
      <c r="C4" s="70" t="s">
        <v>324</v>
      </c>
      <c r="D4" s="78" t="s">
        <v>330</v>
      </c>
      <c r="E4" s="75">
        <f>Piano_indicatori!D15</f>
        <v>0</v>
      </c>
      <c r="F4" s="75">
        <f>Piano_indicatori!E15</f>
        <v>0</v>
      </c>
      <c r="G4" s="75">
        <f>Piano_indicatori!F15</f>
        <v>0</v>
      </c>
      <c r="H4" s="75">
        <f>Piano_indicatori!G15</f>
        <v>0</v>
      </c>
      <c r="I4" s="75">
        <f>Piano_indicatori!H15</f>
        <v>0</v>
      </c>
      <c r="J4" s="75">
        <f>Piano_indicatori!I15</f>
        <v>0</v>
      </c>
      <c r="K4" s="75">
        <f>Piano_indicatori!J15</f>
        <v>0</v>
      </c>
      <c r="L4" s="75">
        <f>Piano_indicatori!K15</f>
        <v>0</v>
      </c>
    </row>
    <row r="5" spans="1:12" ht="29.25" customHeight="1" x14ac:dyDescent="0.3">
      <c r="A5" s="67" t="s">
        <v>316</v>
      </c>
      <c r="B5" s="67" t="s">
        <v>165</v>
      </c>
      <c r="C5" s="71" t="s">
        <v>325</v>
      </c>
      <c r="D5" s="80" t="s">
        <v>331</v>
      </c>
      <c r="E5" s="76">
        <f>Piano_indicatori!D51</f>
        <v>8.1</v>
      </c>
      <c r="F5" s="76">
        <f>Piano_indicatori!E51</f>
        <v>10.96</v>
      </c>
      <c r="G5" s="76">
        <f>Piano_indicatori!F51</f>
        <v>7.35</v>
      </c>
      <c r="H5" s="76">
        <f>Piano_indicatori!G51</f>
        <v>5.69</v>
      </c>
      <c r="I5" s="76">
        <f>Piano_indicatori!H51</f>
        <v>3.77</v>
      </c>
      <c r="J5" s="76">
        <f>Piano_indicatori!I51</f>
        <v>3.96</v>
      </c>
      <c r="K5" s="76">
        <f>Piano_indicatori!J51</f>
        <v>5.03</v>
      </c>
      <c r="L5" s="76">
        <f>Piano_indicatori!K51</f>
        <v>5.12</v>
      </c>
    </row>
    <row r="6" spans="1:12" ht="29.25" customHeight="1" x14ac:dyDescent="0.3">
      <c r="A6" s="66" t="s">
        <v>317</v>
      </c>
      <c r="B6" s="66" t="s">
        <v>185</v>
      </c>
      <c r="C6" s="82" t="s">
        <v>186</v>
      </c>
      <c r="D6" s="81" t="s">
        <v>332</v>
      </c>
      <c r="E6" s="150">
        <f>Piano_indicatori!D62</f>
        <v>0</v>
      </c>
      <c r="F6" s="150">
        <f>Piano_indicatori!E62</f>
        <v>0</v>
      </c>
      <c r="G6" s="150">
        <f>Piano_indicatori!F62</f>
        <v>0</v>
      </c>
      <c r="H6" s="150">
        <f>Piano_indicatori!G62</f>
        <v>0</v>
      </c>
      <c r="I6" s="150">
        <f>Piano_indicatori!H62</f>
        <v>0</v>
      </c>
      <c r="J6" s="150">
        <f>Piano_indicatori!I62</f>
        <v>0</v>
      </c>
      <c r="K6" s="150">
        <f>Piano_indicatori!J62</f>
        <v>0</v>
      </c>
      <c r="L6" s="150">
        <f>Piano_indicatori!K62</f>
        <v>0</v>
      </c>
    </row>
    <row r="7" spans="1:12" ht="29.25" customHeight="1" x14ac:dyDescent="0.3">
      <c r="A7" s="67" t="s">
        <v>318</v>
      </c>
      <c r="B7" s="67" t="s">
        <v>188</v>
      </c>
      <c r="C7" s="71" t="s">
        <v>189</v>
      </c>
      <c r="D7" s="79" t="s">
        <v>333</v>
      </c>
      <c r="E7" s="151">
        <f>Piano_indicatori!D64</f>
        <v>0</v>
      </c>
      <c r="F7" s="151">
        <f>Piano_indicatori!E64</f>
        <v>0</v>
      </c>
      <c r="G7" s="151">
        <f>Piano_indicatori!F64</f>
        <v>0.09</v>
      </c>
      <c r="H7" s="151">
        <f>Piano_indicatori!G64</f>
        <v>0</v>
      </c>
      <c r="I7" s="151">
        <f>Piano_indicatori!H64</f>
        <v>0.01</v>
      </c>
      <c r="J7" s="151">
        <f>Piano_indicatori!I64</f>
        <v>1.55</v>
      </c>
      <c r="K7" s="151">
        <f>Piano_indicatori!J64</f>
        <v>0</v>
      </c>
      <c r="L7" s="151">
        <f>Piano_indicatori!K64</f>
        <v>0.25</v>
      </c>
    </row>
    <row r="8" spans="1:12" ht="29.25" customHeight="1" x14ac:dyDescent="0.3">
      <c r="A8" s="66" t="s">
        <v>319</v>
      </c>
      <c r="B8" s="66" t="s">
        <v>323</v>
      </c>
      <c r="C8" s="70" t="s">
        <v>326</v>
      </c>
      <c r="D8" s="78" t="s">
        <v>334</v>
      </c>
      <c r="E8" s="152">
        <f>Piano_indicatori!D65+Piano_indicatori!D66</f>
        <v>0</v>
      </c>
      <c r="F8" s="152">
        <f>Piano_indicatori!E65+Piano_indicatori!E66</f>
        <v>0</v>
      </c>
      <c r="G8" s="152">
        <f>Piano_indicatori!F65+Piano_indicatori!F66</f>
        <v>0</v>
      </c>
      <c r="H8" s="152">
        <f>Piano_indicatori!G65+Piano_indicatori!G66</f>
        <v>0</v>
      </c>
      <c r="I8" s="152">
        <f>Piano_indicatori!H65+Piano_indicatori!H66</f>
        <v>0.86</v>
      </c>
      <c r="J8" s="152">
        <f>Piano_indicatori!I65+Piano_indicatori!I66</f>
        <v>0</v>
      </c>
      <c r="K8" s="152">
        <f>Piano_indicatori!J65+Piano_indicatori!J66</f>
        <v>0</v>
      </c>
      <c r="L8" s="152">
        <f>Piano_indicatori!K65+Piano_indicatori!K66</f>
        <v>0</v>
      </c>
    </row>
    <row r="9" spans="1:12" ht="29.25" customHeight="1" x14ac:dyDescent="0.3">
      <c r="A9" s="67" t="s">
        <v>320</v>
      </c>
      <c r="B9" s="67"/>
      <c r="C9" s="72" t="s">
        <v>327</v>
      </c>
      <c r="D9" s="80" t="s">
        <v>335</v>
      </c>
      <c r="E9" s="77">
        <f>Piano_indicatori!D76</f>
        <v>71.795005849921381</v>
      </c>
      <c r="F9" s="77">
        <f>Piano_indicatori!E76</f>
        <v>76.976624940981466</v>
      </c>
      <c r="G9" s="77">
        <f>Piano_indicatori!F76</f>
        <v>71.475564637641426</v>
      </c>
      <c r="H9" s="77">
        <f>Piano_indicatori!G76</f>
        <v>69.917430494658404</v>
      </c>
      <c r="I9" s="77">
        <f>Piano_indicatori!H76</f>
        <v>67.438075922132455</v>
      </c>
      <c r="J9" s="77">
        <f>Piano_indicatori!I76</f>
        <v>62.967267950143388</v>
      </c>
      <c r="K9" s="77">
        <f>Piano_indicatori!J76</f>
        <v>67.347477902710551</v>
      </c>
      <c r="L9" s="77">
        <f>Piano_indicatori!K76</f>
        <v>64.673095868731068</v>
      </c>
    </row>
  </sheetData>
  <conditionalFormatting sqref="E2:H2 L2">
    <cfRule type="cellIs" dxfId="31" priority="32" operator="greaterThan">
      <formula>48</formula>
    </cfRule>
  </conditionalFormatting>
  <conditionalFormatting sqref="E3:H3 L3">
    <cfRule type="cellIs" dxfId="30" priority="31" operator="lessThan">
      <formula>22</formula>
    </cfRule>
  </conditionalFormatting>
  <conditionalFormatting sqref="E4:H4 L4">
    <cfRule type="cellIs" dxfId="29" priority="30" operator="greaterThan">
      <formula>0</formula>
    </cfRule>
  </conditionalFormatting>
  <conditionalFormatting sqref="E5:H5 L5">
    <cfRule type="cellIs" dxfId="28" priority="29" operator="greaterThan">
      <formula>16</formula>
    </cfRule>
  </conditionalFormatting>
  <conditionalFormatting sqref="E6:H6 L6">
    <cfRule type="cellIs" dxfId="27" priority="28" operator="greaterThan">
      <formula>1.2</formula>
    </cfRule>
  </conditionalFormatting>
  <conditionalFormatting sqref="E7:H7 L7">
    <cfRule type="cellIs" dxfId="26" priority="27" operator="greaterThan">
      <formula>1</formula>
    </cfRule>
  </conditionalFormatting>
  <conditionalFormatting sqref="E8:H8 L8">
    <cfRule type="cellIs" dxfId="25" priority="26" operator="greaterThan">
      <formula>0.6</formula>
    </cfRule>
  </conditionalFormatting>
  <conditionalFormatting sqref="E9:H9 L9">
    <cfRule type="cellIs" dxfId="24" priority="25" operator="lessThan">
      <formula>47</formula>
    </cfRule>
  </conditionalFormatting>
  <conditionalFormatting sqref="I2">
    <cfRule type="cellIs" dxfId="23" priority="24" operator="greaterThan">
      <formula>48</formula>
    </cfRule>
  </conditionalFormatting>
  <conditionalFormatting sqref="I3">
    <cfRule type="cellIs" dxfId="22" priority="23" operator="lessThan">
      <formula>22</formula>
    </cfRule>
  </conditionalFormatting>
  <conditionalFormatting sqref="I4">
    <cfRule type="cellIs" dxfId="21" priority="22" operator="greaterThan">
      <formula>0</formula>
    </cfRule>
  </conditionalFormatting>
  <conditionalFormatting sqref="I5">
    <cfRule type="cellIs" dxfId="20" priority="21" operator="greaterThan">
      <formula>16</formula>
    </cfRule>
  </conditionalFormatting>
  <conditionalFormatting sqref="I6">
    <cfRule type="cellIs" dxfId="19" priority="20" operator="greaterThan">
      <formula>1.2</formula>
    </cfRule>
  </conditionalFormatting>
  <conditionalFormatting sqref="I7">
    <cfRule type="cellIs" dxfId="18" priority="19" operator="greaterThan">
      <formula>1</formula>
    </cfRule>
  </conditionalFormatting>
  <conditionalFormatting sqref="I8">
    <cfRule type="cellIs" dxfId="17" priority="18" operator="greaterThan">
      <formula>0.6</formula>
    </cfRule>
  </conditionalFormatting>
  <conditionalFormatting sqref="I9">
    <cfRule type="cellIs" dxfId="16" priority="17" operator="lessThan">
      <formula>47</formula>
    </cfRule>
  </conditionalFormatting>
  <conditionalFormatting sqref="J2">
    <cfRule type="cellIs" dxfId="15" priority="16" operator="greaterThan">
      <formula>48</formula>
    </cfRule>
  </conditionalFormatting>
  <conditionalFormatting sqref="J3">
    <cfRule type="cellIs" dxfId="14" priority="15" operator="lessThan">
      <formula>22</formula>
    </cfRule>
  </conditionalFormatting>
  <conditionalFormatting sqref="J4">
    <cfRule type="cellIs" dxfId="13" priority="14" operator="greaterThan">
      <formula>0</formula>
    </cfRule>
  </conditionalFormatting>
  <conditionalFormatting sqref="J5">
    <cfRule type="cellIs" dxfId="12" priority="13" operator="greaterThan">
      <formula>16</formula>
    </cfRule>
  </conditionalFormatting>
  <conditionalFormatting sqref="J6">
    <cfRule type="cellIs" dxfId="11" priority="12" operator="greaterThan">
      <formula>1.2</formula>
    </cfRule>
  </conditionalFormatting>
  <conditionalFormatting sqref="J7">
    <cfRule type="cellIs" dxfId="10" priority="11" operator="greaterThan">
      <formula>1</formula>
    </cfRule>
  </conditionalFormatting>
  <conditionalFormatting sqref="J8">
    <cfRule type="cellIs" dxfId="9" priority="10" operator="greaterThan">
      <formula>0.6</formula>
    </cfRule>
  </conditionalFormatting>
  <conditionalFormatting sqref="J9">
    <cfRule type="cellIs" dxfId="8" priority="9" operator="lessThan">
      <formula>47</formula>
    </cfRule>
  </conditionalFormatting>
  <conditionalFormatting sqref="K2">
    <cfRule type="cellIs" dxfId="7" priority="8" operator="greaterThan">
      <formula>48</formula>
    </cfRule>
  </conditionalFormatting>
  <conditionalFormatting sqref="K3">
    <cfRule type="cellIs" dxfId="6" priority="7" operator="lessThan">
      <formula>22</formula>
    </cfRule>
  </conditionalFormatting>
  <conditionalFormatting sqref="K4">
    <cfRule type="cellIs" dxfId="5" priority="6" operator="greaterThan">
      <formula>0</formula>
    </cfRule>
  </conditionalFormatting>
  <conditionalFormatting sqref="K5">
    <cfRule type="cellIs" dxfId="4" priority="5" operator="greaterThan">
      <formula>16</formula>
    </cfRule>
  </conditionalFormatting>
  <conditionalFormatting sqref="K6">
    <cfRule type="cellIs" dxfId="3" priority="4" operator="greaterThan">
      <formula>1.2</formula>
    </cfRule>
  </conditionalFormatting>
  <conditionalFormatting sqref="K7">
    <cfRule type="cellIs" dxfId="2" priority="3" operator="greaterThan">
      <formula>1</formula>
    </cfRule>
  </conditionalFormatting>
  <conditionalFormatting sqref="K8">
    <cfRule type="cellIs" dxfId="1" priority="2" operator="greaterThan">
      <formula>0.6</formula>
    </cfRule>
  </conditionalFormatting>
  <conditionalFormatting sqref="K9">
    <cfRule type="cellIs" dxfId="0" priority="1" operator="lessThan">
      <formula>47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workbookViewId="0">
      <selection activeCell="B3" sqref="B3"/>
    </sheetView>
  </sheetViews>
  <sheetFormatPr defaultRowHeight="14.4" x14ac:dyDescent="0.3"/>
  <cols>
    <col min="2" max="2" width="12.33203125" bestFit="1" customWidth="1"/>
    <col min="5" max="5" width="10.33203125" customWidth="1"/>
    <col min="6" max="6" width="10" style="130" customWidth="1"/>
    <col min="7" max="7" width="8.88671875" style="130"/>
  </cols>
  <sheetData>
    <row r="1" spans="1:20" ht="43.2" x14ac:dyDescent="0.3">
      <c r="A1" s="89" t="s">
        <v>336</v>
      </c>
      <c r="B1" s="89" t="s">
        <v>337</v>
      </c>
      <c r="C1" s="89" t="s">
        <v>351</v>
      </c>
      <c r="D1" s="89" t="s">
        <v>352</v>
      </c>
      <c r="E1" s="89" t="s">
        <v>353</v>
      </c>
      <c r="F1" s="89" t="s">
        <v>364</v>
      </c>
      <c r="G1" s="89" t="s">
        <v>354</v>
      </c>
    </row>
    <row r="2" spans="1:20" s="130" customFormat="1" x14ac:dyDescent="0.3">
      <c r="A2" s="28">
        <v>2024</v>
      </c>
      <c r="B2" s="95">
        <v>171342</v>
      </c>
      <c r="C2" s="95">
        <v>529261</v>
      </c>
      <c r="D2" s="89"/>
      <c r="K2" s="148"/>
      <c r="L2" s="149"/>
      <c r="M2" s="149"/>
      <c r="N2" s="149"/>
      <c r="O2" s="149"/>
      <c r="P2" s="149"/>
      <c r="Q2" s="149"/>
      <c r="R2" s="149"/>
      <c r="S2" s="149"/>
      <c r="T2" s="149"/>
    </row>
    <row r="3" spans="1:20" s="130" customFormat="1" x14ac:dyDescent="0.3">
      <c r="A3" s="28">
        <v>2023</v>
      </c>
      <c r="B3" s="95">
        <v>170451</v>
      </c>
      <c r="C3" s="95">
        <v>526990</v>
      </c>
      <c r="D3" s="95">
        <v>-404</v>
      </c>
      <c r="E3" s="95">
        <v>1295</v>
      </c>
      <c r="G3" s="95">
        <f t="shared" ref="G3:G4" si="0">B2-B3-D3-E3-F3</f>
        <v>0</v>
      </c>
      <c r="K3" s="148"/>
      <c r="L3" s="149"/>
      <c r="M3" s="149"/>
      <c r="N3" s="149"/>
      <c r="O3" s="149"/>
      <c r="P3" s="149"/>
      <c r="Q3" s="149"/>
      <c r="R3" s="149"/>
      <c r="S3" s="149"/>
      <c r="T3" s="149"/>
    </row>
    <row r="4" spans="1:20" s="130" customFormat="1" x14ac:dyDescent="0.3">
      <c r="A4" s="28">
        <v>2022</v>
      </c>
      <c r="B4" s="95">
        <v>169908</v>
      </c>
      <c r="C4" s="95">
        <v>525586</v>
      </c>
      <c r="D4" s="95">
        <v>-497</v>
      </c>
      <c r="E4" s="95">
        <v>1408</v>
      </c>
      <c r="F4" s="95">
        <v>-368</v>
      </c>
      <c r="G4" s="95">
        <f t="shared" si="0"/>
        <v>0</v>
      </c>
      <c r="K4" s="148"/>
      <c r="L4" s="149"/>
      <c r="M4" s="149"/>
      <c r="N4" s="149"/>
      <c r="O4" s="149"/>
      <c r="P4" s="149"/>
      <c r="Q4" s="149"/>
      <c r="R4" s="149"/>
      <c r="S4" s="149"/>
      <c r="T4" s="149"/>
    </row>
    <row r="5" spans="1:20" s="130" customFormat="1" x14ac:dyDescent="0.3">
      <c r="A5" s="28">
        <v>2021</v>
      </c>
      <c r="B5" s="95">
        <v>170601</v>
      </c>
      <c r="C5" s="95">
        <v>527140</v>
      </c>
      <c r="D5" s="95">
        <v>-537</v>
      </c>
      <c r="E5" s="95">
        <v>-836</v>
      </c>
      <c r="F5" s="95">
        <v>680</v>
      </c>
      <c r="G5" s="95">
        <f>B4-B5-D5-E5-F5</f>
        <v>0</v>
      </c>
      <c r="K5" s="148"/>
      <c r="L5" s="149"/>
      <c r="M5" s="149"/>
      <c r="N5" s="149"/>
      <c r="O5" s="149"/>
      <c r="P5" s="149"/>
      <c r="Q5" s="149"/>
      <c r="R5" s="149"/>
      <c r="S5" s="149"/>
      <c r="T5" s="149"/>
    </row>
    <row r="6" spans="1:20" x14ac:dyDescent="0.3">
      <c r="A6" s="28">
        <v>2020</v>
      </c>
      <c r="B6" s="1">
        <v>171084</v>
      </c>
      <c r="C6" s="1">
        <v>529609</v>
      </c>
      <c r="D6" s="95">
        <v>-591</v>
      </c>
      <c r="E6" s="95">
        <v>-286</v>
      </c>
      <c r="F6" s="95">
        <v>394</v>
      </c>
      <c r="G6" s="95">
        <f t="shared" ref="G6:G11" si="1">B5-B6-D6-E6-F6</f>
        <v>0</v>
      </c>
      <c r="K6" s="148"/>
      <c r="L6" s="149"/>
      <c r="M6" s="149"/>
      <c r="N6" s="149"/>
      <c r="O6" s="149"/>
      <c r="P6" s="149"/>
      <c r="Q6" s="149"/>
      <c r="R6" s="149"/>
      <c r="S6" s="149"/>
      <c r="T6" s="149"/>
    </row>
    <row r="7" spans="1:20" x14ac:dyDescent="0.3">
      <c r="A7" s="28">
        <v>2019</v>
      </c>
      <c r="B7" s="1">
        <v>170887</v>
      </c>
      <c r="C7" s="1">
        <v>529932</v>
      </c>
      <c r="D7" s="95">
        <v>-283</v>
      </c>
      <c r="E7" s="95">
        <v>309</v>
      </c>
      <c r="F7" s="95">
        <v>171</v>
      </c>
      <c r="G7" s="95">
        <f t="shared" si="1"/>
        <v>0</v>
      </c>
      <c r="K7" s="148"/>
      <c r="L7" s="149"/>
      <c r="M7" s="149"/>
      <c r="N7" s="149"/>
      <c r="O7" s="149"/>
      <c r="P7" s="149"/>
      <c r="Q7" s="149"/>
      <c r="R7" s="149"/>
      <c r="S7" s="149"/>
      <c r="T7" s="149"/>
    </row>
    <row r="8" spans="1:20" x14ac:dyDescent="0.3">
      <c r="A8" s="28">
        <v>2018</v>
      </c>
      <c r="B8" s="1">
        <v>170151</v>
      </c>
      <c r="C8" s="1">
        <v>529588</v>
      </c>
      <c r="D8" s="95">
        <v>-233</v>
      </c>
      <c r="E8" s="95">
        <v>969</v>
      </c>
      <c r="F8" s="95"/>
      <c r="G8" s="95">
        <f t="shared" si="1"/>
        <v>0</v>
      </c>
      <c r="K8" s="148"/>
      <c r="L8" s="149"/>
      <c r="M8" s="149"/>
      <c r="N8" s="149"/>
      <c r="O8" s="149"/>
      <c r="P8" s="149"/>
      <c r="Q8" s="149"/>
      <c r="R8" s="149"/>
      <c r="S8" s="149"/>
      <c r="T8" s="149"/>
    </row>
    <row r="9" spans="1:20" x14ac:dyDescent="0.3">
      <c r="A9" s="28">
        <v>2017</v>
      </c>
      <c r="B9" s="1">
        <v>169875</v>
      </c>
      <c r="C9" s="1">
        <v>529479</v>
      </c>
      <c r="D9" s="95">
        <v>-141</v>
      </c>
      <c r="E9" s="95">
        <v>417</v>
      </c>
      <c r="F9" s="95"/>
      <c r="G9" s="95">
        <f t="shared" si="1"/>
        <v>0</v>
      </c>
    </row>
    <row r="10" spans="1:20" x14ac:dyDescent="0.3">
      <c r="A10" s="28">
        <v>2016</v>
      </c>
      <c r="B10" s="1">
        <v>169363</v>
      </c>
      <c r="C10" s="1">
        <v>529643</v>
      </c>
      <c r="D10" s="95">
        <v>-65</v>
      </c>
      <c r="E10" s="95">
        <v>577</v>
      </c>
      <c r="F10" s="95"/>
      <c r="G10" s="95">
        <f t="shared" si="1"/>
        <v>0</v>
      </c>
    </row>
    <row r="11" spans="1:20" x14ac:dyDescent="0.3">
      <c r="A11" s="28">
        <v>2015</v>
      </c>
      <c r="B11" s="95">
        <v>168710</v>
      </c>
      <c r="C11" s="1">
        <v>529306</v>
      </c>
      <c r="D11" s="95">
        <v>-50</v>
      </c>
      <c r="E11" s="95">
        <v>703</v>
      </c>
      <c r="F11" s="95"/>
      <c r="G11" s="95">
        <f t="shared" si="1"/>
        <v>0</v>
      </c>
    </row>
    <row r="32" spans="6:6" x14ac:dyDescent="0.3">
      <c r="F32" s="148"/>
    </row>
    <row r="33" spans="6:6" x14ac:dyDescent="0.3">
      <c r="F33" s="148"/>
    </row>
    <row r="34" spans="6:6" x14ac:dyDescent="0.3">
      <c r="F34" s="148"/>
    </row>
    <row r="35" spans="6:6" x14ac:dyDescent="0.3">
      <c r="F35" s="148"/>
    </row>
    <row r="36" spans="6:6" x14ac:dyDescent="0.3">
      <c r="F36" s="148"/>
    </row>
    <row r="37" spans="6:6" x14ac:dyDescent="0.3">
      <c r="F37" s="148"/>
    </row>
    <row r="38" spans="6:6" x14ac:dyDescent="0.3">
      <c r="F38" s="148"/>
    </row>
    <row r="39" spans="6:6" x14ac:dyDescent="0.3">
      <c r="F39" s="148"/>
    </row>
    <row r="40" spans="6:6" x14ac:dyDescent="0.3">
      <c r="F40" s="148"/>
    </row>
  </sheetData>
  <sortState ref="A2:B6">
    <sortCondition descending="1" ref="A2:A6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showGridLines="0" topLeftCell="B1" workbookViewId="0">
      <selection activeCell="K1" sqref="K1:K21"/>
    </sheetView>
  </sheetViews>
  <sheetFormatPr defaultRowHeight="14.4" x14ac:dyDescent="0.3"/>
  <cols>
    <col min="1" max="1" width="55.6640625" bestFit="1" customWidth="1"/>
    <col min="2" max="3" width="12.5546875" bestFit="1" customWidth="1"/>
    <col min="4" max="8" width="12.5546875" style="130" bestFit="1" customWidth="1"/>
    <col min="9" max="9" width="12.5546875" bestFit="1" customWidth="1"/>
    <col min="10" max="10" width="8.44140625" customWidth="1"/>
    <col min="11" max="11" width="6.5546875" style="130" bestFit="1" customWidth="1"/>
    <col min="12" max="12" width="12.5546875" bestFit="1" customWidth="1"/>
    <col min="13" max="13" width="7" bestFit="1" customWidth="1"/>
  </cols>
  <sheetData>
    <row r="1" spans="1:13" ht="28.8" x14ac:dyDescent="0.3">
      <c r="A1" s="38"/>
      <c r="B1" s="39">
        <v>2016</v>
      </c>
      <c r="C1" s="39">
        <v>2017</v>
      </c>
      <c r="D1" s="146">
        <v>2018</v>
      </c>
      <c r="E1" s="146">
        <v>2019</v>
      </c>
      <c r="F1" s="146">
        <v>2020</v>
      </c>
      <c r="G1" s="146">
        <v>2021</v>
      </c>
      <c r="H1" s="146">
        <v>2022</v>
      </c>
      <c r="I1" s="39">
        <v>2023</v>
      </c>
      <c r="J1" s="48" t="s">
        <v>297</v>
      </c>
      <c r="K1" s="146" t="s">
        <v>233</v>
      </c>
      <c r="L1" s="147" t="s">
        <v>366</v>
      </c>
      <c r="M1" s="39" t="s">
        <v>269</v>
      </c>
    </row>
    <row r="2" spans="1:13" x14ac:dyDescent="0.3">
      <c r="A2" s="49" t="s">
        <v>20</v>
      </c>
      <c r="B2" s="50">
        <f>Entrate_Uscite!B3</f>
        <v>127755656.51000001</v>
      </c>
      <c r="C2" s="50">
        <f>Entrate_Uscite!E3</f>
        <v>127480943.5</v>
      </c>
      <c r="D2" s="142">
        <f>Entrate_Uscite!H3</f>
        <v>132033898.88</v>
      </c>
      <c r="E2" s="142">
        <f>Entrate_Uscite!K3</f>
        <v>134796843.16999999</v>
      </c>
      <c r="F2" s="142">
        <f>Entrate_Uscite!N3</f>
        <v>130582374.53</v>
      </c>
      <c r="G2" s="142">
        <f>Entrate_Uscite!Q3</f>
        <v>133230030.59</v>
      </c>
      <c r="H2" s="142">
        <f>Entrate_Uscite!T3</f>
        <v>99340747.069999993</v>
      </c>
      <c r="I2" s="50">
        <f>Entrate_Uscite!W3</f>
        <v>99123955.890000001</v>
      </c>
      <c r="J2" s="50">
        <f>I2/I$21*100</f>
        <v>43.293645456452346</v>
      </c>
      <c r="K2" s="120">
        <f>IF(H2&gt;0,I2/H2*100-100,"-")</f>
        <v>-0.21822986679094925</v>
      </c>
      <c r="L2" s="50">
        <f>Entrate_Uscite!X3</f>
        <v>86158996.319999993</v>
      </c>
      <c r="M2" s="51">
        <f>IF(I2&gt;0,L2/I2*100,"-")</f>
        <v>86.9204578715689</v>
      </c>
    </row>
    <row r="3" spans="1:13" x14ac:dyDescent="0.3">
      <c r="A3" s="49" t="s">
        <v>21</v>
      </c>
      <c r="B3" s="50">
        <f>Entrate_Uscite!B4</f>
        <v>14068409.460000001</v>
      </c>
      <c r="C3" s="50">
        <f>Entrate_Uscite!E4</f>
        <v>13916565.02</v>
      </c>
      <c r="D3" s="142">
        <f>Entrate_Uscite!H4</f>
        <v>16949040.390000001</v>
      </c>
      <c r="E3" s="142">
        <f>Entrate_Uscite!K4</f>
        <v>14801196.67</v>
      </c>
      <c r="F3" s="142">
        <f>Entrate_Uscite!N4</f>
        <v>30153686.760000002</v>
      </c>
      <c r="G3" s="142">
        <f>Entrate_Uscite!Q4</f>
        <v>28616034.09</v>
      </c>
      <c r="H3" s="142">
        <f>Entrate_Uscite!T4</f>
        <v>25820797.449999999</v>
      </c>
      <c r="I3" s="50">
        <f>Entrate_Uscite!W4</f>
        <v>25865821.43</v>
      </c>
      <c r="J3" s="50">
        <f t="shared" ref="J3:J21" si="0">I3/I$21*100</f>
        <v>11.29722570468255</v>
      </c>
      <c r="K3" s="120">
        <f t="shared" ref="K3:K21" si="1">IF(H3&gt;0,I3/H3*100-100,"-")</f>
        <v>0.17437098945988794</v>
      </c>
      <c r="L3" s="50">
        <f>Entrate_Uscite!X4</f>
        <v>21374277.91</v>
      </c>
      <c r="M3" s="51">
        <f t="shared" ref="M3:M21" si="2">IF(I3&gt;0,L3/I3*100,"-")</f>
        <v>82.635217937480363</v>
      </c>
    </row>
    <row r="4" spans="1:13" x14ac:dyDescent="0.3">
      <c r="A4" s="49" t="s">
        <v>22</v>
      </c>
      <c r="B4" s="50">
        <f>Entrate_Uscite!B5</f>
        <v>28202826.890000001</v>
      </c>
      <c r="C4" s="50">
        <f>Entrate_Uscite!E5</f>
        <v>27347440.920000002</v>
      </c>
      <c r="D4" s="142">
        <f>Entrate_Uscite!H5</f>
        <v>29269031.219999999</v>
      </c>
      <c r="E4" s="142">
        <f>Entrate_Uscite!K5</f>
        <v>34713004.840000004</v>
      </c>
      <c r="F4" s="142">
        <f>Entrate_Uscite!N5</f>
        <v>30496630.219999999</v>
      </c>
      <c r="G4" s="142">
        <f>Entrate_Uscite!Q5</f>
        <v>35780004.07</v>
      </c>
      <c r="H4" s="142">
        <f>Entrate_Uscite!T5</f>
        <v>40482237.289999999</v>
      </c>
      <c r="I4" s="50">
        <f>Entrate_Uscite!W5</f>
        <v>43088166.140000001</v>
      </c>
      <c r="J4" s="50">
        <f t="shared" si="0"/>
        <v>18.819303280268578</v>
      </c>
      <c r="K4" s="120">
        <f t="shared" si="1"/>
        <v>6.4372154911599182</v>
      </c>
      <c r="L4" s="50">
        <f>Entrate_Uscite!X5</f>
        <v>33064213.510000002</v>
      </c>
      <c r="M4" s="51">
        <f t="shared" si="2"/>
        <v>76.736181815140029</v>
      </c>
    </row>
    <row r="5" spans="1:13" x14ac:dyDescent="0.3">
      <c r="A5" s="4" t="s">
        <v>31</v>
      </c>
      <c r="B5" s="40">
        <f t="shared" ref="B5:I5" si="3">SUM(B2:B4)</f>
        <v>170026892.86000001</v>
      </c>
      <c r="C5" s="40">
        <f t="shared" si="3"/>
        <v>168744949.44</v>
      </c>
      <c r="D5" s="115">
        <f t="shared" si="3"/>
        <v>178251970.48999998</v>
      </c>
      <c r="E5" s="115">
        <f t="shared" si="3"/>
        <v>184311044.67999998</v>
      </c>
      <c r="F5" s="115">
        <f t="shared" si="3"/>
        <v>191232691.50999999</v>
      </c>
      <c r="G5" s="115">
        <f t="shared" ref="G5:H5" si="4">SUM(G2:G4)</f>
        <v>197626068.75</v>
      </c>
      <c r="H5" s="115">
        <f t="shared" si="4"/>
        <v>165643781.81</v>
      </c>
      <c r="I5" s="40">
        <f t="shared" si="3"/>
        <v>168077943.45999998</v>
      </c>
      <c r="J5" s="40">
        <f t="shared" si="0"/>
        <v>73.41017444140347</v>
      </c>
      <c r="K5" s="134">
        <f t="shared" si="1"/>
        <v>1.4695158631381986</v>
      </c>
      <c r="L5" s="40">
        <f>SUM(L2:L4)</f>
        <v>140597487.73999998</v>
      </c>
      <c r="M5" s="41">
        <f>IF(I5&gt;0,L5/I5*100,"-")</f>
        <v>83.650171370320265</v>
      </c>
    </row>
    <row r="6" spans="1:13" x14ac:dyDescent="0.3">
      <c r="A6" s="49" t="s">
        <v>23</v>
      </c>
      <c r="B6" s="50">
        <f>Entrate_Uscite!B6</f>
        <v>0</v>
      </c>
      <c r="C6" s="50">
        <f>Entrate_Uscite!E6</f>
        <v>0</v>
      </c>
      <c r="D6" s="142">
        <f>Entrate_Uscite!H6</f>
        <v>0</v>
      </c>
      <c r="E6" s="142">
        <f>Entrate_Uscite!K6</f>
        <v>0</v>
      </c>
      <c r="F6" s="142">
        <f>Entrate_Uscite!N6</f>
        <v>0</v>
      </c>
      <c r="G6" s="142">
        <f>Entrate_Uscite!Q6</f>
        <v>0</v>
      </c>
      <c r="H6" s="142">
        <f>Entrate_Uscite!T6</f>
        <v>0</v>
      </c>
      <c r="I6" s="50">
        <f>Entrate_Uscite!W6</f>
        <v>0</v>
      </c>
      <c r="J6" s="50">
        <f t="shared" si="0"/>
        <v>0</v>
      </c>
      <c r="K6" s="120" t="str">
        <f t="shared" si="1"/>
        <v>-</v>
      </c>
      <c r="L6" s="50">
        <f>Entrate_Uscite!X6</f>
        <v>0</v>
      </c>
      <c r="M6" s="51" t="str">
        <f t="shared" si="2"/>
        <v>-</v>
      </c>
    </row>
    <row r="7" spans="1:13" x14ac:dyDescent="0.3">
      <c r="A7" s="49" t="s">
        <v>24</v>
      </c>
      <c r="B7" s="50">
        <f>Entrate_Uscite!B7</f>
        <v>2688952.86</v>
      </c>
      <c r="C7" s="50">
        <f>Entrate_Uscite!E7</f>
        <v>1332930.51</v>
      </c>
      <c r="D7" s="142">
        <f>Entrate_Uscite!H7</f>
        <v>7740528.0300000003</v>
      </c>
      <c r="E7" s="142">
        <f>Entrate_Uscite!K7</f>
        <v>11029292.18</v>
      </c>
      <c r="F7" s="142">
        <f>Entrate_Uscite!N7</f>
        <v>8514747.4199999999</v>
      </c>
      <c r="G7" s="142">
        <f>Entrate_Uscite!Q7</f>
        <v>9035756.3900000006</v>
      </c>
      <c r="H7" s="142">
        <f>Entrate_Uscite!T7</f>
        <v>26427426.149999999</v>
      </c>
      <c r="I7" s="50">
        <f>Entrate_Uscite!W7</f>
        <v>16170809.130000001</v>
      </c>
      <c r="J7" s="50">
        <f t="shared" si="0"/>
        <v>7.0628060687478138</v>
      </c>
      <c r="K7" s="120">
        <f t="shared" si="1"/>
        <v>-38.810503004659793</v>
      </c>
      <c r="L7" s="50">
        <f>Entrate_Uscite!X7</f>
        <v>7763340.54</v>
      </c>
      <c r="M7" s="51">
        <f t="shared" si="2"/>
        <v>48.008361718879556</v>
      </c>
    </row>
    <row r="8" spans="1:13" x14ac:dyDescent="0.3">
      <c r="A8" s="49" t="s">
        <v>25</v>
      </c>
      <c r="B8" s="50">
        <f>Entrate_Uscite!B8</f>
        <v>0</v>
      </c>
      <c r="C8" s="50">
        <f>Entrate_Uscite!E8</f>
        <v>0</v>
      </c>
      <c r="D8" s="142">
        <f>Entrate_Uscite!H8</f>
        <v>0</v>
      </c>
      <c r="E8" s="142">
        <f>Entrate_Uscite!K8</f>
        <v>0</v>
      </c>
      <c r="F8" s="142">
        <f>Entrate_Uscite!N8</f>
        <v>0</v>
      </c>
      <c r="G8" s="142">
        <f>Entrate_Uscite!Q8</f>
        <v>0</v>
      </c>
      <c r="H8" s="142">
        <f>Entrate_Uscite!T8</f>
        <v>0</v>
      </c>
      <c r="I8" s="50">
        <f>Entrate_Uscite!W8</f>
        <v>832.74</v>
      </c>
      <c r="J8" s="50">
        <f t="shared" si="0"/>
        <v>3.6370976111379372E-4</v>
      </c>
      <c r="K8" s="120" t="str">
        <f t="shared" si="1"/>
        <v>-</v>
      </c>
      <c r="L8" s="50">
        <f>Entrate_Uscite!X8</f>
        <v>832.74</v>
      </c>
      <c r="M8" s="51">
        <f t="shared" si="2"/>
        <v>100</v>
      </c>
    </row>
    <row r="9" spans="1:13" x14ac:dyDescent="0.3">
      <c r="A9" s="49" t="s">
        <v>26</v>
      </c>
      <c r="B9" s="50">
        <f>Entrate_Uscite!B9</f>
        <v>844873.67</v>
      </c>
      <c r="C9" s="50">
        <f>Entrate_Uscite!E9</f>
        <v>777305.76</v>
      </c>
      <c r="D9" s="142">
        <f>Entrate_Uscite!H9</f>
        <v>791697.79</v>
      </c>
      <c r="E9" s="142">
        <f>Entrate_Uscite!K9</f>
        <v>601529</v>
      </c>
      <c r="F9" s="142">
        <f>Entrate_Uscite!N9</f>
        <v>690576</v>
      </c>
      <c r="G9" s="142">
        <f>Entrate_Uscite!Q9</f>
        <v>1125021</v>
      </c>
      <c r="H9" s="142">
        <f>Entrate_Uscite!T9</f>
        <v>1822352.85</v>
      </c>
      <c r="I9" s="50">
        <f>Entrate_Uscite!W9</f>
        <v>225024</v>
      </c>
      <c r="J9" s="50">
        <f t="shared" si="0"/>
        <v>9.8282087187922168E-2</v>
      </c>
      <c r="K9" s="120">
        <f t="shared" si="1"/>
        <v>-87.652007129135285</v>
      </c>
      <c r="L9" s="50">
        <f>Entrate_Uscite!X9</f>
        <v>220774</v>
      </c>
      <c r="M9" s="51">
        <f t="shared" si="2"/>
        <v>98.111312571103525</v>
      </c>
    </row>
    <row r="10" spans="1:13" x14ac:dyDescent="0.3">
      <c r="A10" s="49" t="s">
        <v>27</v>
      </c>
      <c r="B10" s="50">
        <f>Entrate_Uscite!B10</f>
        <v>9383361.4700000007</v>
      </c>
      <c r="C10" s="50">
        <f>Entrate_Uscite!E10</f>
        <v>8300405.0599999996</v>
      </c>
      <c r="D10" s="142">
        <f>Entrate_Uscite!H10</f>
        <v>5503004.2199999997</v>
      </c>
      <c r="E10" s="142">
        <f>Entrate_Uscite!K10</f>
        <v>19747565.120000001</v>
      </c>
      <c r="F10" s="142">
        <f>Entrate_Uscite!N10</f>
        <v>5683594.6699999999</v>
      </c>
      <c r="G10" s="142">
        <f>Entrate_Uscite!Q10</f>
        <v>4393228.18</v>
      </c>
      <c r="H10" s="142">
        <f>Entrate_Uscite!T10</f>
        <v>16788032.77</v>
      </c>
      <c r="I10" s="50">
        <f>Entrate_Uscite!W10</f>
        <v>4386677.2300000004</v>
      </c>
      <c r="J10" s="50">
        <f t="shared" si="0"/>
        <v>1.9159369399892145</v>
      </c>
      <c r="K10" s="120">
        <f t="shared" si="1"/>
        <v>-73.87021284686233</v>
      </c>
      <c r="L10" s="50">
        <f>Entrate_Uscite!X10</f>
        <v>4384558.34</v>
      </c>
      <c r="M10" s="51">
        <f t="shared" si="2"/>
        <v>99.951697152790047</v>
      </c>
    </row>
    <row r="11" spans="1:13" x14ac:dyDescent="0.3">
      <c r="A11" s="4" t="s">
        <v>32</v>
      </c>
      <c r="B11" s="42">
        <f t="shared" ref="B11:I11" si="5">SUM(B6:B10)</f>
        <v>12917188</v>
      </c>
      <c r="C11" s="42">
        <f t="shared" si="5"/>
        <v>10410641.33</v>
      </c>
      <c r="D11" s="116">
        <f t="shared" si="5"/>
        <v>14035230.039999999</v>
      </c>
      <c r="E11" s="116">
        <f t="shared" si="5"/>
        <v>31378386.300000001</v>
      </c>
      <c r="F11" s="116">
        <f t="shared" si="5"/>
        <v>14888918.09</v>
      </c>
      <c r="G11" s="116">
        <f t="shared" ref="G11" si="6">SUM(G6:G10)</f>
        <v>14554005.57</v>
      </c>
      <c r="H11" s="116">
        <f t="shared" ref="H11" si="7">SUM(H6:H10)</f>
        <v>45037811.769999996</v>
      </c>
      <c r="I11" s="42">
        <f t="shared" si="5"/>
        <v>20783343.100000001</v>
      </c>
      <c r="J11" s="42">
        <f t="shared" si="0"/>
        <v>9.0773888056860645</v>
      </c>
      <c r="K11" s="134">
        <f t="shared" si="1"/>
        <v>-53.85356818369241</v>
      </c>
      <c r="L11" s="42">
        <f>SUM(L6:L10)</f>
        <v>12369505.620000001</v>
      </c>
      <c r="M11" s="41">
        <f>IF(I11&gt;0,L11/I11*100,"-")</f>
        <v>59.516438527158797</v>
      </c>
    </row>
    <row r="12" spans="1:13" x14ac:dyDescent="0.3">
      <c r="A12" s="49" t="s">
        <v>28</v>
      </c>
      <c r="B12" s="50">
        <f>Entrate_Uscite!B11</f>
        <v>0</v>
      </c>
      <c r="C12" s="50">
        <f>Entrate_Uscite!E11</f>
        <v>15246000</v>
      </c>
      <c r="D12" s="142">
        <f>Entrate_Uscite!H11</f>
        <v>10131686.130000001</v>
      </c>
      <c r="E12" s="142">
        <f>Entrate_Uscite!K11</f>
        <v>7359979.5499999998</v>
      </c>
      <c r="F12" s="142">
        <f>Entrate_Uscite!N11</f>
        <v>0</v>
      </c>
      <c r="G12" s="142">
        <f>Entrate_Uscite!Q11</f>
        <v>0</v>
      </c>
      <c r="H12" s="142">
        <f>Entrate_Uscite!T11</f>
        <v>0</v>
      </c>
      <c r="I12" s="50">
        <f>Entrate_Uscite!W11</f>
        <v>0</v>
      </c>
      <c r="J12" s="50">
        <f t="shared" si="0"/>
        <v>0</v>
      </c>
      <c r="K12" s="120" t="str">
        <f t="shared" si="1"/>
        <v>-</v>
      </c>
      <c r="L12" s="50">
        <f>Entrate_Uscite!X11</f>
        <v>0</v>
      </c>
      <c r="M12" s="51" t="str">
        <f t="shared" si="2"/>
        <v>-</v>
      </c>
    </row>
    <row r="13" spans="1:13" x14ac:dyDescent="0.3">
      <c r="A13" s="49" t="s">
        <v>29</v>
      </c>
      <c r="B13" s="50">
        <f>Entrate_Uscite!B12</f>
        <v>0</v>
      </c>
      <c r="C13" s="50">
        <f>Entrate_Uscite!E12</f>
        <v>0</v>
      </c>
      <c r="D13" s="142">
        <f>Entrate_Uscite!H12</f>
        <v>72675.06</v>
      </c>
      <c r="E13" s="142">
        <f>Entrate_Uscite!K12</f>
        <v>0</v>
      </c>
      <c r="F13" s="142">
        <f>Entrate_Uscite!N12</f>
        <v>0</v>
      </c>
      <c r="G13" s="142">
        <f>Entrate_Uscite!Q12</f>
        <v>0</v>
      </c>
      <c r="H13" s="142">
        <f>Entrate_Uscite!T12</f>
        <v>0</v>
      </c>
      <c r="I13" s="50">
        <f>Entrate_Uscite!W12</f>
        <v>0</v>
      </c>
      <c r="J13" s="50">
        <f t="shared" si="0"/>
        <v>0</v>
      </c>
      <c r="K13" s="120" t="str">
        <f t="shared" si="1"/>
        <v>-</v>
      </c>
      <c r="L13" s="50">
        <f>Entrate_Uscite!X12</f>
        <v>0</v>
      </c>
      <c r="M13" s="51" t="str">
        <f t="shared" si="2"/>
        <v>-</v>
      </c>
    </row>
    <row r="14" spans="1:13" x14ac:dyDescent="0.3">
      <c r="A14" s="49" t="s">
        <v>30</v>
      </c>
      <c r="B14" s="50">
        <f>Entrate_Uscite!B13</f>
        <v>2743000</v>
      </c>
      <c r="C14" s="50">
        <f>Entrate_Uscite!E13</f>
        <v>680000</v>
      </c>
      <c r="D14" s="142">
        <f>Entrate_Uscite!H13</f>
        <v>4550000</v>
      </c>
      <c r="E14" s="142">
        <f>Entrate_Uscite!K13</f>
        <v>8522283.1799999997</v>
      </c>
      <c r="F14" s="142">
        <f>Entrate_Uscite!N13</f>
        <v>10626637.710000001</v>
      </c>
      <c r="G14" s="142">
        <f>Entrate_Uscite!Q13</f>
        <v>14649176.23</v>
      </c>
      <c r="H14" s="142">
        <f>Entrate_Uscite!T13</f>
        <v>10470000</v>
      </c>
      <c r="I14" s="50">
        <f>Entrate_Uscite!W13</f>
        <v>20048000</v>
      </c>
      <c r="J14" s="50">
        <f t="shared" si="0"/>
        <v>8.756218376455239</v>
      </c>
      <c r="K14" s="120">
        <f t="shared" si="1"/>
        <v>91.480420248328556</v>
      </c>
      <c r="L14" s="50">
        <f>Entrate_Uscite!X13</f>
        <v>613754.52</v>
      </c>
      <c r="M14" s="51">
        <f t="shared" si="2"/>
        <v>3.0614251795690346</v>
      </c>
    </row>
    <row r="15" spans="1:13" x14ac:dyDescent="0.3">
      <c r="A15" s="4" t="s">
        <v>33</v>
      </c>
      <c r="B15" s="40">
        <f t="shared" ref="B15:I15" si="8">SUM(B12:B14)</f>
        <v>2743000</v>
      </c>
      <c r="C15" s="40">
        <f t="shared" si="8"/>
        <v>15926000</v>
      </c>
      <c r="D15" s="115">
        <f t="shared" si="8"/>
        <v>14754361.190000001</v>
      </c>
      <c r="E15" s="115">
        <f t="shared" si="8"/>
        <v>15882262.73</v>
      </c>
      <c r="F15" s="115">
        <f t="shared" si="8"/>
        <v>10626637.710000001</v>
      </c>
      <c r="G15" s="115">
        <f t="shared" ref="G15" si="9">SUM(G12:G14)</f>
        <v>14649176.23</v>
      </c>
      <c r="H15" s="115">
        <f t="shared" ref="H15" si="10">SUM(H12:H14)</f>
        <v>10470000</v>
      </c>
      <c r="I15" s="40">
        <f t="shared" si="8"/>
        <v>20048000</v>
      </c>
      <c r="J15" s="40">
        <f t="shared" si="0"/>
        <v>8.756218376455239</v>
      </c>
      <c r="K15" s="134">
        <f t="shared" si="1"/>
        <v>91.480420248328556</v>
      </c>
      <c r="L15" s="40">
        <f>SUM(L12:L14)</f>
        <v>613754.52</v>
      </c>
      <c r="M15" s="41">
        <f t="shared" si="2"/>
        <v>3.0614251795690346</v>
      </c>
    </row>
    <row r="16" spans="1:13" x14ac:dyDescent="0.3">
      <c r="A16" s="43" t="s">
        <v>348</v>
      </c>
      <c r="B16" s="44">
        <f t="shared" ref="B16:I16" si="11">B5+B11+B15</f>
        <v>185687080.86000001</v>
      </c>
      <c r="C16" s="44">
        <f t="shared" si="11"/>
        <v>195081590.77000001</v>
      </c>
      <c r="D16" s="117">
        <f t="shared" si="11"/>
        <v>207041561.71999997</v>
      </c>
      <c r="E16" s="117">
        <f t="shared" si="11"/>
        <v>231571693.70999998</v>
      </c>
      <c r="F16" s="117">
        <f t="shared" si="11"/>
        <v>216748247.31</v>
      </c>
      <c r="G16" s="117">
        <f t="shared" ref="G16:H16" si="12">G5+G11+G15</f>
        <v>226829250.54999998</v>
      </c>
      <c r="H16" s="117">
        <f t="shared" si="12"/>
        <v>221151593.57999998</v>
      </c>
      <c r="I16" s="44">
        <f t="shared" si="11"/>
        <v>208909286.55999997</v>
      </c>
      <c r="J16" s="44">
        <f t="shared" si="0"/>
        <v>91.243781623544763</v>
      </c>
      <c r="K16" s="145">
        <f t="shared" si="1"/>
        <v>-5.5357082541534766</v>
      </c>
      <c r="L16" s="44">
        <f>L5+L11+L15</f>
        <v>153580747.88</v>
      </c>
      <c r="M16" s="45">
        <f t="shared" si="2"/>
        <v>73.515519778432974</v>
      </c>
    </row>
    <row r="17" spans="1:13" x14ac:dyDescent="0.3">
      <c r="A17" s="4" t="s">
        <v>34</v>
      </c>
      <c r="B17" s="40">
        <f>Entrate_Uscite!B17</f>
        <v>4174735</v>
      </c>
      <c r="C17" s="40">
        <f>Entrate_Uscite!E17</f>
        <v>680000</v>
      </c>
      <c r="D17" s="115">
        <f>Entrate_Uscite!H17</f>
        <v>4550000</v>
      </c>
      <c r="E17" s="115">
        <f>Entrate_Uscite!K17</f>
        <v>8522283.1799999997</v>
      </c>
      <c r="F17" s="115">
        <f>Entrate_Uscite!N17</f>
        <v>12126637.710000001</v>
      </c>
      <c r="G17" s="115">
        <f>Entrate_Uscite!Q17</f>
        <v>15149176.23</v>
      </c>
      <c r="H17" s="115">
        <f>Entrate_Uscite!T17</f>
        <v>10470000</v>
      </c>
      <c r="I17" s="40">
        <f>Entrate_Uscite!W17</f>
        <v>20048000</v>
      </c>
      <c r="J17" s="40">
        <f t="shared" si="0"/>
        <v>8.756218376455239</v>
      </c>
      <c r="K17" s="134">
        <f t="shared" si="1"/>
        <v>91.480420248328556</v>
      </c>
      <c r="L17" s="40">
        <f>Entrate_Uscite!X17</f>
        <v>20048000</v>
      </c>
      <c r="M17" s="41">
        <f t="shared" si="2"/>
        <v>100</v>
      </c>
    </row>
    <row r="18" spans="1:13" x14ac:dyDescent="0.3">
      <c r="A18" s="4" t="s">
        <v>35</v>
      </c>
      <c r="B18" s="40">
        <f>Entrate_Uscite!B18</f>
        <v>0</v>
      </c>
      <c r="C18" s="40">
        <f>Entrate_Uscite!E18</f>
        <v>0</v>
      </c>
      <c r="D18" s="115">
        <f>Entrate_Uscite!H18</f>
        <v>0</v>
      </c>
      <c r="E18" s="115">
        <f>Entrate_Uscite!K18</f>
        <v>0</v>
      </c>
      <c r="F18" s="115">
        <f>Entrate_Uscite!N18</f>
        <v>0</v>
      </c>
      <c r="G18" s="115">
        <f>Entrate_Uscite!Q18</f>
        <v>0</v>
      </c>
      <c r="H18" s="115">
        <f>Entrate_Uscite!T18</f>
        <v>0</v>
      </c>
      <c r="I18" s="40">
        <f>Entrate_Uscite!W18</f>
        <v>0</v>
      </c>
      <c r="J18" s="40">
        <f t="shared" si="0"/>
        <v>0</v>
      </c>
      <c r="K18" s="134" t="str">
        <f t="shared" si="1"/>
        <v>-</v>
      </c>
      <c r="L18" s="40">
        <f>Entrate_Uscite!X18</f>
        <v>0</v>
      </c>
      <c r="M18" s="41" t="str">
        <f t="shared" si="2"/>
        <v>-</v>
      </c>
    </row>
    <row r="19" spans="1:13" x14ac:dyDescent="0.3">
      <c r="A19" s="4" t="s">
        <v>36</v>
      </c>
      <c r="B19" s="40">
        <f>Entrate_Uscite!B19</f>
        <v>19389751.43</v>
      </c>
      <c r="C19" s="40">
        <f>Entrate_Uscite!E19</f>
        <v>19084551.32</v>
      </c>
      <c r="D19" s="115">
        <f>Entrate_Uscite!H19</f>
        <v>22044472.690000001</v>
      </c>
      <c r="E19" s="115">
        <f>Entrate_Uscite!K19</f>
        <v>22792371.899999999</v>
      </c>
      <c r="F19" s="115">
        <f>Entrate_Uscite!N19</f>
        <v>23552947.41</v>
      </c>
      <c r="G19" s="115">
        <f>Entrate_Uscite!Q19</f>
        <v>22916983.43</v>
      </c>
      <c r="H19" s="115">
        <f>Entrate_Uscite!T19</f>
        <v>25157157.68</v>
      </c>
      <c r="I19" s="40">
        <f>Entrate_Uscite!W19</f>
        <v>26621972.399999999</v>
      </c>
      <c r="J19" s="40"/>
      <c r="K19" s="134">
        <f t="shared" si="1"/>
        <v>5.8226558764407912</v>
      </c>
      <c r="L19" s="40">
        <f>Entrate_Uscite!X19</f>
        <v>26602180.079999998</v>
      </c>
      <c r="M19" s="41">
        <f t="shared" si="2"/>
        <v>99.925654193826745</v>
      </c>
    </row>
    <row r="20" spans="1:13" x14ac:dyDescent="0.3">
      <c r="A20" s="43" t="s">
        <v>37</v>
      </c>
      <c r="B20" s="44">
        <f t="shared" ref="B20:I20" si="13">B5+B11+B15+B17+B18+B19</f>
        <v>209251567.29000002</v>
      </c>
      <c r="C20" s="44">
        <f t="shared" si="13"/>
        <v>214846142.09</v>
      </c>
      <c r="D20" s="117">
        <f t="shared" si="13"/>
        <v>233636034.40999997</v>
      </c>
      <c r="E20" s="117">
        <f t="shared" si="13"/>
        <v>262886348.78999999</v>
      </c>
      <c r="F20" s="117">
        <f t="shared" si="13"/>
        <v>252427832.43000001</v>
      </c>
      <c r="G20" s="117">
        <f t="shared" ref="G20:H20" si="14">G5+G11+G15+G17+G18+G19</f>
        <v>264895410.20999998</v>
      </c>
      <c r="H20" s="117">
        <f t="shared" si="14"/>
        <v>256778751.25999999</v>
      </c>
      <c r="I20" s="44">
        <f t="shared" si="13"/>
        <v>255579258.95999998</v>
      </c>
      <c r="J20" s="44"/>
      <c r="K20" s="145">
        <f t="shared" si="1"/>
        <v>-0.46713066954106353</v>
      </c>
      <c r="L20" s="44">
        <f>L5+L11+L15+L17+L18+L19</f>
        <v>200230927.95999998</v>
      </c>
      <c r="M20" s="45">
        <f t="shared" si="2"/>
        <v>78.343966085032577</v>
      </c>
    </row>
    <row r="21" spans="1:13" x14ac:dyDescent="0.3">
      <c r="A21" s="35" t="s">
        <v>38</v>
      </c>
      <c r="B21" s="46">
        <f t="shared" ref="B21:I21" si="15">B20-B19</f>
        <v>189861815.86000001</v>
      </c>
      <c r="C21" s="46">
        <f t="shared" si="15"/>
        <v>195761590.77000001</v>
      </c>
      <c r="D21" s="118">
        <f t="shared" si="15"/>
        <v>211591561.71999997</v>
      </c>
      <c r="E21" s="118">
        <f t="shared" si="15"/>
        <v>240093976.88999999</v>
      </c>
      <c r="F21" s="118">
        <f t="shared" si="15"/>
        <v>228874885.02000001</v>
      </c>
      <c r="G21" s="118">
        <f t="shared" ref="G21:H21" si="16">G20-G19</f>
        <v>241978426.77999997</v>
      </c>
      <c r="H21" s="118">
        <f t="shared" si="16"/>
        <v>231621593.57999998</v>
      </c>
      <c r="I21" s="46">
        <f t="shared" si="15"/>
        <v>228957286.55999997</v>
      </c>
      <c r="J21" s="46">
        <f t="shared" si="0"/>
        <v>100</v>
      </c>
      <c r="K21" s="119">
        <f t="shared" si="1"/>
        <v>-1.1502843836016439</v>
      </c>
      <c r="L21" s="46">
        <f>L20-L19</f>
        <v>173628747.88</v>
      </c>
      <c r="M21" s="47">
        <f t="shared" si="2"/>
        <v>75.834558702502477</v>
      </c>
    </row>
    <row r="22" spans="1:13" x14ac:dyDescent="0.3">
      <c r="L22" s="6"/>
    </row>
    <row r="23" spans="1:13" x14ac:dyDescent="0.3">
      <c r="L23" s="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topLeftCell="B1" workbookViewId="0">
      <selection activeCell="K1" sqref="K1:K31"/>
    </sheetView>
  </sheetViews>
  <sheetFormatPr defaultRowHeight="14.4" x14ac:dyDescent="0.3"/>
  <cols>
    <col min="1" max="1" width="50.6640625" bestFit="1" customWidth="1"/>
    <col min="2" max="3" width="12.5546875" bestFit="1" customWidth="1"/>
    <col min="4" max="8" width="12.5546875" style="130" bestFit="1" customWidth="1"/>
    <col min="9" max="9" width="12.5546875" bestFit="1" customWidth="1"/>
    <col min="10" max="10" width="8.5546875" customWidth="1"/>
    <col min="11" max="11" width="6.5546875" style="130" bestFit="1" customWidth="1"/>
    <col min="12" max="12" width="12.5546875" bestFit="1" customWidth="1"/>
    <col min="13" max="13" width="7" bestFit="1" customWidth="1"/>
  </cols>
  <sheetData>
    <row r="1" spans="1:13" ht="28.8" x14ac:dyDescent="0.3">
      <c r="A1" s="38"/>
      <c r="B1" s="39">
        <v>2016</v>
      </c>
      <c r="C1" s="39">
        <v>2017</v>
      </c>
      <c r="D1" s="146">
        <v>2018</v>
      </c>
      <c r="E1" s="146">
        <v>2019</v>
      </c>
      <c r="F1" s="146">
        <v>2020</v>
      </c>
      <c r="G1" s="146">
        <v>2021</v>
      </c>
      <c r="H1" s="146">
        <v>2022</v>
      </c>
      <c r="I1" s="39">
        <v>2023</v>
      </c>
      <c r="J1" s="48" t="s">
        <v>297</v>
      </c>
      <c r="K1" s="146" t="s">
        <v>233</v>
      </c>
      <c r="L1" s="147" t="s">
        <v>367</v>
      </c>
      <c r="M1" s="39" t="s">
        <v>339</v>
      </c>
    </row>
    <row r="2" spans="1:13" x14ac:dyDescent="0.3">
      <c r="A2" s="52" t="s">
        <v>270</v>
      </c>
      <c r="B2" s="50">
        <f>Entrate_Uscite!B23</f>
        <v>35129559.539999999</v>
      </c>
      <c r="C2" s="50">
        <f>Entrate_Uscite!E23</f>
        <v>34834909.170000002</v>
      </c>
      <c r="D2" s="142">
        <f>Entrate_Uscite!H23</f>
        <v>36139968.780000001</v>
      </c>
      <c r="E2" s="142">
        <f>Entrate_Uscite!K23</f>
        <v>36846830.100000001</v>
      </c>
      <c r="F2" s="142">
        <f>Entrate_Uscite!N23</f>
        <v>35530083.229999997</v>
      </c>
      <c r="G2" s="142">
        <f>Entrate_Uscite!Q23</f>
        <v>35456819.149999999</v>
      </c>
      <c r="H2" s="142">
        <f>Entrate_Uscite!T23</f>
        <v>37167560.960000001</v>
      </c>
      <c r="I2" s="50">
        <f>Entrate_Uscite!W23</f>
        <v>38384590.229999997</v>
      </c>
      <c r="J2" s="50">
        <f>I2/I$31*100</f>
        <v>17.67396046705781</v>
      </c>
      <c r="K2" s="120">
        <f>IF(H2&gt;0,I2/H2*100-100,"-")</f>
        <v>3.2744394266542685</v>
      </c>
      <c r="L2" s="50">
        <f>Entrate_Uscite!X23</f>
        <v>37727196.57</v>
      </c>
      <c r="M2" s="51">
        <f>IF(I2&gt;0,L2/I2*100,"-")</f>
        <v>98.287350064020742</v>
      </c>
    </row>
    <row r="3" spans="1:13" x14ac:dyDescent="0.3">
      <c r="A3" s="52" t="s">
        <v>271</v>
      </c>
      <c r="B3" s="50">
        <f>Entrate_Uscite!B24</f>
        <v>2422924.9</v>
      </c>
      <c r="C3" s="50">
        <f>Entrate_Uscite!E24</f>
        <v>2480999.37</v>
      </c>
      <c r="D3" s="142">
        <f>Entrate_Uscite!H24</f>
        <v>2475979.85</v>
      </c>
      <c r="E3" s="142">
        <f>Entrate_Uscite!K24</f>
        <v>2577926.9500000002</v>
      </c>
      <c r="F3" s="142">
        <f>Entrate_Uscite!N24</f>
        <v>2549972.77</v>
      </c>
      <c r="G3" s="142">
        <f>Entrate_Uscite!Q24</f>
        <v>2587413.88</v>
      </c>
      <c r="H3" s="142">
        <f>Entrate_Uscite!T24</f>
        <v>2651529.71</v>
      </c>
      <c r="I3" s="50">
        <f>Entrate_Uscite!W24</f>
        <v>2775110.02</v>
      </c>
      <c r="J3" s="50">
        <f t="shared" ref="J3:J31" si="0">I3/I$31*100</f>
        <v>1.2777832065244381</v>
      </c>
      <c r="K3" s="120">
        <f t="shared" ref="K3:K31" si="1">IF(H3&gt;0,I3/H3*100-100,"-")</f>
        <v>4.6607175297311585</v>
      </c>
      <c r="L3" s="50">
        <f>Entrate_Uscite!X24</f>
        <v>2384249.4900000002</v>
      </c>
      <c r="M3" s="51">
        <f>IF(I3&gt;0,L3/I3*100,"-")</f>
        <v>85.915494262097766</v>
      </c>
    </row>
    <row r="4" spans="1:13" x14ac:dyDescent="0.3">
      <c r="A4" s="52" t="s">
        <v>272</v>
      </c>
      <c r="B4" s="50">
        <f>Entrate_Uscite!B25</f>
        <v>72602386.890000001</v>
      </c>
      <c r="C4" s="50">
        <f>Entrate_Uscite!E25</f>
        <v>73771387.659999996</v>
      </c>
      <c r="D4" s="142">
        <f>Entrate_Uscite!H25</f>
        <v>78978757.439999998</v>
      </c>
      <c r="E4" s="142">
        <f>Entrate_Uscite!K25</f>
        <v>81615568.060000002</v>
      </c>
      <c r="F4" s="142">
        <f>Entrate_Uscite!N25</f>
        <v>81420191.900000006</v>
      </c>
      <c r="G4" s="142">
        <f>Entrate_Uscite!Q25</f>
        <v>92181924.920000002</v>
      </c>
      <c r="H4" s="142">
        <f>Entrate_Uscite!T25</f>
        <v>64260186.640000001</v>
      </c>
      <c r="I4" s="50">
        <f>Entrate_Uscite!W25</f>
        <v>64100238.969999999</v>
      </c>
      <c r="J4" s="50">
        <f t="shared" si="0"/>
        <v>29.514580791311957</v>
      </c>
      <c r="K4" s="120">
        <f t="shared" si="1"/>
        <v>-0.24890632655031197</v>
      </c>
      <c r="L4" s="50">
        <f>Entrate_Uscite!X25</f>
        <v>43001478.259999998</v>
      </c>
      <c r="M4" s="51">
        <f t="shared" ref="M4:M9" si="2">IF(I4&gt;0,L4/I4*100,"-")</f>
        <v>67.084739387828847</v>
      </c>
    </row>
    <row r="5" spans="1:13" x14ac:dyDescent="0.3">
      <c r="A5" s="52" t="s">
        <v>273</v>
      </c>
      <c r="B5" s="50">
        <f>Entrate_Uscite!B26</f>
        <v>33953261.219999999</v>
      </c>
      <c r="C5" s="50">
        <f>Entrate_Uscite!E26</f>
        <v>34187825.25</v>
      </c>
      <c r="D5" s="142">
        <f>Entrate_Uscite!H26</f>
        <v>37259028.920000002</v>
      </c>
      <c r="E5" s="142">
        <f>Entrate_Uscite!K26</f>
        <v>35167945.109999999</v>
      </c>
      <c r="F5" s="142">
        <f>Entrate_Uscite!N26</f>
        <v>42316063.880000003</v>
      </c>
      <c r="G5" s="142">
        <f>Entrate_Uscite!Q26</f>
        <v>42065289.840000004</v>
      </c>
      <c r="H5" s="142">
        <f>Entrate_Uscite!T26</f>
        <v>41919413.380000003</v>
      </c>
      <c r="I5" s="50">
        <f>Entrate_Uscite!W26</f>
        <v>47934676.380000003</v>
      </c>
      <c r="J5" s="50">
        <f t="shared" si="0"/>
        <v>22.071241877663521</v>
      </c>
      <c r="K5" s="120">
        <f t="shared" si="1"/>
        <v>14.349587732708869</v>
      </c>
      <c r="L5" s="50">
        <f>Entrate_Uscite!X26</f>
        <v>40397210.740000002</v>
      </c>
      <c r="M5" s="51">
        <f t="shared" si="2"/>
        <v>84.27554703770798</v>
      </c>
    </row>
    <row r="6" spans="1:13" x14ac:dyDescent="0.3">
      <c r="A6" s="52" t="s">
        <v>274</v>
      </c>
      <c r="B6" s="50">
        <f>Entrate_Uscite!B27</f>
        <v>2293243.67</v>
      </c>
      <c r="C6" s="50">
        <f>Entrate_Uscite!E27</f>
        <v>2164337.64</v>
      </c>
      <c r="D6" s="142">
        <f>Entrate_Uscite!H27</f>
        <v>1766022.52</v>
      </c>
      <c r="E6" s="142">
        <f>Entrate_Uscite!K27</f>
        <v>1591106.29</v>
      </c>
      <c r="F6" s="142">
        <f>Entrate_Uscite!N27</f>
        <v>1667829.31</v>
      </c>
      <c r="G6" s="142">
        <f>Entrate_Uscite!Q27</f>
        <v>1620602.74</v>
      </c>
      <c r="H6" s="142">
        <f>Entrate_Uscite!T27</f>
        <v>1650930.96</v>
      </c>
      <c r="I6" s="50">
        <f>Entrate_Uscite!W27</f>
        <v>1865920.55</v>
      </c>
      <c r="J6" s="50">
        <f t="shared" si="0"/>
        <v>0.85915222326891505</v>
      </c>
      <c r="K6" s="120">
        <f t="shared" si="1"/>
        <v>13.022324688853132</v>
      </c>
      <c r="L6" s="50">
        <f>Entrate_Uscite!X27</f>
        <v>1785072.93</v>
      </c>
      <c r="M6" s="51">
        <f t="shared" si="2"/>
        <v>95.667145634898546</v>
      </c>
    </row>
    <row r="7" spans="1:13" x14ac:dyDescent="0.3">
      <c r="A7" s="52" t="s">
        <v>275</v>
      </c>
      <c r="B7" s="50">
        <f>Entrate_Uscite!B28</f>
        <v>0</v>
      </c>
      <c r="C7" s="50">
        <f>Entrate_Uscite!E28</f>
        <v>802727.48</v>
      </c>
      <c r="D7" s="142">
        <f>Entrate_Uscite!H28</f>
        <v>0</v>
      </c>
      <c r="E7" s="142">
        <f>Entrate_Uscite!K28</f>
        <v>0</v>
      </c>
      <c r="F7" s="142">
        <f>Entrate_Uscite!N28</f>
        <v>22000</v>
      </c>
      <c r="G7" s="142">
        <f>Entrate_Uscite!Q28</f>
        <v>22000</v>
      </c>
      <c r="H7" s="142">
        <f>Entrate_Uscite!T28</f>
        <v>22000</v>
      </c>
      <c r="I7" s="50">
        <f>Entrate_Uscite!W28</f>
        <v>22000</v>
      </c>
      <c r="J7" s="50">
        <f t="shared" si="0"/>
        <v>1.0129771555340944E-2</v>
      </c>
      <c r="K7" s="120">
        <f t="shared" si="1"/>
        <v>0</v>
      </c>
      <c r="L7" s="50">
        <f>Entrate_Uscite!X28</f>
        <v>22000</v>
      </c>
      <c r="M7" s="51">
        <f t="shared" si="2"/>
        <v>100</v>
      </c>
    </row>
    <row r="8" spans="1:13" x14ac:dyDescent="0.3">
      <c r="A8" s="52" t="s">
        <v>276</v>
      </c>
      <c r="B8" s="50">
        <f>Entrate_Uscite!B29</f>
        <v>417210.43</v>
      </c>
      <c r="C8" s="50">
        <f>Entrate_Uscite!E29</f>
        <v>401262.89</v>
      </c>
      <c r="D8" s="142">
        <f>Entrate_Uscite!H29</f>
        <v>418972.68</v>
      </c>
      <c r="E8" s="142">
        <f>Entrate_Uscite!K29</f>
        <v>1396359.23</v>
      </c>
      <c r="F8" s="142">
        <f>Entrate_Uscite!N29</f>
        <v>1096436.04</v>
      </c>
      <c r="G8" s="142">
        <f>Entrate_Uscite!Q29</f>
        <v>830324.24</v>
      </c>
      <c r="H8" s="142">
        <f>Entrate_Uscite!T29</f>
        <v>800391.45</v>
      </c>
      <c r="I8" s="50">
        <f>Entrate_Uscite!W29</f>
        <v>752161.99</v>
      </c>
      <c r="J8" s="50">
        <f t="shared" si="0"/>
        <v>0.34632859687775636</v>
      </c>
      <c r="K8" s="120">
        <f t="shared" si="1"/>
        <v>-6.025734033015965</v>
      </c>
      <c r="L8" s="50">
        <f>Entrate_Uscite!X29</f>
        <v>401303.26</v>
      </c>
      <c r="M8" s="51">
        <f t="shared" si="2"/>
        <v>53.35330225873286</v>
      </c>
    </row>
    <row r="9" spans="1:13" x14ac:dyDescent="0.3">
      <c r="A9" s="52" t="s">
        <v>277</v>
      </c>
      <c r="B9" s="50">
        <f>Entrate_Uscite!B30</f>
        <v>3312589.98</v>
      </c>
      <c r="C9" s="50">
        <f>Entrate_Uscite!E30</f>
        <v>2249666.9900000002</v>
      </c>
      <c r="D9" s="142">
        <f>Entrate_Uscite!H30</f>
        <v>1818649.6000000001</v>
      </c>
      <c r="E9" s="142">
        <f>Entrate_Uscite!K30</f>
        <v>1618735.28</v>
      </c>
      <c r="F9" s="142">
        <f>Entrate_Uscite!N30</f>
        <v>1563118.04</v>
      </c>
      <c r="G9" s="142">
        <f>Entrate_Uscite!Q30</f>
        <v>2902742.01</v>
      </c>
      <c r="H9" s="142">
        <f>Entrate_Uscite!T30</f>
        <v>1602017.32</v>
      </c>
      <c r="I9" s="50">
        <f>Entrate_Uscite!W30</f>
        <v>2313199.0299999998</v>
      </c>
      <c r="J9" s="50">
        <f t="shared" si="0"/>
        <v>1.0650989879971029</v>
      </c>
      <c r="K9" s="120">
        <f t="shared" si="1"/>
        <v>44.392885215498154</v>
      </c>
      <c r="L9" s="50">
        <f>Entrate_Uscite!X30</f>
        <v>1939991.22</v>
      </c>
      <c r="M9" s="51">
        <f t="shared" si="2"/>
        <v>83.866160881106723</v>
      </c>
    </row>
    <row r="10" spans="1:13" x14ac:dyDescent="0.3">
      <c r="A10" s="4" t="s">
        <v>282</v>
      </c>
      <c r="B10" s="40">
        <f t="shared" ref="B10:I10" si="3">SUM(B2:B9)</f>
        <v>150131176.63</v>
      </c>
      <c r="C10" s="40">
        <f t="shared" si="3"/>
        <v>150893116.44999996</v>
      </c>
      <c r="D10" s="115">
        <f t="shared" si="3"/>
        <v>158857379.79000002</v>
      </c>
      <c r="E10" s="115">
        <f t="shared" si="3"/>
        <v>160814471.02000001</v>
      </c>
      <c r="F10" s="115">
        <f t="shared" si="3"/>
        <v>166165695.16999999</v>
      </c>
      <c r="G10" s="115">
        <f t="shared" ref="G10:H10" si="4">SUM(G2:G9)</f>
        <v>177667116.78000003</v>
      </c>
      <c r="H10" s="115">
        <f t="shared" si="4"/>
        <v>150074030.41999999</v>
      </c>
      <c r="I10" s="40">
        <f t="shared" si="3"/>
        <v>158147897.17000002</v>
      </c>
      <c r="J10" s="40">
        <f t="shared" si="0"/>
        <v>72.818275922256845</v>
      </c>
      <c r="K10" s="134">
        <f t="shared" si="1"/>
        <v>5.3799226471124655</v>
      </c>
      <c r="L10" s="40">
        <f>SUM(L2:L9)</f>
        <v>127658502.47000001</v>
      </c>
      <c r="M10" s="41">
        <f t="shared" ref="M10:M17" si="5">IF(I10&gt;0,L10/I10*100,"-")</f>
        <v>80.720961046212551</v>
      </c>
    </row>
    <row r="11" spans="1:13" x14ac:dyDescent="0.3">
      <c r="A11" s="52" t="s">
        <v>278</v>
      </c>
      <c r="B11" s="50">
        <f>Entrate_Uscite!B32</f>
        <v>13187937.960000001</v>
      </c>
      <c r="C11" s="50">
        <f>Entrate_Uscite!E32</f>
        <v>13033243.949999999</v>
      </c>
      <c r="D11" s="142">
        <f>Entrate_Uscite!H32</f>
        <v>15097236.039999999</v>
      </c>
      <c r="E11" s="142">
        <f>Entrate_Uscite!K32</f>
        <v>35088816.909999996</v>
      </c>
      <c r="F11" s="142">
        <f>Entrate_Uscite!N32</f>
        <v>14822786.779999999</v>
      </c>
      <c r="G11" s="142">
        <f>Entrate_Uscite!Q32</f>
        <v>12208664.82</v>
      </c>
      <c r="H11" s="142">
        <f>Entrate_Uscite!T32</f>
        <v>35549673.460000001</v>
      </c>
      <c r="I11" s="50">
        <f>Entrate_Uscite!W32</f>
        <v>24151115.879999999</v>
      </c>
      <c r="J11" s="50">
        <f t="shared" si="0"/>
        <v>11.120240303225771</v>
      </c>
      <c r="K11" s="120">
        <f t="shared" si="1"/>
        <v>-32.063747625770745</v>
      </c>
      <c r="L11" s="50">
        <f>Entrate_Uscite!X32</f>
        <v>19579706.530000001</v>
      </c>
      <c r="M11" s="51">
        <f t="shared" si="5"/>
        <v>81.071643344704952</v>
      </c>
    </row>
    <row r="12" spans="1:13" x14ac:dyDescent="0.3">
      <c r="A12" s="52" t="s">
        <v>279</v>
      </c>
      <c r="B12" s="50">
        <f>Entrate_Uscite!B33</f>
        <v>782618</v>
      </c>
      <c r="C12" s="50">
        <f>Entrate_Uscite!E33</f>
        <v>1009348.8</v>
      </c>
      <c r="D12" s="142">
        <f>Entrate_Uscite!H33</f>
        <v>1734000</v>
      </c>
      <c r="E12" s="142">
        <f>Entrate_Uscite!K33</f>
        <v>2787927.44</v>
      </c>
      <c r="F12" s="142">
        <f>Entrate_Uscite!N33</f>
        <v>3049590.87</v>
      </c>
      <c r="G12" s="142">
        <f>Entrate_Uscite!Q33</f>
        <v>6301118.5</v>
      </c>
      <c r="H12" s="142">
        <f>Entrate_Uscite!T33</f>
        <v>9866343.5199999996</v>
      </c>
      <c r="I12" s="50">
        <f>Entrate_Uscite!W33</f>
        <v>4722969.62</v>
      </c>
      <c r="J12" s="50">
        <f t="shared" si="0"/>
        <v>2.1746637869734284</v>
      </c>
      <c r="K12" s="120">
        <f t="shared" si="1"/>
        <v>-52.130496871246173</v>
      </c>
      <c r="L12" s="50">
        <f>Entrate_Uscite!X33</f>
        <v>3240648.93</v>
      </c>
      <c r="M12" s="51">
        <f t="shared" si="5"/>
        <v>68.614646943250932</v>
      </c>
    </row>
    <row r="13" spans="1:13" x14ac:dyDescent="0.3">
      <c r="A13" s="52" t="s">
        <v>280</v>
      </c>
      <c r="B13" s="50">
        <f>Entrate_Uscite!B34</f>
        <v>0</v>
      </c>
      <c r="C13" s="50">
        <f>Entrate_Uscite!E34</f>
        <v>0</v>
      </c>
      <c r="D13" s="142">
        <f>Entrate_Uscite!H34</f>
        <v>0</v>
      </c>
      <c r="E13" s="142">
        <f>Entrate_Uscite!K34</f>
        <v>0</v>
      </c>
      <c r="F13" s="142">
        <f>Entrate_Uscite!N34</f>
        <v>0</v>
      </c>
      <c r="G13" s="142">
        <f>Entrate_Uscite!Q34</f>
        <v>0</v>
      </c>
      <c r="H13" s="142">
        <f>Entrate_Uscite!T34</f>
        <v>0</v>
      </c>
      <c r="I13" s="50">
        <f>Entrate_Uscite!W34</f>
        <v>0</v>
      </c>
      <c r="J13" s="50">
        <f t="shared" si="0"/>
        <v>0</v>
      </c>
      <c r="K13" s="120" t="str">
        <f t="shared" si="1"/>
        <v>-</v>
      </c>
      <c r="L13" s="50">
        <f>Entrate_Uscite!X34</f>
        <v>0</v>
      </c>
      <c r="M13" s="51" t="str">
        <f t="shared" si="5"/>
        <v>-</v>
      </c>
    </row>
    <row r="14" spans="1:13" x14ac:dyDescent="0.3">
      <c r="A14" s="52" t="s">
        <v>281</v>
      </c>
      <c r="B14" s="50">
        <f>Entrate_Uscite!B35</f>
        <v>586261.61</v>
      </c>
      <c r="C14" s="50">
        <f>Entrate_Uscite!E35</f>
        <v>46636.6</v>
      </c>
      <c r="D14" s="142">
        <f>Entrate_Uscite!H35</f>
        <v>551930.56999999995</v>
      </c>
      <c r="E14" s="142">
        <f>Entrate_Uscite!K35</f>
        <v>177372.2</v>
      </c>
      <c r="F14" s="142">
        <f>Entrate_Uscite!N35</f>
        <v>15781.3</v>
      </c>
      <c r="G14" s="142">
        <f>Entrate_Uscite!Q35</f>
        <v>16057.9</v>
      </c>
      <c r="H14" s="142">
        <f>Entrate_Uscite!T35</f>
        <v>149681.32999999999</v>
      </c>
      <c r="I14" s="50">
        <f>Entrate_Uscite!W35</f>
        <v>375472.97</v>
      </c>
      <c r="J14" s="50">
        <f t="shared" si="0"/>
        <v>0.17288433687751742</v>
      </c>
      <c r="K14" s="120">
        <f t="shared" si="1"/>
        <v>150.84823204069605</v>
      </c>
      <c r="L14" s="50">
        <f>Entrate_Uscite!X35</f>
        <v>375472.97</v>
      </c>
      <c r="M14" s="51">
        <f t="shared" si="5"/>
        <v>100</v>
      </c>
    </row>
    <row r="15" spans="1:13" x14ac:dyDescent="0.3">
      <c r="A15" s="4" t="s">
        <v>283</v>
      </c>
      <c r="B15" s="42">
        <f t="shared" ref="B15:I15" si="6">SUM(B11:B14)</f>
        <v>14556817.57</v>
      </c>
      <c r="C15" s="42">
        <f t="shared" si="6"/>
        <v>14089229.35</v>
      </c>
      <c r="D15" s="116">
        <f t="shared" si="6"/>
        <v>17383166.609999999</v>
      </c>
      <c r="E15" s="116">
        <f t="shared" si="6"/>
        <v>38054116.549999997</v>
      </c>
      <c r="F15" s="116">
        <f t="shared" si="6"/>
        <v>17888158.949999999</v>
      </c>
      <c r="G15" s="116">
        <f t="shared" ref="G15:H15" si="7">SUM(G11:G14)</f>
        <v>18525841.219999999</v>
      </c>
      <c r="H15" s="116">
        <f t="shared" si="7"/>
        <v>45565698.310000002</v>
      </c>
      <c r="I15" s="42">
        <f t="shared" si="6"/>
        <v>29249558.469999999</v>
      </c>
      <c r="J15" s="42">
        <f t="shared" si="0"/>
        <v>13.467788427076716</v>
      </c>
      <c r="K15" s="134">
        <f t="shared" si="1"/>
        <v>-35.807944232513194</v>
      </c>
      <c r="L15" s="42">
        <f>SUM(L11:L14)</f>
        <v>23195828.43</v>
      </c>
      <c r="M15" s="41">
        <f t="shared" si="5"/>
        <v>79.303174623271502</v>
      </c>
    </row>
    <row r="16" spans="1:13" x14ac:dyDescent="0.3">
      <c r="A16" s="52" t="s">
        <v>284</v>
      </c>
      <c r="B16" s="50">
        <f>Entrate_Uscite!B36</f>
        <v>3205226.42</v>
      </c>
      <c r="C16" s="50">
        <f>Entrate_Uscite!E36</f>
        <v>3879569.22</v>
      </c>
      <c r="D16" s="142">
        <f>Entrate_Uscite!H36</f>
        <v>4359883.67</v>
      </c>
      <c r="E16" s="142">
        <f>Entrate_Uscite!K36</f>
        <v>6135021.79</v>
      </c>
      <c r="F16" s="142">
        <f>Entrate_Uscite!N36</f>
        <v>1197500</v>
      </c>
      <c r="G16" s="142">
        <f>Entrate_Uscite!Q36</f>
        <v>200000</v>
      </c>
      <c r="H16" s="142">
        <f>Entrate_Uscite!T36</f>
        <v>750000</v>
      </c>
      <c r="I16" s="50">
        <f>Entrate_Uscite!W36</f>
        <v>3000000</v>
      </c>
      <c r="J16" s="50">
        <f t="shared" si="0"/>
        <v>1.3813324848192194</v>
      </c>
      <c r="K16" s="120">
        <f t="shared" si="1"/>
        <v>300</v>
      </c>
      <c r="L16" s="50">
        <f>Entrate_Uscite!X36</f>
        <v>3000000</v>
      </c>
      <c r="M16" s="51">
        <f t="shared" si="5"/>
        <v>100</v>
      </c>
    </row>
    <row r="17" spans="1:13" x14ac:dyDescent="0.3">
      <c r="A17" s="52" t="s">
        <v>285</v>
      </c>
      <c r="B17" s="50">
        <f>Entrate_Uscite!B37</f>
        <v>0</v>
      </c>
      <c r="C17" s="50">
        <f>Entrate_Uscite!E37</f>
        <v>0</v>
      </c>
      <c r="D17" s="142">
        <f>Entrate_Uscite!H37</f>
        <v>0</v>
      </c>
      <c r="E17" s="142">
        <f>Entrate_Uscite!K37</f>
        <v>0</v>
      </c>
      <c r="F17" s="142">
        <f>Entrate_Uscite!N37</f>
        <v>0</v>
      </c>
      <c r="G17" s="142">
        <f>Entrate_Uscite!Q37</f>
        <v>0</v>
      </c>
      <c r="H17" s="142">
        <f>Entrate_Uscite!T37</f>
        <v>0</v>
      </c>
      <c r="I17" s="50">
        <f>Entrate_Uscite!W37</f>
        <v>0</v>
      </c>
      <c r="J17" s="50">
        <f t="shared" si="0"/>
        <v>0</v>
      </c>
      <c r="K17" s="120" t="str">
        <f t="shared" si="1"/>
        <v>-</v>
      </c>
      <c r="L17" s="50">
        <f>Entrate_Uscite!X37</f>
        <v>0</v>
      </c>
      <c r="M17" s="51" t="str">
        <f t="shared" si="5"/>
        <v>-</v>
      </c>
    </row>
    <row r="18" spans="1:13" x14ac:dyDescent="0.3">
      <c r="A18" s="52" t="s">
        <v>286</v>
      </c>
      <c r="B18" s="50">
        <f>Entrate_Uscite!B38</f>
        <v>0</v>
      </c>
      <c r="C18" s="50">
        <f>Entrate_Uscite!E38</f>
        <v>0</v>
      </c>
      <c r="D18" s="142">
        <f>Entrate_Uscite!H38</f>
        <v>72675.06</v>
      </c>
      <c r="E18" s="142">
        <f>Entrate_Uscite!K38</f>
        <v>0</v>
      </c>
      <c r="F18" s="142">
        <f>Entrate_Uscite!N38</f>
        <v>0</v>
      </c>
      <c r="G18" s="142">
        <f>Entrate_Uscite!Q38</f>
        <v>0</v>
      </c>
      <c r="H18" s="142">
        <f>Entrate_Uscite!T38</f>
        <v>0</v>
      </c>
      <c r="I18" s="50">
        <f>Entrate_Uscite!W38</f>
        <v>0</v>
      </c>
      <c r="J18" s="50">
        <f t="shared" si="0"/>
        <v>0</v>
      </c>
      <c r="K18" s="120" t="str">
        <f t="shared" si="1"/>
        <v>-</v>
      </c>
      <c r="L18" s="50">
        <f>Entrate_Uscite!X38</f>
        <v>0</v>
      </c>
      <c r="M18" s="51" t="str">
        <f t="shared" ref="M18:M26" si="8">IF(I18&gt;0,L18/I18*100,"-")</f>
        <v>-</v>
      </c>
    </row>
    <row r="19" spans="1:13" x14ac:dyDescent="0.3">
      <c r="A19" s="52" t="s">
        <v>287</v>
      </c>
      <c r="B19" s="50">
        <f>Entrate_Uscite!B39</f>
        <v>2743000</v>
      </c>
      <c r="C19" s="50">
        <f>Entrate_Uscite!E39</f>
        <v>680000</v>
      </c>
      <c r="D19" s="142">
        <f>Entrate_Uscite!H39</f>
        <v>4550000</v>
      </c>
      <c r="E19" s="142">
        <f>Entrate_Uscite!K39</f>
        <v>8522283.1799999997</v>
      </c>
      <c r="F19" s="142">
        <f>Entrate_Uscite!N39</f>
        <v>10626637.710000001</v>
      </c>
      <c r="G19" s="142">
        <f>Entrate_Uscite!Q39</f>
        <v>14649176.23</v>
      </c>
      <c r="H19" s="142">
        <f>Entrate_Uscite!T39</f>
        <v>10470000</v>
      </c>
      <c r="I19" s="50">
        <f>Entrate_Uscite!W39</f>
        <v>20048000</v>
      </c>
      <c r="J19" s="50">
        <f t="shared" si="0"/>
        <v>9.2309845518852374</v>
      </c>
      <c r="K19" s="120">
        <f t="shared" si="1"/>
        <v>91.480420248328556</v>
      </c>
      <c r="L19" s="50">
        <f>Entrate_Uscite!X39</f>
        <v>20048000</v>
      </c>
      <c r="M19" s="51">
        <f t="shared" si="8"/>
        <v>100</v>
      </c>
    </row>
    <row r="20" spans="1:13" x14ac:dyDescent="0.3">
      <c r="A20" s="4" t="s">
        <v>288</v>
      </c>
      <c r="B20" s="40">
        <f t="shared" ref="B20:I20" si="9">SUM(B16:B19)</f>
        <v>5948226.4199999999</v>
      </c>
      <c r="C20" s="40">
        <f t="shared" si="9"/>
        <v>4559569.2200000007</v>
      </c>
      <c r="D20" s="115">
        <f t="shared" si="9"/>
        <v>8982558.7300000004</v>
      </c>
      <c r="E20" s="115">
        <f t="shared" si="9"/>
        <v>14657304.969999999</v>
      </c>
      <c r="F20" s="115">
        <f t="shared" si="9"/>
        <v>11824137.710000001</v>
      </c>
      <c r="G20" s="115">
        <f t="shared" ref="G20:H20" si="10">SUM(G16:G19)</f>
        <v>14849176.23</v>
      </c>
      <c r="H20" s="115">
        <f t="shared" si="10"/>
        <v>11220000</v>
      </c>
      <c r="I20" s="40">
        <f t="shared" si="9"/>
        <v>23048000</v>
      </c>
      <c r="J20" s="40">
        <f t="shared" si="0"/>
        <v>10.612317036704457</v>
      </c>
      <c r="K20" s="134">
        <f t="shared" si="1"/>
        <v>105.41889483065953</v>
      </c>
      <c r="L20" s="40">
        <f>SUM(L16:L19)</f>
        <v>23048000</v>
      </c>
      <c r="M20" s="37">
        <f t="shared" si="8"/>
        <v>100</v>
      </c>
    </row>
    <row r="21" spans="1:13" x14ac:dyDescent="0.3">
      <c r="A21" s="43" t="s">
        <v>349</v>
      </c>
      <c r="B21" s="44">
        <f t="shared" ref="B21:I21" si="11">B10+B15+B20</f>
        <v>170636220.61999997</v>
      </c>
      <c r="C21" s="44">
        <f t="shared" si="11"/>
        <v>169541915.01999995</v>
      </c>
      <c r="D21" s="117">
        <f t="shared" si="11"/>
        <v>185223105.13000003</v>
      </c>
      <c r="E21" s="117">
        <f t="shared" si="11"/>
        <v>213525892.53999999</v>
      </c>
      <c r="F21" s="117">
        <f t="shared" si="11"/>
        <v>195877991.82999998</v>
      </c>
      <c r="G21" s="117">
        <f t="shared" ref="G21:H21" si="12">G10+G15+G20</f>
        <v>211042134.23000002</v>
      </c>
      <c r="H21" s="117">
        <f t="shared" si="12"/>
        <v>206859728.72999999</v>
      </c>
      <c r="I21" s="44">
        <f t="shared" si="11"/>
        <v>210445455.64000002</v>
      </c>
      <c r="J21" s="44">
        <f>I21/I$31*100</f>
        <v>96.898381386038025</v>
      </c>
      <c r="K21" s="145">
        <f t="shared" si="1"/>
        <v>1.7334098483133147</v>
      </c>
      <c r="L21" s="44">
        <f>L10+L15+L20</f>
        <v>173902330.90000001</v>
      </c>
      <c r="M21" s="45">
        <f>IF(I21&gt;0,L21/I21*100,"-")</f>
        <v>82.635346233129042</v>
      </c>
    </row>
    <row r="22" spans="1:13" x14ac:dyDescent="0.3">
      <c r="A22" s="52" t="s">
        <v>289</v>
      </c>
      <c r="B22" s="53">
        <f>Entrate_Uscite!B40</f>
        <v>8584938.8100000005</v>
      </c>
      <c r="C22" s="53">
        <f>Entrate_Uscite!E40</f>
        <v>8944756.5999999996</v>
      </c>
      <c r="D22" s="121">
        <f>Entrate_Uscite!H40</f>
        <v>0</v>
      </c>
      <c r="E22" s="121">
        <f>Entrate_Uscite!K40</f>
        <v>5824349.8799999999</v>
      </c>
      <c r="F22" s="121">
        <f>Entrate_Uscite!N40</f>
        <v>4684291.08</v>
      </c>
      <c r="G22" s="121">
        <f>Entrate_Uscite!Q40</f>
        <v>2315617.7799999998</v>
      </c>
      <c r="H22" s="121">
        <f>Entrate_Uscite!T40</f>
        <v>1999621.7</v>
      </c>
      <c r="I22" s="53">
        <f>Entrate_Uscite!W40</f>
        <v>1545270.98</v>
      </c>
      <c r="J22" s="53">
        <f t="shared" si="0"/>
        <v>0.7115110008408102</v>
      </c>
      <c r="K22" s="122">
        <f t="shared" si="1"/>
        <v>-22.721833834869869</v>
      </c>
      <c r="L22" s="53">
        <f>Entrate_Uscite!X40</f>
        <v>1545270.98</v>
      </c>
      <c r="M22" s="51">
        <f t="shared" si="8"/>
        <v>100</v>
      </c>
    </row>
    <row r="23" spans="1:13" x14ac:dyDescent="0.3">
      <c r="A23" s="52" t="s">
        <v>290</v>
      </c>
      <c r="B23" s="53">
        <f>Entrate_Uscite!B41</f>
        <v>0</v>
      </c>
      <c r="C23" s="53">
        <f>Entrate_Uscite!E41</f>
        <v>0</v>
      </c>
      <c r="D23" s="121">
        <f>Entrate_Uscite!H41</f>
        <v>0</v>
      </c>
      <c r="E23" s="121">
        <f>Entrate_Uscite!K41</f>
        <v>0</v>
      </c>
      <c r="F23" s="121">
        <f>Entrate_Uscite!N41</f>
        <v>598113.99</v>
      </c>
      <c r="G23" s="121">
        <f>Entrate_Uscite!Q41</f>
        <v>0</v>
      </c>
      <c r="H23" s="121">
        <f>Entrate_Uscite!T41</f>
        <v>0</v>
      </c>
      <c r="I23" s="53">
        <f>Entrate_Uscite!W41</f>
        <v>0</v>
      </c>
      <c r="J23" s="53">
        <f t="shared" si="0"/>
        <v>0</v>
      </c>
      <c r="K23" s="122" t="str">
        <f t="shared" si="1"/>
        <v>-</v>
      </c>
      <c r="L23" s="53">
        <f>Entrate_Uscite!X41</f>
        <v>0</v>
      </c>
      <c r="M23" s="51" t="str">
        <f t="shared" si="8"/>
        <v>-</v>
      </c>
    </row>
    <row r="24" spans="1:13" x14ac:dyDescent="0.3">
      <c r="A24" s="52" t="s">
        <v>291</v>
      </c>
      <c r="B24" s="53">
        <f>Entrate_Uscite!B42</f>
        <v>2899247.82</v>
      </c>
      <c r="C24" s="53">
        <f>Entrate_Uscite!E42</f>
        <v>7384285.8200000003</v>
      </c>
      <c r="D24" s="121">
        <f>Entrate_Uscite!H42</f>
        <v>0</v>
      </c>
      <c r="E24" s="121">
        <f>Entrate_Uscite!K42</f>
        <v>3080280.79</v>
      </c>
      <c r="F24" s="121">
        <f>Entrate_Uscite!N42</f>
        <v>855242.86</v>
      </c>
      <c r="G24" s="121">
        <f>Entrate_Uscite!Q42</f>
        <v>3888543.06</v>
      </c>
      <c r="H24" s="121">
        <f>Entrate_Uscite!T42</f>
        <v>4707345.0199999996</v>
      </c>
      <c r="I24" s="53">
        <f>Entrate_Uscite!W42</f>
        <v>5190873.97</v>
      </c>
      <c r="J24" s="53">
        <f t="shared" si="0"/>
        <v>2.3901076131211689</v>
      </c>
      <c r="K24" s="122">
        <f t="shared" si="1"/>
        <v>10.271797540771715</v>
      </c>
      <c r="L24" s="53">
        <f>Entrate_Uscite!X42</f>
        <v>5190873.97</v>
      </c>
      <c r="M24" s="51">
        <f t="shared" si="8"/>
        <v>100</v>
      </c>
    </row>
    <row r="25" spans="1:13" x14ac:dyDescent="0.3">
      <c r="A25" s="52" t="s">
        <v>292</v>
      </c>
      <c r="B25" s="53">
        <f>Entrate_Uscite!B43</f>
        <v>0</v>
      </c>
      <c r="C25" s="53">
        <f>Entrate_Uscite!E43</f>
        <v>0</v>
      </c>
      <c r="D25" s="121">
        <f>Entrate_Uscite!H43</f>
        <v>0</v>
      </c>
      <c r="E25" s="121">
        <f>Entrate_Uscite!K43</f>
        <v>0</v>
      </c>
      <c r="F25" s="121">
        <f>Entrate_Uscite!N43</f>
        <v>0</v>
      </c>
      <c r="G25" s="121">
        <f>Entrate_Uscite!Q43</f>
        <v>0</v>
      </c>
      <c r="H25" s="121">
        <f>Entrate_Uscite!T43</f>
        <v>0</v>
      </c>
      <c r="I25" s="53">
        <f>Entrate_Uscite!W43</f>
        <v>0</v>
      </c>
      <c r="J25" s="53">
        <f t="shared" si="0"/>
        <v>0</v>
      </c>
      <c r="K25" s="122" t="str">
        <f t="shared" si="1"/>
        <v>-</v>
      </c>
      <c r="L25" s="53">
        <f>Entrate_Uscite!X43</f>
        <v>0</v>
      </c>
      <c r="M25" s="51" t="str">
        <f t="shared" si="8"/>
        <v>-</v>
      </c>
    </row>
    <row r="26" spans="1:13" x14ac:dyDescent="0.3">
      <c r="A26" s="52" t="s">
        <v>293</v>
      </c>
      <c r="B26" s="53">
        <f>Entrate_Uscite!B44</f>
        <v>0</v>
      </c>
      <c r="C26" s="53">
        <f>Entrate_Uscite!E44</f>
        <v>0</v>
      </c>
      <c r="D26" s="121">
        <f>Entrate_Uscite!H44</f>
        <v>0</v>
      </c>
      <c r="E26" s="121">
        <f>Entrate_Uscite!K44</f>
        <v>0</v>
      </c>
      <c r="F26" s="121">
        <f>Entrate_Uscite!N44</f>
        <v>0</v>
      </c>
      <c r="G26" s="121">
        <f>Entrate_Uscite!Q44</f>
        <v>0</v>
      </c>
      <c r="H26" s="121">
        <f>Entrate_Uscite!T44</f>
        <v>0</v>
      </c>
      <c r="I26" s="53">
        <f>Entrate_Uscite!W44</f>
        <v>0</v>
      </c>
      <c r="J26" s="53">
        <f t="shared" si="0"/>
        <v>0</v>
      </c>
      <c r="K26" s="122" t="str">
        <f t="shared" si="1"/>
        <v>-</v>
      </c>
      <c r="L26" s="53">
        <f>Entrate_Uscite!X44</f>
        <v>0</v>
      </c>
      <c r="M26" s="51" t="str">
        <f t="shared" si="8"/>
        <v>-</v>
      </c>
    </row>
    <row r="27" spans="1:13" x14ac:dyDescent="0.3">
      <c r="A27" s="4" t="s">
        <v>294</v>
      </c>
      <c r="B27" s="40">
        <f t="shared" ref="B27:I27" si="13">SUM(B22:B26)</f>
        <v>11484186.630000001</v>
      </c>
      <c r="C27" s="40">
        <f t="shared" si="13"/>
        <v>16329042.42</v>
      </c>
      <c r="D27" s="115">
        <f t="shared" si="13"/>
        <v>0</v>
      </c>
      <c r="E27" s="115">
        <f t="shared" si="13"/>
        <v>8904630.6699999999</v>
      </c>
      <c r="F27" s="115">
        <f t="shared" si="13"/>
        <v>6137647.9300000006</v>
      </c>
      <c r="G27" s="115">
        <f t="shared" ref="G27" si="14">SUM(G22:G26)</f>
        <v>6204160.8399999999</v>
      </c>
      <c r="H27" s="115">
        <f t="shared" ref="H27" si="15">SUM(H22:H26)</f>
        <v>6706966.7199999997</v>
      </c>
      <c r="I27" s="40">
        <f t="shared" si="13"/>
        <v>6736144.9499999993</v>
      </c>
      <c r="J27" s="40">
        <f t="shared" si="0"/>
        <v>3.1016186139619788</v>
      </c>
      <c r="K27" s="134">
        <f t="shared" si="1"/>
        <v>0.43504360790981877</v>
      </c>
      <c r="L27" s="40">
        <f>SUM(L22:L26)</f>
        <v>6736144.9499999993</v>
      </c>
      <c r="M27" s="41">
        <f>IF(I27&gt;0,L27/I27*100,"-")</f>
        <v>100</v>
      </c>
    </row>
    <row r="28" spans="1:13" x14ac:dyDescent="0.3">
      <c r="A28" s="4" t="s">
        <v>295</v>
      </c>
      <c r="B28" s="40">
        <f>Entrate_Uscite!B52</f>
        <v>0</v>
      </c>
      <c r="C28" s="40">
        <f>Entrate_Uscite!E52</f>
        <v>0</v>
      </c>
      <c r="D28" s="115">
        <f>Entrate_Uscite!H52</f>
        <v>0</v>
      </c>
      <c r="E28" s="115">
        <f>Entrate_Uscite!K52</f>
        <v>0</v>
      </c>
      <c r="F28" s="115">
        <f>Entrate_Uscite!N52</f>
        <v>0</v>
      </c>
      <c r="G28" s="115">
        <f>Entrate_Uscite!Q52</f>
        <v>0</v>
      </c>
      <c r="H28" s="115">
        <f>Entrate_Uscite!T52</f>
        <v>0</v>
      </c>
      <c r="I28" s="40">
        <f>Entrate_Uscite!W52</f>
        <v>0</v>
      </c>
      <c r="J28" s="40">
        <f t="shared" si="0"/>
        <v>0</v>
      </c>
      <c r="K28" s="134" t="str">
        <f t="shared" si="1"/>
        <v>-</v>
      </c>
      <c r="L28" s="40">
        <f>Entrate_Uscite!X52</f>
        <v>0</v>
      </c>
      <c r="M28" s="41" t="str">
        <f>IF(I28&gt;0,L28/I28*100,"-")</f>
        <v>-</v>
      </c>
    </row>
    <row r="29" spans="1:13" x14ac:dyDescent="0.3">
      <c r="A29" s="4" t="s">
        <v>296</v>
      </c>
      <c r="B29" s="40">
        <f>Entrate_Uscite!B53</f>
        <v>19389751.43</v>
      </c>
      <c r="C29" s="40">
        <f>Entrate_Uscite!E53</f>
        <v>19084551.32</v>
      </c>
      <c r="D29" s="115">
        <f>Entrate_Uscite!H53</f>
        <v>22044472.690000001</v>
      </c>
      <c r="E29" s="115">
        <f>Entrate_Uscite!K53</f>
        <v>22792371.899999999</v>
      </c>
      <c r="F29" s="115">
        <f>Entrate_Uscite!N53</f>
        <v>23552947.41</v>
      </c>
      <c r="G29" s="115">
        <f>Entrate_Uscite!Q53</f>
        <v>22916983.43</v>
      </c>
      <c r="H29" s="115">
        <f>Entrate_Uscite!T53</f>
        <v>25157157.68</v>
      </c>
      <c r="I29" s="40">
        <f>Entrate_Uscite!W53</f>
        <v>26621972.399999999</v>
      </c>
      <c r="J29" s="40"/>
      <c r="K29" s="134">
        <f t="shared" si="1"/>
        <v>5.8226558764407912</v>
      </c>
      <c r="L29" s="40">
        <f>Entrate_Uscite!X53</f>
        <v>23311705.920000002</v>
      </c>
      <c r="M29" s="41">
        <f>IF(I29&gt;0,L29/I29*100,"-")</f>
        <v>87.565660311480158</v>
      </c>
    </row>
    <row r="30" spans="1:13" x14ac:dyDescent="0.3">
      <c r="A30" s="43" t="s">
        <v>69</v>
      </c>
      <c r="B30" s="44">
        <f t="shared" ref="B30:I30" si="16">B10+B15+B20+B27+B28+B29</f>
        <v>201510158.67999998</v>
      </c>
      <c r="C30" s="44">
        <f t="shared" si="16"/>
        <v>204955508.75999993</v>
      </c>
      <c r="D30" s="117">
        <f t="shared" si="16"/>
        <v>207267577.82000002</v>
      </c>
      <c r="E30" s="117">
        <f t="shared" si="16"/>
        <v>245222895.10999998</v>
      </c>
      <c r="F30" s="117">
        <f t="shared" si="16"/>
        <v>225568587.16999999</v>
      </c>
      <c r="G30" s="117">
        <f t="shared" ref="G30:H30" si="17">G10+G15+G20+G27+G28+G29</f>
        <v>240163278.50000003</v>
      </c>
      <c r="H30" s="117">
        <f t="shared" si="17"/>
        <v>238723853.13</v>
      </c>
      <c r="I30" s="44">
        <f t="shared" si="16"/>
        <v>243803572.99000001</v>
      </c>
      <c r="J30" s="44"/>
      <c r="K30" s="145">
        <f t="shared" si="1"/>
        <v>2.1278643895018803</v>
      </c>
      <c r="L30" s="44">
        <f>L10+L15+L20+L27+L28+L29</f>
        <v>203950181.76999998</v>
      </c>
      <c r="M30" s="45">
        <f>IF(I30&gt;0,L30/I30*100,"-")</f>
        <v>83.653483527234982</v>
      </c>
    </row>
    <row r="31" spans="1:13" x14ac:dyDescent="0.3">
      <c r="A31" s="35" t="s">
        <v>70</v>
      </c>
      <c r="B31" s="46">
        <f t="shared" ref="B31:I31" si="18">B30-B29</f>
        <v>182120407.24999997</v>
      </c>
      <c r="C31" s="46">
        <f t="shared" si="18"/>
        <v>185870957.43999994</v>
      </c>
      <c r="D31" s="118">
        <f t="shared" si="18"/>
        <v>185223105.13000003</v>
      </c>
      <c r="E31" s="118">
        <f t="shared" si="18"/>
        <v>222430523.20999998</v>
      </c>
      <c r="F31" s="118">
        <f t="shared" si="18"/>
        <v>202015639.75999999</v>
      </c>
      <c r="G31" s="118">
        <f t="shared" ref="G31:H31" si="19">G30-G29</f>
        <v>217246295.07000002</v>
      </c>
      <c r="H31" s="118">
        <f t="shared" si="19"/>
        <v>213566695.44999999</v>
      </c>
      <c r="I31" s="46">
        <f t="shared" si="18"/>
        <v>217181600.59</v>
      </c>
      <c r="J31" s="46">
        <f t="shared" si="0"/>
        <v>100</v>
      </c>
      <c r="K31" s="119">
        <f t="shared" si="1"/>
        <v>1.6926352362118848</v>
      </c>
      <c r="L31" s="46">
        <f>L30-L29</f>
        <v>180638475.84999996</v>
      </c>
      <c r="M31" s="47">
        <f>IF(I31&gt;0,L31/I31*100,"-")</f>
        <v>83.173931566612353</v>
      </c>
    </row>
    <row r="32" spans="1:13" x14ac:dyDescent="0.3">
      <c r="L32" s="6"/>
    </row>
    <row r="33" spans="12:12" x14ac:dyDescent="0.3">
      <c r="L33" s="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showGridLines="0" workbookViewId="0">
      <selection activeCell="J2" sqref="J2:J6"/>
    </sheetView>
  </sheetViews>
  <sheetFormatPr defaultRowHeight="14.4" x14ac:dyDescent="0.3"/>
  <cols>
    <col min="1" max="1" width="50.6640625" bestFit="1" customWidth="1"/>
    <col min="2" max="4" width="10.5546875" bestFit="1" customWidth="1"/>
    <col min="5" max="8" width="10.5546875" style="130" bestFit="1" customWidth="1"/>
    <col min="9" max="9" width="10.5546875" bestFit="1" customWidth="1"/>
    <col min="10" max="10" width="11.21875" bestFit="1" customWidth="1"/>
    <col min="11" max="11" width="11.33203125" bestFit="1" customWidth="1"/>
  </cols>
  <sheetData>
    <row r="1" spans="1:11" x14ac:dyDescent="0.3">
      <c r="A1" s="114"/>
      <c r="B1" s="146">
        <v>2016</v>
      </c>
      <c r="C1" s="146">
        <v>2017</v>
      </c>
      <c r="D1" s="146">
        <v>2018</v>
      </c>
      <c r="E1" s="146">
        <v>2019</v>
      </c>
      <c r="F1" s="146">
        <v>2020</v>
      </c>
      <c r="G1" s="146">
        <v>2021</v>
      </c>
      <c r="H1" s="146">
        <v>2022</v>
      </c>
      <c r="I1" s="146">
        <v>2022</v>
      </c>
      <c r="J1" s="146" t="s">
        <v>266</v>
      </c>
      <c r="K1" s="146" t="s">
        <v>340</v>
      </c>
    </row>
    <row r="2" spans="1:11" x14ac:dyDescent="0.3">
      <c r="A2" s="123" t="s">
        <v>298</v>
      </c>
      <c r="B2" s="124">
        <f>Entrate_Uscite!B56</f>
        <v>19895716.230000019</v>
      </c>
      <c r="C2" s="124">
        <f>Entrate_Uscite!E56</f>
        <v>17851832.990000039</v>
      </c>
      <c r="D2" s="124">
        <f>Entrate_Uscite!H56</f>
        <v>19394590.699999958</v>
      </c>
      <c r="E2" s="124">
        <f>Entrate_Uscite!K56</f>
        <v>23496573.659999967</v>
      </c>
      <c r="F2" s="124">
        <f>Entrate_Uscite!N56</f>
        <v>25066996.340000004</v>
      </c>
      <c r="G2" s="124">
        <f>Entrate_Uscite!Q56</f>
        <v>19958951.969999969</v>
      </c>
      <c r="H2" s="124">
        <f>Entrate_Uscite!T56</f>
        <v>15569751.390000015</v>
      </c>
      <c r="I2" s="124">
        <f>Entrate_Uscite!W56</f>
        <v>9930046.2899999619</v>
      </c>
      <c r="J2" s="124">
        <f t="shared" ref="J2:J6" si="0">I2-H2</f>
        <v>-5639705.1000000536</v>
      </c>
      <c r="K2" s="124">
        <f>Entrate_Uscite!X56</f>
        <v>12938985.269999966</v>
      </c>
    </row>
    <row r="3" spans="1:11" x14ac:dyDescent="0.3">
      <c r="A3" s="123" t="s">
        <v>72</v>
      </c>
      <c r="B3" s="125">
        <f>Entrate_Uscite!B57</f>
        <v>-1639629.5700000003</v>
      </c>
      <c r="C3" s="125">
        <f>Entrate_Uscite!E57</f>
        <v>-3678588.0199999996</v>
      </c>
      <c r="D3" s="125">
        <f>Entrate_Uscite!H57</f>
        <v>-3347936.5700000003</v>
      </c>
      <c r="E3" s="125">
        <f>Entrate_Uscite!K57</f>
        <v>-6675730.2499999963</v>
      </c>
      <c r="F3" s="125">
        <f>Entrate_Uscite!N57</f>
        <v>-2999240.8599999994</v>
      </c>
      <c r="G3" s="125">
        <f>Entrate_Uscite!Q57</f>
        <v>-3971835.6499999985</v>
      </c>
      <c r="H3" s="125">
        <f>Entrate_Uscite!T57</f>
        <v>-527886.54000000656</v>
      </c>
      <c r="I3" s="125">
        <f>Entrate_Uscite!W57</f>
        <v>-8466215.3699999973</v>
      </c>
      <c r="J3" s="124">
        <f t="shared" si="0"/>
        <v>-7938328.8299999908</v>
      </c>
      <c r="K3" s="124">
        <f>Entrate_Uscite!X57</f>
        <v>-10826322.809999999</v>
      </c>
    </row>
    <row r="4" spans="1:11" x14ac:dyDescent="0.3">
      <c r="A4" s="123" t="s">
        <v>301</v>
      </c>
      <c r="B4" s="125">
        <f>Entrate_Uscite!B16-Entrate_Uscite!B50</f>
        <v>-3205226.42</v>
      </c>
      <c r="C4" s="125">
        <f>Entrate_Uscite!E16-Entrate_Uscite!E50</f>
        <v>11366430.779999999</v>
      </c>
      <c r="D4" s="125">
        <f>Entrate_Uscite!H16-Entrate_Uscite!H50</f>
        <v>5771802.4600000009</v>
      </c>
      <c r="E4" s="125">
        <f>Entrate_Uscite!K16-Entrate_Uscite!K50</f>
        <v>1224957.7600000016</v>
      </c>
      <c r="F4" s="125">
        <f>Entrate_Uscite!N16-Entrate_Uscite!N50</f>
        <v>-1197500</v>
      </c>
      <c r="G4" s="125">
        <f>Entrate_Uscite!Q16-Entrate_Uscite!Q50</f>
        <v>-200000</v>
      </c>
      <c r="H4" s="125">
        <f>Entrate_Uscite!T16-Entrate_Uscite!T50</f>
        <v>-750000</v>
      </c>
      <c r="I4" s="125">
        <f>Entrate_Uscite!W16-Entrate_Uscite!W50</f>
        <v>-3000000</v>
      </c>
      <c r="J4" s="124">
        <f t="shared" si="0"/>
        <v>-2250000</v>
      </c>
      <c r="K4" s="125">
        <f>Entrate_Uscite!X16-Entrate_Uscite!X50</f>
        <v>-22434245.48</v>
      </c>
    </row>
    <row r="5" spans="1:11" x14ac:dyDescent="0.3">
      <c r="A5" s="144" t="s">
        <v>299</v>
      </c>
      <c r="B5" s="126">
        <f>Entrate_Uscite!B58</f>
        <v>15050860.240000039</v>
      </c>
      <c r="C5" s="126">
        <f>Entrate_Uscite!E58</f>
        <v>25539675.75000006</v>
      </c>
      <c r="D5" s="126">
        <f>Entrate_Uscite!H58</f>
        <v>21818456.589999944</v>
      </c>
      <c r="E5" s="126">
        <f>Entrate_Uscite!K58</f>
        <v>18045801.169999987</v>
      </c>
      <c r="F5" s="126">
        <f>Entrate_Uscite!N58</f>
        <v>20870255.480000019</v>
      </c>
      <c r="G5" s="126">
        <f>Entrate_Uscite!Q58</f>
        <v>15787116.319999963</v>
      </c>
      <c r="H5" s="126">
        <f>Entrate_Uscite!T58</f>
        <v>14291864.849999994</v>
      </c>
      <c r="I5" s="126">
        <f>Entrate_Uscite!W58</f>
        <v>-1536169.0800000429</v>
      </c>
      <c r="J5" s="126">
        <f t="shared" si="0"/>
        <v>-15828033.930000037</v>
      </c>
      <c r="K5" s="126">
        <f>Entrate_Uscite!X58</f>
        <v>-20321583.020000011</v>
      </c>
    </row>
    <row r="6" spans="1:11" x14ac:dyDescent="0.3">
      <c r="A6" s="113" t="s">
        <v>300</v>
      </c>
      <c r="B6" s="127">
        <f>Entrate_Uscite!B59</f>
        <v>7741408.6100000441</v>
      </c>
      <c r="C6" s="127">
        <f>Entrate_Uscite!E59</f>
        <v>9890633.3300000727</v>
      </c>
      <c r="D6" s="127">
        <f>Entrate_Uscite!H59</f>
        <v>15024243.48999995</v>
      </c>
      <c r="E6" s="127">
        <f>Entrate_Uscite!K59</f>
        <v>17663453.680000007</v>
      </c>
      <c r="F6" s="127">
        <f>Entrate_Uscite!N59</f>
        <v>26859245.26000002</v>
      </c>
      <c r="G6" s="127">
        <f>Entrate_Uscite!Q59</f>
        <v>24732131.709999949</v>
      </c>
      <c r="H6" s="127">
        <f>Entrate_Uscite!T59</f>
        <v>18054898.129999995</v>
      </c>
      <c r="I6" s="127">
        <f>Entrate_Uscite!W59</f>
        <v>11775685.969999969</v>
      </c>
      <c r="J6" s="127">
        <f t="shared" si="0"/>
        <v>-6279212.1600000262</v>
      </c>
      <c r="K6" s="127">
        <f>Entrate_Uscite!X59</f>
        <v>-7009727.969999969</v>
      </c>
    </row>
    <row r="7" spans="1:11" x14ac:dyDescent="0.3">
      <c r="J7" s="6"/>
    </row>
    <row r="8" spans="1:11" x14ac:dyDescent="0.3">
      <c r="J8" s="6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showGridLines="0" workbookViewId="0">
      <selection activeCell="K2" sqref="K2:K23"/>
    </sheetView>
  </sheetViews>
  <sheetFormatPr defaultRowHeight="14.4" x14ac:dyDescent="0.3"/>
  <cols>
    <col min="1" max="1" width="36.44140625" bestFit="1" customWidth="1"/>
    <col min="2" max="7" width="11.6640625" customWidth="1"/>
    <col min="8" max="11" width="11.6640625" style="130" customWidth="1"/>
    <col min="14" max="14" width="10" bestFit="1" customWidth="1"/>
  </cols>
  <sheetData>
    <row r="1" spans="1:11" x14ac:dyDescent="0.3">
      <c r="A1" s="38"/>
      <c r="B1" s="90">
        <v>2014</v>
      </c>
      <c r="C1" s="90">
        <v>2015</v>
      </c>
      <c r="D1" s="90">
        <v>2016</v>
      </c>
      <c r="E1" s="90">
        <v>2017</v>
      </c>
      <c r="F1" s="60">
        <v>2018</v>
      </c>
      <c r="G1" s="90">
        <v>2019</v>
      </c>
      <c r="H1" s="60">
        <v>2020</v>
      </c>
      <c r="I1" s="60">
        <v>2021</v>
      </c>
      <c r="J1" s="60">
        <v>2022</v>
      </c>
      <c r="K1" s="60">
        <v>2023</v>
      </c>
    </row>
    <row r="2" spans="1:11" x14ac:dyDescent="0.3">
      <c r="A2" t="s">
        <v>5</v>
      </c>
      <c r="B2" s="1">
        <v>31783421.23</v>
      </c>
      <c r="C2" s="1">
        <v>34486643.409999996</v>
      </c>
      <c r="D2" s="84">
        <v>36442215.649999999</v>
      </c>
      <c r="E2" s="84">
        <v>48445873.039999999</v>
      </c>
      <c r="F2" s="1">
        <v>51166926.090000004</v>
      </c>
      <c r="G2" s="1">
        <v>54279361.329999998</v>
      </c>
      <c r="H2" s="95">
        <v>69348155.469999999</v>
      </c>
      <c r="I2" s="95">
        <v>63858627.439999998</v>
      </c>
      <c r="J2" s="95">
        <v>90159251.150000006</v>
      </c>
      <c r="K2" s="95">
        <v>87376297.700000003</v>
      </c>
    </row>
    <row r="3" spans="1:11" x14ac:dyDescent="0.3">
      <c r="A3" t="s">
        <v>6</v>
      </c>
      <c r="B3" s="1">
        <v>66953901.979999997</v>
      </c>
      <c r="C3" s="1">
        <v>73427371.280000001</v>
      </c>
      <c r="D3" s="84">
        <v>78289425.269999996</v>
      </c>
      <c r="E3" s="84">
        <v>74315807.659999996</v>
      </c>
      <c r="F3" s="1">
        <v>87442471.980000004</v>
      </c>
      <c r="G3" s="1">
        <v>104096473.76000001</v>
      </c>
      <c r="H3" s="95">
        <v>112135787.2</v>
      </c>
      <c r="I3" s="95">
        <v>137388926.63</v>
      </c>
      <c r="J3" s="95">
        <v>126346694.09</v>
      </c>
      <c r="K3" s="95">
        <v>132206196.41</v>
      </c>
    </row>
    <row r="4" spans="1:11" x14ac:dyDescent="0.3">
      <c r="A4" t="s">
        <v>7</v>
      </c>
      <c r="B4" s="1">
        <v>43343450.530000001</v>
      </c>
      <c r="C4" s="1">
        <v>47742707.600000001</v>
      </c>
      <c r="D4" s="84">
        <v>48694707.850000001</v>
      </c>
      <c r="E4" s="84">
        <v>43341688.299999997</v>
      </c>
      <c r="F4" s="1">
        <v>43507554.460000001</v>
      </c>
      <c r="G4" s="1">
        <v>48295620.700000003</v>
      </c>
      <c r="H4" s="95">
        <v>54358808.609999999</v>
      </c>
      <c r="I4" s="95">
        <v>52383684.530000001</v>
      </c>
      <c r="J4" s="95">
        <v>54097888.200000003</v>
      </c>
      <c r="K4" s="95">
        <v>50139963.759999998</v>
      </c>
    </row>
    <row r="5" spans="1:11" x14ac:dyDescent="0.3">
      <c r="A5" t="s">
        <v>8</v>
      </c>
      <c r="B5" s="1">
        <v>2905500.75</v>
      </c>
      <c r="C5" s="1">
        <v>2368436.62</v>
      </c>
      <c r="D5" s="84">
        <v>2984252.13</v>
      </c>
      <c r="E5" s="84">
        <v>3354603.94</v>
      </c>
      <c r="F5" s="1">
        <v>3633172.2</v>
      </c>
      <c r="G5" s="1">
        <v>3378956.04</v>
      </c>
      <c r="H5" s="95">
        <v>4867297</v>
      </c>
      <c r="I5" s="95">
        <v>6882331.1299999999</v>
      </c>
      <c r="J5" s="95">
        <v>7616794.8099999996</v>
      </c>
      <c r="K5" s="95">
        <v>4636240.24</v>
      </c>
    </row>
    <row r="6" spans="1:11" x14ac:dyDescent="0.3">
      <c r="A6" t="s">
        <v>9</v>
      </c>
      <c r="B6" s="1">
        <v>18134408.27</v>
      </c>
      <c r="C6" s="1">
        <v>20171598.199999999</v>
      </c>
      <c r="D6" s="84">
        <v>12973082.01</v>
      </c>
      <c r="E6" s="84">
        <v>19336061.809999999</v>
      </c>
      <c r="F6" s="1">
        <v>24601344.399999999</v>
      </c>
      <c r="G6" s="1">
        <v>22740591.5</v>
      </c>
      <c r="H6" s="95">
        <v>31967555.579999998</v>
      </c>
      <c r="I6" s="95">
        <v>42912395.149999999</v>
      </c>
      <c r="J6" s="95">
        <v>43525664.700000003</v>
      </c>
      <c r="K6" s="95">
        <v>63209065.049999997</v>
      </c>
    </row>
    <row r="7" spans="1:11" x14ac:dyDescent="0.3">
      <c r="A7" s="4" t="s">
        <v>0</v>
      </c>
      <c r="B7" s="3">
        <f t="shared" ref="B7:G7" si="0">B2+B3-B4-B5-B6</f>
        <v>34353963.659999996</v>
      </c>
      <c r="C7" s="3">
        <f t="shared" si="0"/>
        <v>37631272.269999996</v>
      </c>
      <c r="D7" s="3">
        <f t="shared" si="0"/>
        <v>50079598.929999985</v>
      </c>
      <c r="E7" s="3">
        <f t="shared" si="0"/>
        <v>56729326.649999991</v>
      </c>
      <c r="F7" s="3">
        <f t="shared" si="0"/>
        <v>66867327.009999983</v>
      </c>
      <c r="G7" s="3">
        <f t="shared" si="0"/>
        <v>83960666.849999994</v>
      </c>
      <c r="H7" s="3">
        <f t="shared" ref="H7:K7" si="1">H2+H3-H4-H5-H6</f>
        <v>90290281.480000019</v>
      </c>
      <c r="I7" s="3">
        <f t="shared" ref="I7:J7" si="2">I2+I3-I4-I5-I6</f>
        <v>99069143.25999999</v>
      </c>
      <c r="J7" s="3">
        <f t="shared" si="2"/>
        <v>111265597.53000002</v>
      </c>
      <c r="K7" s="3">
        <f t="shared" si="1"/>
        <v>101597225.06000002</v>
      </c>
    </row>
    <row r="8" spans="1:11" x14ac:dyDescent="0.3">
      <c r="A8" t="s">
        <v>10</v>
      </c>
      <c r="B8" s="1">
        <v>17267014</v>
      </c>
      <c r="C8" s="1">
        <v>23600401.440000001</v>
      </c>
      <c r="D8" s="1">
        <v>31243382.469999999</v>
      </c>
      <c r="E8" s="1">
        <v>38822773.340000004</v>
      </c>
      <c r="F8" s="1">
        <v>46910660.280000001</v>
      </c>
      <c r="G8" s="1">
        <v>58423741.960000001</v>
      </c>
      <c r="H8" s="95">
        <v>54716832.140000001</v>
      </c>
      <c r="I8" s="95">
        <v>62356770.350000001</v>
      </c>
      <c r="J8" s="95">
        <v>56887302.030000001</v>
      </c>
      <c r="K8" s="95">
        <v>53106373.590000004</v>
      </c>
    </row>
    <row r="9" spans="1:11" x14ac:dyDescent="0.3">
      <c r="A9" t="s">
        <v>11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95">
        <v>0</v>
      </c>
      <c r="I9" s="95">
        <v>0</v>
      </c>
      <c r="J9" s="95">
        <v>0</v>
      </c>
      <c r="K9" s="95">
        <v>0</v>
      </c>
    </row>
    <row r="10" spans="1:11" x14ac:dyDescent="0.3">
      <c r="A10" t="s">
        <v>12</v>
      </c>
      <c r="B10" s="1">
        <v>0</v>
      </c>
      <c r="C10" s="1">
        <v>0</v>
      </c>
      <c r="D10" s="1">
        <v>400000</v>
      </c>
      <c r="E10" s="1">
        <v>480000</v>
      </c>
      <c r="F10" s="1">
        <v>688920</v>
      </c>
      <c r="G10" s="1">
        <v>688920</v>
      </c>
      <c r="H10" s="95">
        <v>2306243</v>
      </c>
      <c r="I10" s="95">
        <v>1629383.14</v>
      </c>
      <c r="J10" s="95">
        <v>1146635.1399999999</v>
      </c>
      <c r="K10" s="95">
        <v>848163.14</v>
      </c>
    </row>
    <row r="11" spans="1:11" x14ac:dyDescent="0.3">
      <c r="A11" t="s">
        <v>13</v>
      </c>
      <c r="B11" s="1">
        <v>1000000</v>
      </c>
      <c r="C11" s="1">
        <v>2000000</v>
      </c>
      <c r="D11" s="1">
        <v>1500000</v>
      </c>
      <c r="E11" s="1">
        <v>1500000</v>
      </c>
      <c r="F11" s="1">
        <v>2000000</v>
      </c>
      <c r="G11" s="1">
        <v>2655000</v>
      </c>
      <c r="H11" s="95">
        <v>5500000</v>
      </c>
      <c r="I11" s="95">
        <v>5026034.4400000004</v>
      </c>
      <c r="J11" s="95">
        <v>5226034.4400000004</v>
      </c>
      <c r="K11" s="95">
        <v>4764384.32</v>
      </c>
    </row>
    <row r="12" spans="1:11" x14ac:dyDescent="0.3">
      <c r="A12" t="s">
        <v>14</v>
      </c>
      <c r="B12" s="1">
        <v>0</v>
      </c>
      <c r="C12" s="1">
        <v>177800</v>
      </c>
      <c r="D12" s="1">
        <v>12400</v>
      </c>
      <c r="E12" s="1">
        <v>17000</v>
      </c>
      <c r="F12" s="1">
        <v>21600</v>
      </c>
      <c r="G12" s="1">
        <v>2313754.54</v>
      </c>
      <c r="H12" s="95">
        <v>4626022.6399999997</v>
      </c>
      <c r="I12" s="95">
        <v>8004418.2800000003</v>
      </c>
      <c r="J12" s="95">
        <v>11636616.32</v>
      </c>
      <c r="K12" s="95">
        <v>13512801.390000001</v>
      </c>
    </row>
    <row r="13" spans="1:11" x14ac:dyDescent="0.3">
      <c r="A13" s="4" t="s">
        <v>1</v>
      </c>
      <c r="B13" s="3">
        <f t="shared" ref="B13:G13" si="3">SUM(B8:B12)</f>
        <v>18267014</v>
      </c>
      <c r="C13" s="3">
        <f t="shared" si="3"/>
        <v>25778201.440000001</v>
      </c>
      <c r="D13" s="3">
        <f t="shared" si="3"/>
        <v>33155782.469999999</v>
      </c>
      <c r="E13" s="3">
        <f t="shared" si="3"/>
        <v>40819773.340000004</v>
      </c>
      <c r="F13" s="3">
        <f t="shared" si="3"/>
        <v>49621180.280000001</v>
      </c>
      <c r="G13" s="3">
        <f t="shared" si="3"/>
        <v>64081416.5</v>
      </c>
      <c r="H13" s="3">
        <f t="shared" ref="H13:K13" si="4">SUM(H8:H12)</f>
        <v>67149097.780000001</v>
      </c>
      <c r="I13" s="3">
        <f t="shared" ref="I13:J13" si="5">SUM(I8:I12)</f>
        <v>77016606.210000008</v>
      </c>
      <c r="J13" s="3">
        <f t="shared" si="5"/>
        <v>74896587.930000007</v>
      </c>
      <c r="K13" s="3">
        <f t="shared" si="4"/>
        <v>72231722.439999998</v>
      </c>
    </row>
    <row r="14" spans="1:11" x14ac:dyDescent="0.3">
      <c r="A14" t="s">
        <v>16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10500</v>
      </c>
      <c r="H14" s="95">
        <v>1834156.43</v>
      </c>
      <c r="I14" s="95">
        <v>364120</v>
      </c>
      <c r="J14" s="95">
        <v>200200</v>
      </c>
      <c r="K14" s="95">
        <v>683580.55</v>
      </c>
    </row>
    <row r="15" spans="1:11" x14ac:dyDescent="0.3">
      <c r="A15" t="s">
        <v>15</v>
      </c>
      <c r="B15" s="1">
        <v>3121403.46</v>
      </c>
      <c r="C15" s="1">
        <v>2705382.5</v>
      </c>
      <c r="D15" s="1">
        <v>1708897.25</v>
      </c>
      <c r="E15" s="1">
        <v>1404015.85</v>
      </c>
      <c r="F15" s="1">
        <v>2385245.0699999998</v>
      </c>
      <c r="G15" s="1">
        <v>2822269.4</v>
      </c>
      <c r="H15" s="95">
        <v>3277563.91</v>
      </c>
      <c r="I15" s="95">
        <v>4107180.64</v>
      </c>
      <c r="J15" s="95">
        <v>10373229.09</v>
      </c>
      <c r="K15" s="95">
        <v>8247597.0999999996</v>
      </c>
    </row>
    <row r="16" spans="1:11" x14ac:dyDescent="0.3">
      <c r="A16" t="s">
        <v>17</v>
      </c>
      <c r="B16" s="1">
        <v>976906.15</v>
      </c>
      <c r="C16" s="1">
        <v>490109.95</v>
      </c>
      <c r="D16" s="1">
        <v>2040000</v>
      </c>
      <c r="E16" s="1">
        <v>1488.4</v>
      </c>
      <c r="F16" s="1">
        <v>1488.4</v>
      </c>
      <c r="G16" s="1">
        <v>2642.01</v>
      </c>
      <c r="H16" s="95">
        <v>6450.48</v>
      </c>
      <c r="I16" s="95">
        <v>45721.55</v>
      </c>
      <c r="J16" s="95">
        <v>45726.38</v>
      </c>
      <c r="K16" s="95">
        <v>296319.39</v>
      </c>
    </row>
    <row r="17" spans="1:11" x14ac:dyDescent="0.3">
      <c r="A17" t="s">
        <v>18</v>
      </c>
      <c r="B17" s="1">
        <v>5222419.29</v>
      </c>
      <c r="C17" s="1">
        <v>4319412.6500000004</v>
      </c>
      <c r="D17" s="1">
        <v>7408360.5999999996</v>
      </c>
      <c r="E17" s="1">
        <v>9257151.6799999997</v>
      </c>
      <c r="F17" s="1">
        <v>11329983.01</v>
      </c>
      <c r="G17" s="1">
        <v>5205891.07</v>
      </c>
      <c r="H17" s="95">
        <v>5223270.6399999997</v>
      </c>
      <c r="I17" s="95">
        <v>5805177.2699999996</v>
      </c>
      <c r="J17" s="95">
        <v>6493600.0300000003</v>
      </c>
      <c r="K17" s="95">
        <v>6294452.1699999999</v>
      </c>
    </row>
    <row r="18" spans="1:11" x14ac:dyDescent="0.3">
      <c r="A18" t="s">
        <v>19</v>
      </c>
      <c r="B18" s="1">
        <v>1334995.03</v>
      </c>
      <c r="C18" s="1">
        <v>0</v>
      </c>
      <c r="D18" s="1">
        <v>0</v>
      </c>
      <c r="E18" s="1">
        <v>0</v>
      </c>
      <c r="F18" s="1">
        <v>0</v>
      </c>
      <c r="G18" s="1">
        <v>2225051.7000000002</v>
      </c>
      <c r="H18" s="95">
        <v>4031342.41</v>
      </c>
      <c r="I18" s="95">
        <v>4400349.74</v>
      </c>
      <c r="J18" s="95">
        <v>3077649.53</v>
      </c>
      <c r="K18" s="95">
        <v>1881216.91</v>
      </c>
    </row>
    <row r="19" spans="1:11" x14ac:dyDescent="0.3">
      <c r="A19" s="4" t="s">
        <v>2</v>
      </c>
      <c r="B19" s="3">
        <f t="shared" ref="B19:G19" si="6">SUM(B14:B18)</f>
        <v>10655723.93</v>
      </c>
      <c r="C19" s="3">
        <f t="shared" si="6"/>
        <v>7514905.1000000006</v>
      </c>
      <c r="D19" s="3">
        <f t="shared" si="6"/>
        <v>11157257.85</v>
      </c>
      <c r="E19" s="3">
        <f t="shared" si="6"/>
        <v>10662655.93</v>
      </c>
      <c r="F19" s="3">
        <f t="shared" si="6"/>
        <v>13716716.48</v>
      </c>
      <c r="G19" s="3">
        <f t="shared" si="6"/>
        <v>10266354.18</v>
      </c>
      <c r="H19" s="3">
        <f t="shared" ref="H19:K19" si="7">SUM(H14:H18)</f>
        <v>14372783.870000001</v>
      </c>
      <c r="I19" s="3">
        <f t="shared" ref="I19:J19" si="8">SUM(I14:I18)</f>
        <v>14722549.200000001</v>
      </c>
      <c r="J19" s="3">
        <f t="shared" si="8"/>
        <v>20190405.030000001</v>
      </c>
      <c r="K19" s="3">
        <f t="shared" si="7"/>
        <v>17403166.120000001</v>
      </c>
    </row>
    <row r="20" spans="1:11" x14ac:dyDescent="0.3">
      <c r="A20" s="4" t="s">
        <v>3</v>
      </c>
      <c r="B20" s="3">
        <v>2883996.02</v>
      </c>
      <c r="C20" s="3">
        <v>2194133.29</v>
      </c>
      <c r="D20" s="3">
        <v>1824523.18</v>
      </c>
      <c r="E20" s="3">
        <v>2250217.4900000002</v>
      </c>
      <c r="F20" s="3">
        <v>1303767.77</v>
      </c>
      <c r="G20" s="3">
        <v>5765956.1900000004</v>
      </c>
      <c r="H20" s="3">
        <v>4049256.17</v>
      </c>
      <c r="I20" s="3">
        <v>3010471.29</v>
      </c>
      <c r="J20" s="3">
        <v>6249782.5599999996</v>
      </c>
      <c r="K20" s="3">
        <v>2752606.72</v>
      </c>
    </row>
    <row r="21" spans="1:11" x14ac:dyDescent="0.3">
      <c r="A21" s="61" t="s">
        <v>4</v>
      </c>
      <c r="B21" s="34">
        <f t="shared" ref="B21:G21" si="9">B7-B13-B19-B20</f>
        <v>2547229.7099999967</v>
      </c>
      <c r="C21" s="34">
        <f t="shared" si="9"/>
        <v>2144032.4399999939</v>
      </c>
      <c r="D21" s="34">
        <f t="shared" si="9"/>
        <v>3942035.4299999867</v>
      </c>
      <c r="E21" s="34">
        <f t="shared" si="9"/>
        <v>2996679.8899999876</v>
      </c>
      <c r="F21" s="34">
        <f t="shared" si="9"/>
        <v>2225662.4799999814</v>
      </c>
      <c r="G21" s="34">
        <f t="shared" si="9"/>
        <v>3846939.9799999939</v>
      </c>
      <c r="H21" s="34">
        <f t="shared" ref="H21:K21" si="10">H7-H13-H19-H20</f>
        <v>4719143.6600000169</v>
      </c>
      <c r="I21" s="34">
        <f t="shared" ref="I21:J21" si="11">I7-I13-I19-I20</f>
        <v>4319516.559999981</v>
      </c>
      <c r="J21" s="34">
        <f t="shared" si="11"/>
        <v>9928822.0100000091</v>
      </c>
      <c r="K21" s="34">
        <f t="shared" si="10"/>
        <v>9209729.780000018</v>
      </c>
    </row>
    <row r="22" spans="1:11" x14ac:dyDescent="0.3">
      <c r="A22" s="94" t="s">
        <v>356</v>
      </c>
      <c r="B22" s="95"/>
      <c r="C22" s="1"/>
      <c r="D22" s="1">
        <v>-5106020.62</v>
      </c>
      <c r="E22" s="1">
        <v>-3419868.57</v>
      </c>
      <c r="F22" s="1">
        <v>-1398983.55</v>
      </c>
      <c r="G22" s="1">
        <v>-4292975.1900000004</v>
      </c>
      <c r="H22" s="95">
        <v>-9898581.4100000001</v>
      </c>
      <c r="I22" s="95">
        <v>-6037973.2400000002</v>
      </c>
      <c r="J22" s="95">
        <v>-7224538.5099999998</v>
      </c>
      <c r="K22" s="95">
        <v>-7689377.0999999996</v>
      </c>
    </row>
    <row r="23" spans="1:11" x14ac:dyDescent="0.3">
      <c r="A23" s="94" t="s">
        <v>357</v>
      </c>
      <c r="B23" s="96">
        <f t="shared" ref="B23:G23" si="12">B8/B3*100</f>
        <v>25.789406575822692</v>
      </c>
      <c r="C23" s="98">
        <f t="shared" si="12"/>
        <v>32.141149858143194</v>
      </c>
      <c r="D23" s="98">
        <f t="shared" si="12"/>
        <v>39.907538422015037</v>
      </c>
      <c r="E23" s="98">
        <f t="shared" si="12"/>
        <v>52.240262956727726</v>
      </c>
      <c r="F23" s="98">
        <f t="shared" si="12"/>
        <v>53.647454398052119</v>
      </c>
      <c r="G23" s="98">
        <f t="shared" si="12"/>
        <v>56.124611958229309</v>
      </c>
      <c r="H23" s="132">
        <f t="shared" ref="H23:K23" si="13">H8/H3*100</f>
        <v>48.795155860822284</v>
      </c>
      <c r="I23" s="132">
        <f t="shared" ref="I23:J23" si="14">I8/I3*100</f>
        <v>45.387042376371468</v>
      </c>
      <c r="J23" s="132">
        <f t="shared" si="14"/>
        <v>45.024764945157735</v>
      </c>
      <c r="K23" s="132">
        <f t="shared" si="13"/>
        <v>40.169352898789754</v>
      </c>
    </row>
  </sheetData>
  <conditionalFormatting sqref="D21:G21 K21">
    <cfRule type="cellIs" dxfId="115" priority="24" operator="greaterThan">
      <formula>0</formula>
    </cfRule>
  </conditionalFormatting>
  <conditionalFormatting sqref="D21:G21 K21">
    <cfRule type="cellIs" dxfId="114" priority="21" operator="greaterThan">
      <formula>0</formula>
    </cfRule>
    <cfRule type="cellIs" dxfId="113" priority="22" operator="lessThan">
      <formula>0</formula>
    </cfRule>
  </conditionalFormatting>
  <conditionalFormatting sqref="C21">
    <cfRule type="cellIs" dxfId="112" priority="15" operator="greaterThan">
      <formula>0</formula>
    </cfRule>
  </conditionalFormatting>
  <conditionalFormatting sqref="C21">
    <cfRule type="cellIs" dxfId="111" priority="13" operator="greaterThan">
      <formula>0</formula>
    </cfRule>
    <cfRule type="cellIs" dxfId="110" priority="14" operator="lessThan">
      <formula>0</formula>
    </cfRule>
  </conditionalFormatting>
  <conditionalFormatting sqref="B21">
    <cfRule type="cellIs" dxfId="109" priority="12" operator="greaterThan">
      <formula>0</formula>
    </cfRule>
  </conditionalFormatting>
  <conditionalFormatting sqref="B21">
    <cfRule type="cellIs" dxfId="108" priority="10" operator="greaterThan">
      <formula>0</formula>
    </cfRule>
    <cfRule type="cellIs" dxfId="107" priority="11" operator="lessThan">
      <formula>0</formula>
    </cfRule>
  </conditionalFormatting>
  <conditionalFormatting sqref="H21">
    <cfRule type="cellIs" dxfId="106" priority="9" operator="greaterThan">
      <formula>0</formula>
    </cfRule>
  </conditionalFormatting>
  <conditionalFormatting sqref="H21">
    <cfRule type="cellIs" dxfId="105" priority="7" operator="greaterThan">
      <formula>0</formula>
    </cfRule>
    <cfRule type="cellIs" dxfId="104" priority="8" operator="lessThan">
      <formula>0</formula>
    </cfRule>
  </conditionalFormatting>
  <conditionalFormatting sqref="I21">
    <cfRule type="cellIs" dxfId="103" priority="6" operator="greaterThan">
      <formula>0</formula>
    </cfRule>
  </conditionalFormatting>
  <conditionalFormatting sqref="I21">
    <cfRule type="cellIs" dxfId="102" priority="4" operator="greaterThan">
      <formula>0</formula>
    </cfRule>
    <cfRule type="cellIs" dxfId="101" priority="5" operator="lessThan">
      <formula>0</formula>
    </cfRule>
  </conditionalFormatting>
  <conditionalFormatting sqref="J21">
    <cfRule type="cellIs" dxfId="100" priority="3" operator="greaterThan">
      <formula>0</formula>
    </cfRule>
  </conditionalFormatting>
  <conditionalFormatting sqref="J21">
    <cfRule type="cellIs" dxfId="99" priority="1" operator="greaterThan">
      <formula>0</formula>
    </cfRule>
    <cfRule type="cellIs" dxfId="98" priority="2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workbookViewId="0">
      <pane xSplit="2" ySplit="1" topLeftCell="G2" activePane="bottomRight" state="frozen"/>
      <selection pane="topRight" activeCell="C1" sqref="C1"/>
      <selection pane="bottomLeft" activeCell="A2" sqref="A2"/>
      <selection pane="bottomRight" activeCell="L2" sqref="L2:L29"/>
    </sheetView>
  </sheetViews>
  <sheetFormatPr defaultRowHeight="14.4" x14ac:dyDescent="0.3"/>
  <cols>
    <col min="1" max="1" width="65.33203125" bestFit="1" customWidth="1"/>
    <col min="2" max="2" width="10.88671875" customWidth="1"/>
    <col min="3" max="8" width="11.109375" bestFit="1" customWidth="1"/>
    <col min="9" max="12" width="11.109375" style="130" bestFit="1" customWidth="1"/>
    <col min="13" max="13" width="10.88671875" style="130" bestFit="1" customWidth="1"/>
  </cols>
  <sheetData>
    <row r="1" spans="1:13" x14ac:dyDescent="0.3">
      <c r="C1" s="92">
        <v>2014</v>
      </c>
      <c r="D1" s="92">
        <v>2015</v>
      </c>
      <c r="E1" s="92">
        <v>2016</v>
      </c>
      <c r="F1" s="12">
        <v>2017</v>
      </c>
      <c r="G1" s="12">
        <v>2018</v>
      </c>
      <c r="H1" s="12">
        <v>2019</v>
      </c>
      <c r="I1" s="141">
        <v>2020</v>
      </c>
      <c r="J1" s="141">
        <v>2021</v>
      </c>
      <c r="K1" s="141">
        <v>2022</v>
      </c>
      <c r="L1" s="141">
        <v>2023</v>
      </c>
      <c r="M1" s="141" t="s">
        <v>266</v>
      </c>
    </row>
    <row r="2" spans="1:13" x14ac:dyDescent="0.3">
      <c r="A2" t="s">
        <v>236</v>
      </c>
      <c r="B2" s="23" t="s">
        <v>260</v>
      </c>
      <c r="C2" s="84">
        <v>104881179.34999999</v>
      </c>
      <c r="D2" s="84">
        <v>103613729.72</v>
      </c>
      <c r="E2" s="1">
        <v>98521797.790000007</v>
      </c>
      <c r="F2" s="1">
        <v>98195927.569999993</v>
      </c>
      <c r="G2" s="1">
        <v>103505333.09</v>
      </c>
      <c r="H2" s="1">
        <v>106268981.88</v>
      </c>
      <c r="I2" s="95">
        <v>101966357.17</v>
      </c>
      <c r="J2" s="95">
        <v>103555873.42</v>
      </c>
      <c r="K2" s="95">
        <v>69330917.870000005</v>
      </c>
      <c r="L2" s="95">
        <v>69299235.689999998</v>
      </c>
      <c r="M2" s="95">
        <f>L2-K2</f>
        <v>-31682.180000007153</v>
      </c>
    </row>
    <row r="3" spans="1:13" x14ac:dyDescent="0.3">
      <c r="A3" t="s">
        <v>237</v>
      </c>
      <c r="B3" s="23" t="s">
        <v>260</v>
      </c>
      <c r="C3" s="84">
        <v>31471549.16</v>
      </c>
      <c r="D3" s="84">
        <v>21403890.850000001</v>
      </c>
      <c r="E3" s="1">
        <v>29233858.719999999</v>
      </c>
      <c r="F3" s="1">
        <v>29285015.93</v>
      </c>
      <c r="G3" s="1">
        <v>28528565.789999999</v>
      </c>
      <c r="H3" s="1">
        <v>28527861.289999999</v>
      </c>
      <c r="I3" s="95">
        <v>28616017.359999999</v>
      </c>
      <c r="J3" s="95">
        <v>29674157.170000002</v>
      </c>
      <c r="K3" s="95">
        <v>29683709.329999998</v>
      </c>
      <c r="L3" s="95">
        <v>29614582.449999999</v>
      </c>
      <c r="M3" s="95">
        <f t="shared" ref="M3:M29" si="0">L3-K3</f>
        <v>-69126.879999998957</v>
      </c>
    </row>
    <row r="4" spans="1:13" x14ac:dyDescent="0.3">
      <c r="A4" t="s">
        <v>238</v>
      </c>
      <c r="B4" s="23" t="s">
        <v>260</v>
      </c>
      <c r="C4" s="84">
        <f>10040715.15+11499911.22</f>
        <v>21540626.370000001</v>
      </c>
      <c r="D4" s="84">
        <v>19503642.98</v>
      </c>
      <c r="E4" s="1">
        <v>17468301.030000001</v>
      </c>
      <c r="F4" s="1">
        <v>18406495.690000001</v>
      </c>
      <c r="G4" s="1">
        <v>21331016.510000002</v>
      </c>
      <c r="H4" s="1">
        <v>23099225.23</v>
      </c>
      <c r="I4" s="95">
        <v>38717990.270000003</v>
      </c>
      <c r="J4" s="95">
        <v>36009225.140000001</v>
      </c>
      <c r="K4" s="95">
        <v>35595043.130000003</v>
      </c>
      <c r="L4" s="95">
        <v>37665178.560000002</v>
      </c>
      <c r="M4" s="95">
        <f t="shared" si="0"/>
        <v>2070135.4299999997</v>
      </c>
    </row>
    <row r="5" spans="1:13" x14ac:dyDescent="0.3">
      <c r="A5" t="s">
        <v>239</v>
      </c>
      <c r="B5" s="23" t="s">
        <v>260</v>
      </c>
      <c r="C5" s="84">
        <f>6618401.52+120531.41+4295504.96</f>
        <v>11034437.890000001</v>
      </c>
      <c r="D5" s="84">
        <v>10842806.51</v>
      </c>
      <c r="E5" s="1">
        <v>11467556.85</v>
      </c>
      <c r="F5" s="1">
        <v>12748747.699999999</v>
      </c>
      <c r="G5" s="1">
        <v>13154441.25</v>
      </c>
      <c r="H5" s="1">
        <v>12960734.16</v>
      </c>
      <c r="I5" s="95">
        <v>10741437.85</v>
      </c>
      <c r="J5" s="95">
        <v>15274661.27</v>
      </c>
      <c r="K5" s="95">
        <v>16477101.23</v>
      </c>
      <c r="L5" s="95">
        <v>18757835.440000001</v>
      </c>
      <c r="M5" s="95">
        <f t="shared" si="0"/>
        <v>2280734.2100000009</v>
      </c>
    </row>
    <row r="6" spans="1:13" x14ac:dyDescent="0.3">
      <c r="A6" t="s">
        <v>240</v>
      </c>
      <c r="B6" s="23" t="s">
        <v>260</v>
      </c>
      <c r="C6" s="84">
        <v>0</v>
      </c>
      <c r="D6" s="84">
        <v>0</v>
      </c>
      <c r="E6" s="84">
        <v>0</v>
      </c>
      <c r="F6" s="84">
        <v>0</v>
      </c>
      <c r="G6" s="84">
        <v>0</v>
      </c>
      <c r="H6" s="84">
        <v>0</v>
      </c>
      <c r="I6" s="84">
        <v>0</v>
      </c>
      <c r="J6" s="84">
        <v>0</v>
      </c>
      <c r="K6" s="84">
        <v>0</v>
      </c>
      <c r="L6" s="95">
        <v>0</v>
      </c>
      <c r="M6" s="95">
        <f t="shared" si="0"/>
        <v>0</v>
      </c>
    </row>
    <row r="7" spans="1:13" x14ac:dyDescent="0.3">
      <c r="A7" t="s">
        <v>241</v>
      </c>
      <c r="B7" s="23" t="s">
        <v>260</v>
      </c>
      <c r="C7" s="84">
        <v>0</v>
      </c>
      <c r="D7" s="84">
        <v>0</v>
      </c>
      <c r="E7" s="84">
        <v>0</v>
      </c>
      <c r="F7" s="84">
        <v>0</v>
      </c>
      <c r="G7" s="84">
        <v>0</v>
      </c>
      <c r="H7" s="84">
        <v>0</v>
      </c>
      <c r="I7" s="84">
        <v>0</v>
      </c>
      <c r="J7" s="84">
        <v>0</v>
      </c>
      <c r="K7" s="84">
        <v>0</v>
      </c>
      <c r="L7" s="95">
        <v>0</v>
      </c>
      <c r="M7" s="95">
        <f t="shared" si="0"/>
        <v>0</v>
      </c>
    </row>
    <row r="8" spans="1:13" x14ac:dyDescent="0.3">
      <c r="A8" t="s">
        <v>242</v>
      </c>
      <c r="B8" s="23" t="s">
        <v>260</v>
      </c>
      <c r="C8" s="84">
        <v>0</v>
      </c>
      <c r="D8" s="84">
        <v>0</v>
      </c>
      <c r="E8" s="84">
        <v>0</v>
      </c>
      <c r="F8" s="84">
        <v>0</v>
      </c>
      <c r="G8" s="84">
        <v>0</v>
      </c>
      <c r="H8" s="84">
        <v>0</v>
      </c>
      <c r="I8" s="84">
        <v>0</v>
      </c>
      <c r="J8" s="84">
        <v>0</v>
      </c>
      <c r="K8" s="84">
        <v>0</v>
      </c>
      <c r="L8" s="95">
        <v>0</v>
      </c>
      <c r="M8" s="95">
        <f t="shared" si="0"/>
        <v>0</v>
      </c>
    </row>
    <row r="9" spans="1:13" x14ac:dyDescent="0.3">
      <c r="A9" s="29" t="s">
        <v>243</v>
      </c>
      <c r="B9" s="30" t="s">
        <v>260</v>
      </c>
      <c r="C9" s="85">
        <v>9287039.7799999993</v>
      </c>
      <c r="D9" s="85">
        <v>10771935.41</v>
      </c>
      <c r="E9" s="31">
        <v>11464315.66</v>
      </c>
      <c r="F9" s="31">
        <v>11499002.27</v>
      </c>
      <c r="G9" s="31">
        <v>10020572.74</v>
      </c>
      <c r="H9" s="31">
        <v>14607407.15</v>
      </c>
      <c r="I9" s="31">
        <v>21088775.469999999</v>
      </c>
      <c r="J9" s="31">
        <v>22297760.670000002</v>
      </c>
      <c r="K9" s="31">
        <v>22001200.079999998</v>
      </c>
      <c r="L9" s="95">
        <v>27805608.469999999</v>
      </c>
      <c r="M9" s="95">
        <f t="shared" si="0"/>
        <v>5804408.3900000006</v>
      </c>
    </row>
    <row r="10" spans="1:13" x14ac:dyDescent="0.3">
      <c r="A10" s="32" t="s">
        <v>264</v>
      </c>
      <c r="B10" s="33" t="s">
        <v>260</v>
      </c>
      <c r="C10" s="83">
        <f t="shared" ref="C10:H10" si="1">SUM(C2:C9)</f>
        <v>178214832.54999998</v>
      </c>
      <c r="D10" s="83">
        <f t="shared" si="1"/>
        <v>166136005.46999997</v>
      </c>
      <c r="E10" s="83">
        <f t="shared" si="1"/>
        <v>168155830.05000001</v>
      </c>
      <c r="F10" s="83">
        <f t="shared" si="1"/>
        <v>170135189.16</v>
      </c>
      <c r="G10" s="83">
        <f t="shared" si="1"/>
        <v>176539929.38</v>
      </c>
      <c r="H10" s="83">
        <f t="shared" si="1"/>
        <v>185464209.70999998</v>
      </c>
      <c r="I10" s="83">
        <f t="shared" ref="I10:L10" si="2">SUM(I2:I9)</f>
        <v>201130578.12</v>
      </c>
      <c r="J10" s="83">
        <f t="shared" ref="J10:K10" si="3">SUM(J2:J9)</f>
        <v>206811677.67000002</v>
      </c>
      <c r="K10" s="83">
        <f t="shared" si="3"/>
        <v>173087971.63999999</v>
      </c>
      <c r="L10" s="83">
        <f t="shared" si="2"/>
        <v>183142440.60999998</v>
      </c>
      <c r="M10" s="11">
        <f t="shared" si="0"/>
        <v>10054468.969999999</v>
      </c>
    </row>
    <row r="11" spans="1:13" x14ac:dyDescent="0.3">
      <c r="A11" t="s">
        <v>244</v>
      </c>
      <c r="B11" s="23" t="s">
        <v>261</v>
      </c>
      <c r="C11" s="84">
        <v>1169496.43</v>
      </c>
      <c r="D11" s="84">
        <v>1097823.18</v>
      </c>
      <c r="E11" s="1">
        <v>1171866.54</v>
      </c>
      <c r="F11" s="1">
        <v>1103967.71</v>
      </c>
      <c r="G11" s="1">
        <v>1189574.19</v>
      </c>
      <c r="H11" s="1">
        <v>1074842.51</v>
      </c>
      <c r="I11" s="95">
        <v>1466273.67</v>
      </c>
      <c r="J11" s="95">
        <v>1059182.03</v>
      </c>
      <c r="K11" s="95">
        <v>1044573.87</v>
      </c>
      <c r="L11" s="95">
        <v>1248149.17</v>
      </c>
      <c r="M11" s="95">
        <f t="shared" si="0"/>
        <v>203575.29999999993</v>
      </c>
    </row>
    <row r="12" spans="1:13" x14ac:dyDescent="0.3">
      <c r="A12" t="s">
        <v>245</v>
      </c>
      <c r="B12" s="23" t="s">
        <v>261</v>
      </c>
      <c r="C12" s="84">
        <v>69524847.480000004</v>
      </c>
      <c r="D12" s="84">
        <v>68247454.810000002</v>
      </c>
      <c r="E12" s="1">
        <v>69044825.150000006</v>
      </c>
      <c r="F12" s="1">
        <v>70199423.430000007</v>
      </c>
      <c r="G12" s="1">
        <v>75410571.829999998</v>
      </c>
      <c r="H12" s="1">
        <v>77499708.760000005</v>
      </c>
      <c r="I12" s="95">
        <v>77440478.650000006</v>
      </c>
      <c r="J12" s="95">
        <v>88377567.260000005</v>
      </c>
      <c r="K12" s="95">
        <v>60475766.140000001</v>
      </c>
      <c r="L12" s="95">
        <v>60239745.869999997</v>
      </c>
      <c r="M12" s="95">
        <f t="shared" si="0"/>
        <v>-236020.27000000328</v>
      </c>
    </row>
    <row r="13" spans="1:13" x14ac:dyDescent="0.3">
      <c r="A13" t="s">
        <v>246</v>
      </c>
      <c r="B13" s="23" t="s">
        <v>261</v>
      </c>
      <c r="C13" s="84">
        <v>2280895.09</v>
      </c>
      <c r="D13" s="84">
        <v>2229977.9</v>
      </c>
      <c r="E13" s="1">
        <v>2192425.77</v>
      </c>
      <c r="F13" s="1">
        <v>2239412.5299999998</v>
      </c>
      <c r="G13" s="1">
        <v>2204204.56</v>
      </c>
      <c r="H13" s="1">
        <v>2276192.83</v>
      </c>
      <c r="I13" s="95">
        <v>2439001.0699999998</v>
      </c>
      <c r="J13" s="95">
        <v>2705208.36</v>
      </c>
      <c r="K13" s="95">
        <v>2678170.5699999998</v>
      </c>
      <c r="L13" s="95">
        <v>2477429.5299999998</v>
      </c>
      <c r="M13" s="95">
        <f t="shared" si="0"/>
        <v>-200741.04000000004</v>
      </c>
    </row>
    <row r="14" spans="1:13" x14ac:dyDescent="0.3">
      <c r="A14" t="s">
        <v>247</v>
      </c>
      <c r="B14" s="23" t="s">
        <v>261</v>
      </c>
      <c r="C14" s="84">
        <f>33339210.92+2554392.77</f>
        <v>35893603.690000005</v>
      </c>
      <c r="D14" s="84">
        <v>35363594.609999999</v>
      </c>
      <c r="E14" s="1">
        <v>34822879.219999999</v>
      </c>
      <c r="F14" s="1">
        <v>35284085.43</v>
      </c>
      <c r="G14" s="1">
        <v>39080028.920000002</v>
      </c>
      <c r="H14" s="1">
        <v>37765949.590000004</v>
      </c>
      <c r="I14" s="95">
        <v>45435202.340000004</v>
      </c>
      <c r="J14" s="95">
        <v>47764832.310000002</v>
      </c>
      <c r="K14" s="95">
        <v>51837756.899999999</v>
      </c>
      <c r="L14" s="95">
        <v>52709646</v>
      </c>
      <c r="M14" s="95">
        <f t="shared" si="0"/>
        <v>871889.10000000149</v>
      </c>
    </row>
    <row r="15" spans="1:13" x14ac:dyDescent="0.3">
      <c r="A15" t="s">
        <v>248</v>
      </c>
      <c r="B15" s="23" t="s">
        <v>261</v>
      </c>
      <c r="C15" s="84">
        <v>35507159.350000001</v>
      </c>
      <c r="D15" s="84">
        <v>34859477.869999997</v>
      </c>
      <c r="E15" s="1">
        <v>35038693.689999998</v>
      </c>
      <c r="F15" s="1">
        <v>34729187.670000002</v>
      </c>
      <c r="G15" s="1">
        <v>35434104.020000003</v>
      </c>
      <c r="H15" s="1">
        <v>36743053</v>
      </c>
      <c r="I15" s="95">
        <v>35441321.240000002</v>
      </c>
      <c r="J15" s="95">
        <v>35261698.960000001</v>
      </c>
      <c r="K15" s="95">
        <v>37069948.799999997</v>
      </c>
      <c r="L15" s="95">
        <v>37337523.509999998</v>
      </c>
      <c r="M15" s="95">
        <f t="shared" si="0"/>
        <v>267574.71000000089</v>
      </c>
    </row>
    <row r="16" spans="1:13" x14ac:dyDescent="0.3">
      <c r="A16" t="s">
        <v>249</v>
      </c>
      <c r="B16" s="23" t="s">
        <v>261</v>
      </c>
      <c r="C16" s="84">
        <f>3163832.52+23077458.25+6822581.46</f>
        <v>33063872.23</v>
      </c>
      <c r="D16" s="84">
        <v>28921579.57</v>
      </c>
      <c r="E16" s="1">
        <v>19028983.039999999</v>
      </c>
      <c r="F16" s="1">
        <v>30487939.109999999</v>
      </c>
      <c r="G16" s="1">
        <v>31011496.77</v>
      </c>
      <c r="H16" s="1">
        <v>35583173.25</v>
      </c>
      <c r="I16" s="95">
        <v>37637445.829999998</v>
      </c>
      <c r="J16" s="95">
        <v>43803724.159999996</v>
      </c>
      <c r="K16" s="95">
        <v>29265322.289999999</v>
      </c>
      <c r="L16" s="95">
        <v>33770898.130000003</v>
      </c>
      <c r="M16" s="95">
        <f t="shared" si="0"/>
        <v>4505575.8400000036</v>
      </c>
    </row>
    <row r="17" spans="1:13" x14ac:dyDescent="0.3">
      <c r="A17" t="s">
        <v>250</v>
      </c>
      <c r="B17" s="23" t="s">
        <v>261</v>
      </c>
      <c r="C17" s="84">
        <v>27217.39</v>
      </c>
      <c r="D17" s="84">
        <v>-177479.4</v>
      </c>
      <c r="E17" s="1">
        <v>67454.210000000006</v>
      </c>
      <c r="F17" s="1">
        <v>-44345.440000000002</v>
      </c>
      <c r="G17" s="1">
        <v>-3976.8</v>
      </c>
      <c r="H17" s="1">
        <v>-141510.63</v>
      </c>
      <c r="I17" s="95">
        <v>-165691.35</v>
      </c>
      <c r="J17" s="95">
        <v>302280.28000000003</v>
      </c>
      <c r="K17" s="95">
        <v>42484.4</v>
      </c>
      <c r="L17" s="95">
        <v>141014.48000000001</v>
      </c>
      <c r="M17" s="95">
        <f t="shared" si="0"/>
        <v>98530.080000000016</v>
      </c>
    </row>
    <row r="18" spans="1:13" x14ac:dyDescent="0.3">
      <c r="A18" t="s">
        <v>251</v>
      </c>
      <c r="B18" s="23" t="s">
        <v>261</v>
      </c>
      <c r="C18" s="84">
        <v>200000</v>
      </c>
      <c r="D18" s="84">
        <v>1000000</v>
      </c>
      <c r="E18" s="1">
        <v>699000</v>
      </c>
      <c r="F18" s="1">
        <v>880000</v>
      </c>
      <c r="G18" s="1">
        <v>2116244.2599999998</v>
      </c>
      <c r="H18" s="1">
        <v>1185584.43</v>
      </c>
      <c r="I18" s="95">
        <v>7030047.1600000001</v>
      </c>
      <c r="J18" s="95">
        <v>427890</v>
      </c>
      <c r="K18" s="95">
        <v>200000</v>
      </c>
      <c r="L18" s="95">
        <v>0</v>
      </c>
      <c r="M18" s="95">
        <f t="shared" si="0"/>
        <v>-200000</v>
      </c>
    </row>
    <row r="19" spans="1:13" x14ac:dyDescent="0.3">
      <c r="A19" t="s">
        <v>14</v>
      </c>
      <c r="B19" s="23" t="s">
        <v>261</v>
      </c>
      <c r="C19" s="84">
        <v>700000</v>
      </c>
      <c r="D19" s="84">
        <v>177800</v>
      </c>
      <c r="E19" s="1">
        <v>8599979.2200000007</v>
      </c>
      <c r="F19" s="1">
        <v>1548600</v>
      </c>
      <c r="G19" s="1">
        <v>144600</v>
      </c>
      <c r="H19" s="1">
        <v>203754.54</v>
      </c>
      <c r="I19" s="95">
        <v>428116.64</v>
      </c>
      <c r="J19" s="95">
        <v>4053898.73</v>
      </c>
      <c r="K19" s="95">
        <v>6851069.71</v>
      </c>
      <c r="L19" s="95">
        <v>2146441.62</v>
      </c>
      <c r="M19" s="95">
        <f t="shared" si="0"/>
        <v>-4704628.09</v>
      </c>
    </row>
    <row r="20" spans="1:13" x14ac:dyDescent="0.3">
      <c r="A20" s="29" t="s">
        <v>252</v>
      </c>
      <c r="B20" s="30" t="s">
        <v>261</v>
      </c>
      <c r="C20" s="85">
        <v>3482900.68</v>
      </c>
      <c r="D20" s="85">
        <v>2865695.83</v>
      </c>
      <c r="E20" s="31">
        <v>2818881.29</v>
      </c>
      <c r="F20" s="31">
        <v>1990044.55</v>
      </c>
      <c r="G20" s="31">
        <v>1637913.01</v>
      </c>
      <c r="H20" s="31">
        <v>2635077.6</v>
      </c>
      <c r="I20" s="31">
        <v>2252577.5099999998</v>
      </c>
      <c r="J20" s="31">
        <v>2283993.0099999998</v>
      </c>
      <c r="K20" s="31">
        <v>2174502.0099999998</v>
      </c>
      <c r="L20" s="95">
        <v>2820016.74</v>
      </c>
      <c r="M20" s="95">
        <f t="shared" si="0"/>
        <v>645514.73000000045</v>
      </c>
    </row>
    <row r="21" spans="1:13" x14ac:dyDescent="0.3">
      <c r="A21" s="32" t="s">
        <v>265</v>
      </c>
      <c r="B21" s="33" t="s">
        <v>261</v>
      </c>
      <c r="C21" s="83">
        <f t="shared" ref="C21:H21" si="4">SUM(C11:C20)</f>
        <v>181849992.34</v>
      </c>
      <c r="D21" s="83">
        <f t="shared" si="4"/>
        <v>174585924.37</v>
      </c>
      <c r="E21" s="83">
        <f t="shared" si="4"/>
        <v>173484988.13</v>
      </c>
      <c r="F21" s="83">
        <f t="shared" si="4"/>
        <v>178418314.99000001</v>
      </c>
      <c r="G21" s="83">
        <f t="shared" si="4"/>
        <v>188224760.75999999</v>
      </c>
      <c r="H21" s="83">
        <f t="shared" si="4"/>
        <v>194825825.88</v>
      </c>
      <c r="I21" s="83">
        <f t="shared" ref="I21:L21" si="5">SUM(I11:I20)</f>
        <v>209404772.75999999</v>
      </c>
      <c r="J21" s="83">
        <f t="shared" ref="J21:K21" si="6">SUM(J11:J20)</f>
        <v>226040275.09999999</v>
      </c>
      <c r="K21" s="83">
        <f t="shared" si="6"/>
        <v>191639594.68999997</v>
      </c>
      <c r="L21" s="83">
        <f t="shared" si="5"/>
        <v>192890865.04999998</v>
      </c>
      <c r="M21" s="11">
        <f t="shared" si="0"/>
        <v>1251270.3600000143</v>
      </c>
    </row>
    <row r="22" spans="1:13" x14ac:dyDescent="0.3">
      <c r="A22" t="s">
        <v>253</v>
      </c>
      <c r="B22" s="23" t="s">
        <v>260</v>
      </c>
      <c r="C22" s="84">
        <v>6246086.3600000003</v>
      </c>
      <c r="D22" s="84">
        <v>6574858.8899999997</v>
      </c>
      <c r="E22" s="1">
        <v>6239348.0499999998</v>
      </c>
      <c r="F22" s="1">
        <v>5716764.1900000004</v>
      </c>
      <c r="G22" s="1">
        <v>6281181.96</v>
      </c>
      <c r="H22" s="1">
        <v>7118459</v>
      </c>
      <c r="I22" s="95">
        <v>8227158.9500000002</v>
      </c>
      <c r="J22" s="95">
        <v>8491391.1600000001</v>
      </c>
      <c r="K22" s="95">
        <v>9328775.2200000007</v>
      </c>
      <c r="L22" s="95">
        <v>10090468.24</v>
      </c>
      <c r="M22" s="95">
        <f t="shared" si="0"/>
        <v>761693.01999999955</v>
      </c>
    </row>
    <row r="23" spans="1:13" x14ac:dyDescent="0.3">
      <c r="A23" t="s">
        <v>254</v>
      </c>
      <c r="B23" s="23" t="s">
        <v>261</v>
      </c>
      <c r="C23" s="84">
        <v>2830672.8</v>
      </c>
      <c r="D23" s="84">
        <v>2490832.7799999998</v>
      </c>
      <c r="E23" s="1">
        <v>2272230.71</v>
      </c>
      <c r="F23" s="1">
        <v>2965012.11</v>
      </c>
      <c r="G23" s="1">
        <v>1762655.42</v>
      </c>
      <c r="H23" s="1">
        <v>1588213.59</v>
      </c>
      <c r="I23" s="95">
        <v>1666090.64</v>
      </c>
      <c r="J23" s="95">
        <v>1619120.03</v>
      </c>
      <c r="K23" s="95">
        <v>1649448.25</v>
      </c>
      <c r="L23" s="95">
        <v>1864430.92</v>
      </c>
      <c r="M23" s="95">
        <f t="shared" si="0"/>
        <v>214982.66999999993</v>
      </c>
    </row>
    <row r="24" spans="1:13" x14ac:dyDescent="0.3">
      <c r="A24" t="s">
        <v>255</v>
      </c>
      <c r="B24" s="23" t="s">
        <v>260</v>
      </c>
      <c r="C24" s="84">
        <v>0</v>
      </c>
      <c r="D24" s="84">
        <v>0</v>
      </c>
      <c r="E24" s="1">
        <v>0</v>
      </c>
      <c r="F24" s="1">
        <v>-4347870.7300000004</v>
      </c>
      <c r="G24" s="1">
        <v>0</v>
      </c>
      <c r="H24" s="1">
        <v>0</v>
      </c>
      <c r="I24" s="95">
        <v>0</v>
      </c>
      <c r="J24" s="95">
        <v>0</v>
      </c>
      <c r="K24" s="95">
        <v>0</v>
      </c>
      <c r="L24" s="95">
        <v>0</v>
      </c>
      <c r="M24" s="95">
        <f t="shared" si="0"/>
        <v>0</v>
      </c>
    </row>
    <row r="25" spans="1:13" x14ac:dyDescent="0.3">
      <c r="A25" t="s">
        <v>256</v>
      </c>
      <c r="B25" s="23" t="s">
        <v>260</v>
      </c>
      <c r="C25" s="84">
        <v>9775051.0299999993</v>
      </c>
      <c r="D25" s="84">
        <v>12155600.779999999</v>
      </c>
      <c r="E25" s="1">
        <v>9812531.5600000005</v>
      </c>
      <c r="F25" s="1">
        <v>17904507.629999999</v>
      </c>
      <c r="G25" s="1">
        <v>22039726.760000002</v>
      </c>
      <c r="H25" s="1">
        <v>16088945.83</v>
      </c>
      <c r="I25" s="95">
        <v>6968654.3700000001</v>
      </c>
      <c r="J25" s="95">
        <v>20162310.25</v>
      </c>
      <c r="K25" s="95">
        <v>17214874.629999999</v>
      </c>
      <c r="L25" s="95">
        <v>6469696.9500000002</v>
      </c>
      <c r="M25" s="95">
        <f t="shared" si="0"/>
        <v>-10745177.68</v>
      </c>
    </row>
    <row r="26" spans="1:13" x14ac:dyDescent="0.3">
      <c r="A26" t="s">
        <v>257</v>
      </c>
      <c r="B26" s="23" t="s">
        <v>261</v>
      </c>
      <c r="C26" s="84">
        <v>6966975.2800000003</v>
      </c>
      <c r="D26" s="84">
        <v>5253028.6900000004</v>
      </c>
      <c r="E26" s="1">
        <v>4263281.28</v>
      </c>
      <c r="F26" s="1">
        <v>4625139.6399999997</v>
      </c>
      <c r="G26" s="1">
        <v>11441349.369999999</v>
      </c>
      <c r="H26" s="1">
        <v>9417383.8900000006</v>
      </c>
      <c r="I26" s="95">
        <v>4580563.5</v>
      </c>
      <c r="J26" s="95">
        <v>3072179.76</v>
      </c>
      <c r="K26" s="95">
        <v>1934008.61</v>
      </c>
      <c r="L26" s="95">
        <v>2338137.7799999998</v>
      </c>
      <c r="M26" s="95">
        <f t="shared" si="0"/>
        <v>404129.16999999969</v>
      </c>
    </row>
    <row r="27" spans="1:13" x14ac:dyDescent="0.3">
      <c r="A27" t="s">
        <v>258</v>
      </c>
      <c r="B27" s="23" t="s">
        <v>261</v>
      </c>
      <c r="C27" s="84">
        <v>2303557.71</v>
      </c>
      <c r="D27" s="84">
        <v>2238615.5099999998</v>
      </c>
      <c r="E27" s="1">
        <v>2183070.52</v>
      </c>
      <c r="F27" s="1">
        <v>2180652.2799999998</v>
      </c>
      <c r="G27" s="1">
        <v>2260787.37</v>
      </c>
      <c r="H27" s="1">
        <v>2284964.9900000002</v>
      </c>
      <c r="I27" s="95">
        <v>2224419.98</v>
      </c>
      <c r="J27" s="95">
        <v>2229423.98</v>
      </c>
      <c r="K27" s="95">
        <v>2360392.94</v>
      </c>
      <c r="L27" s="95">
        <v>2467693.9300000002</v>
      </c>
      <c r="M27" s="95">
        <f t="shared" si="0"/>
        <v>107300.99000000022</v>
      </c>
    </row>
    <row r="28" spans="1:13" x14ac:dyDescent="0.3">
      <c r="A28" s="10" t="s">
        <v>259</v>
      </c>
      <c r="B28" s="33" t="s">
        <v>262</v>
      </c>
      <c r="C28" s="86">
        <f>SUM(C2:C9)-SUM(C11:C20)+C22-C23+C24+C25-C26-C27</f>
        <v>284771.80999997817</v>
      </c>
      <c r="D28" s="86">
        <f>SUM(D2:D9)-SUM(D11:D20)+D22-D23+D24+D25-D26-D27</f>
        <v>298063.78999996278</v>
      </c>
      <c r="E28" s="34">
        <f t="shared" ref="E28:L28" si="7">E10-E21+E22-E23+E24+E25-E26-E27</f>
        <v>2004139.0200000168</v>
      </c>
      <c r="F28" s="34">
        <f t="shared" si="7"/>
        <v>1219471.229999986</v>
      </c>
      <c r="G28" s="34">
        <f t="shared" si="7"/>
        <v>1171285.1800000062</v>
      </c>
      <c r="H28" s="34">
        <f t="shared" si="7"/>
        <v>555226.18999998271</v>
      </c>
      <c r="I28" s="34">
        <f t="shared" si="7"/>
        <v>-1549455.439999985</v>
      </c>
      <c r="J28" s="34">
        <f t="shared" ref="J28:K28" si="8">J10-J21+J22-J23+J24+J25-J26-J27</f>
        <v>2504380.2100000237</v>
      </c>
      <c r="K28" s="34">
        <f t="shared" si="8"/>
        <v>2048177.0000000172</v>
      </c>
      <c r="L28" s="34">
        <f t="shared" si="7"/>
        <v>141478.12000000291</v>
      </c>
      <c r="M28" s="34">
        <f t="shared" si="0"/>
        <v>-1906698.8800000143</v>
      </c>
    </row>
    <row r="29" spans="1:13" x14ac:dyDescent="0.3">
      <c r="A29" s="63" t="s">
        <v>365</v>
      </c>
      <c r="B29" s="153"/>
      <c r="C29" s="154">
        <f>C10-SUM(C11:C15)+C17</f>
        <v>33866047.899999961</v>
      </c>
      <c r="D29" s="154">
        <f t="shared" ref="D29:L29" si="9">D10-SUM(D11:D15)+D17</f>
        <v>24160197.699999966</v>
      </c>
      <c r="E29" s="154">
        <f t="shared" si="9"/>
        <v>25952593.890000008</v>
      </c>
      <c r="F29" s="154">
        <f t="shared" si="9"/>
        <v>26534766.950000014</v>
      </c>
      <c r="G29" s="154">
        <f t="shared" si="9"/>
        <v>23217469.059999984</v>
      </c>
      <c r="H29" s="154">
        <f t="shared" si="9"/>
        <v>29962952.389999982</v>
      </c>
      <c r="I29" s="154">
        <f t="shared" si="9"/>
        <v>38742609.800000004</v>
      </c>
      <c r="J29" s="154">
        <f t="shared" si="9"/>
        <v>31945469.030000001</v>
      </c>
      <c r="K29" s="154">
        <f t="shared" ref="K29" si="10">K10-SUM(K11:K15)+K17</f>
        <v>20024239.760000013</v>
      </c>
      <c r="L29" s="154">
        <f t="shared" si="9"/>
        <v>29270961.010000002</v>
      </c>
      <c r="M29" s="154">
        <f t="shared" si="0"/>
        <v>9246721.2499999888</v>
      </c>
    </row>
  </sheetData>
  <conditionalFormatting sqref="C28:H28 L28:M28">
    <cfRule type="cellIs" dxfId="97" priority="21" operator="greaterThan">
      <formula>0</formula>
    </cfRule>
  </conditionalFormatting>
  <conditionalFormatting sqref="I28">
    <cfRule type="cellIs" dxfId="96" priority="11" operator="greaterThan">
      <formula>0</formula>
    </cfRule>
  </conditionalFormatting>
  <conditionalFormatting sqref="J28">
    <cfRule type="cellIs" dxfId="95" priority="10" operator="greaterThan">
      <formula>0</formula>
    </cfRule>
  </conditionalFormatting>
  <conditionalFormatting sqref="C29:J29 L29:M29">
    <cfRule type="cellIs" dxfId="94" priority="9" operator="greaterThan">
      <formula>0</formula>
    </cfRule>
  </conditionalFormatting>
  <conditionalFormatting sqref="C29:J29 L29:M29">
    <cfRule type="cellIs" dxfId="93" priority="8" operator="greaterThan">
      <formula>0</formula>
    </cfRule>
  </conditionalFormatting>
  <conditionalFormatting sqref="C29:J29 L29:M29">
    <cfRule type="cellIs" dxfId="92" priority="7" operator="greaterThan">
      <formula>0</formula>
    </cfRule>
  </conditionalFormatting>
  <conditionalFormatting sqref="C29:J29 L29:M29">
    <cfRule type="cellIs" dxfId="91" priority="6" operator="greaterThan">
      <formula>0</formula>
    </cfRule>
  </conditionalFormatting>
  <conditionalFormatting sqref="K28">
    <cfRule type="cellIs" dxfId="90" priority="5" operator="greaterThan">
      <formula>0</formula>
    </cfRule>
  </conditionalFormatting>
  <conditionalFormatting sqref="K29">
    <cfRule type="cellIs" dxfId="89" priority="4" operator="greaterThan">
      <formula>0</formula>
    </cfRule>
  </conditionalFormatting>
  <conditionalFormatting sqref="K29">
    <cfRule type="cellIs" dxfId="88" priority="3" operator="greaterThan">
      <formula>0</formula>
    </cfRule>
  </conditionalFormatting>
  <conditionalFormatting sqref="K29">
    <cfRule type="cellIs" dxfId="87" priority="2" operator="greaterThan">
      <formula>0</formula>
    </cfRule>
  </conditionalFormatting>
  <conditionalFormatting sqref="K29">
    <cfRule type="cellIs" dxfId="86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showGridLines="0" workbookViewId="0">
      <selection activeCell="C18" sqref="C18"/>
    </sheetView>
  </sheetViews>
  <sheetFormatPr defaultRowHeight="14.4" x14ac:dyDescent="0.3"/>
  <cols>
    <col min="1" max="1" width="44.6640625" customWidth="1"/>
    <col min="2" max="7" width="11.5546875" bestFit="1" customWidth="1"/>
    <col min="8" max="11" width="11.5546875" style="130" bestFit="1" customWidth="1"/>
    <col min="12" max="12" width="11.33203125" style="130" bestFit="1" customWidth="1"/>
  </cols>
  <sheetData>
    <row r="1" spans="1:12" x14ac:dyDescent="0.3">
      <c r="A1" s="38"/>
      <c r="B1" s="39">
        <v>2014</v>
      </c>
      <c r="C1" s="39">
        <v>2015</v>
      </c>
      <c r="D1" s="39">
        <v>2016</v>
      </c>
      <c r="E1" s="39">
        <v>2017</v>
      </c>
      <c r="F1" s="39">
        <v>2018</v>
      </c>
      <c r="G1" s="39">
        <v>2019</v>
      </c>
      <c r="H1" s="146">
        <v>2020</v>
      </c>
      <c r="I1" s="146">
        <v>2021</v>
      </c>
      <c r="J1" s="146">
        <v>2022</v>
      </c>
      <c r="K1" s="146">
        <v>2023</v>
      </c>
      <c r="L1" s="146" t="s">
        <v>266</v>
      </c>
    </row>
    <row r="2" spans="1:12" x14ac:dyDescent="0.3">
      <c r="A2" s="62" t="s">
        <v>346</v>
      </c>
      <c r="B2" s="55">
        <f>Conto_economico!C10</f>
        <v>178214832.54999998</v>
      </c>
      <c r="C2" s="55">
        <f>Conto_economico!D10</f>
        <v>166136005.46999997</v>
      </c>
      <c r="D2" s="55">
        <f>Conto_economico!E10</f>
        <v>168155830.05000001</v>
      </c>
      <c r="E2" s="55">
        <f>Conto_economico!F10</f>
        <v>170135189.16</v>
      </c>
      <c r="F2" s="55">
        <f>Conto_economico!G10</f>
        <v>176539929.38</v>
      </c>
      <c r="G2" s="55">
        <f>Conto_economico!H10</f>
        <v>185464209.70999998</v>
      </c>
      <c r="H2" s="124">
        <f>Conto_economico!I10</f>
        <v>201130578.12</v>
      </c>
      <c r="I2" s="124">
        <f>Conto_economico!J10</f>
        <v>206811677.67000002</v>
      </c>
      <c r="J2" s="124">
        <f>Conto_economico!K10</f>
        <v>173087971.63999999</v>
      </c>
      <c r="K2" s="124">
        <f>Conto_economico!L10</f>
        <v>183142440.60999998</v>
      </c>
      <c r="L2" s="124">
        <f t="shared" ref="L2:L16" si="0">K2-J2</f>
        <v>10054468.969999999</v>
      </c>
    </row>
    <row r="3" spans="1:12" x14ac:dyDescent="0.3">
      <c r="A3" s="62" t="s">
        <v>341</v>
      </c>
      <c r="B3" s="55">
        <f>Conto_economico!C2</f>
        <v>104881179.34999999</v>
      </c>
      <c r="C3" s="55">
        <f>Conto_economico!D2</f>
        <v>103613729.72</v>
      </c>
      <c r="D3" s="55">
        <f>Conto_economico!E2</f>
        <v>98521797.790000007</v>
      </c>
      <c r="E3" s="55">
        <f>Conto_economico!F2</f>
        <v>98195927.569999993</v>
      </c>
      <c r="F3" s="55">
        <f>Conto_economico!G2</f>
        <v>103505333.09</v>
      </c>
      <c r="G3" s="55">
        <f>Conto_economico!H2</f>
        <v>106268981.88</v>
      </c>
      <c r="H3" s="124">
        <f>Conto_economico!I2</f>
        <v>101966357.17</v>
      </c>
      <c r="I3" s="124">
        <f>Conto_economico!J2</f>
        <v>103555873.42</v>
      </c>
      <c r="J3" s="124">
        <f>Conto_economico!K2</f>
        <v>69330917.870000005</v>
      </c>
      <c r="K3" s="124">
        <f>Conto_economico!L2</f>
        <v>69299235.689999998</v>
      </c>
      <c r="L3" s="124">
        <f t="shared" si="0"/>
        <v>-31682.180000007153</v>
      </c>
    </row>
    <row r="4" spans="1:12" x14ac:dyDescent="0.3">
      <c r="A4" s="62" t="s">
        <v>342</v>
      </c>
      <c r="B4" s="55">
        <f>Conto_economico!C4</f>
        <v>21540626.370000001</v>
      </c>
      <c r="C4" s="55">
        <f>Conto_economico!D4</f>
        <v>19503642.98</v>
      </c>
      <c r="D4" s="55">
        <f>Conto_economico!E4</f>
        <v>17468301.030000001</v>
      </c>
      <c r="E4" s="55">
        <f>Conto_economico!F4</f>
        <v>18406495.690000001</v>
      </c>
      <c r="F4" s="55">
        <f>Conto_economico!G4</f>
        <v>21331016.510000002</v>
      </c>
      <c r="G4" s="55">
        <f>Conto_economico!H4</f>
        <v>23099225.23</v>
      </c>
      <c r="H4" s="124">
        <f>Conto_economico!I4</f>
        <v>38717990.270000003</v>
      </c>
      <c r="I4" s="124">
        <f>Conto_economico!J4</f>
        <v>36009225.140000001</v>
      </c>
      <c r="J4" s="124">
        <f>Conto_economico!K4</f>
        <v>35595043.130000003</v>
      </c>
      <c r="K4" s="124">
        <f>Conto_economico!L4</f>
        <v>37665178.560000002</v>
      </c>
      <c r="L4" s="124">
        <f t="shared" si="0"/>
        <v>2070135.4299999997</v>
      </c>
    </row>
    <row r="5" spans="1:12" x14ac:dyDescent="0.3">
      <c r="A5" s="62" t="s">
        <v>347</v>
      </c>
      <c r="B5" s="56">
        <f>Conto_economico!C21</f>
        <v>181849992.34</v>
      </c>
      <c r="C5" s="56">
        <f>Conto_economico!D21</f>
        <v>174585924.37</v>
      </c>
      <c r="D5" s="56">
        <f>Conto_economico!E21</f>
        <v>173484988.13</v>
      </c>
      <c r="E5" s="56">
        <f>Conto_economico!F21</f>
        <v>178418314.99000001</v>
      </c>
      <c r="F5" s="56">
        <f>Conto_economico!G21</f>
        <v>188224760.75999999</v>
      </c>
      <c r="G5" s="56">
        <f>Conto_economico!H21</f>
        <v>194825825.88</v>
      </c>
      <c r="H5" s="125">
        <f>Conto_economico!I21</f>
        <v>209404772.75999999</v>
      </c>
      <c r="I5" s="125">
        <f>Conto_economico!J21</f>
        <v>226040275.09999999</v>
      </c>
      <c r="J5" s="125">
        <f>Conto_economico!K21</f>
        <v>191639594.68999997</v>
      </c>
      <c r="K5" s="125">
        <f>Conto_economico!L21</f>
        <v>192890865.04999998</v>
      </c>
      <c r="L5" s="124">
        <f t="shared" si="0"/>
        <v>1251270.3600000143</v>
      </c>
    </row>
    <row r="6" spans="1:12" x14ac:dyDescent="0.3">
      <c r="A6" s="62" t="s">
        <v>343</v>
      </c>
      <c r="B6" s="55">
        <f>Conto_economico!C12</f>
        <v>69524847.480000004</v>
      </c>
      <c r="C6" s="55">
        <f>Conto_economico!D12</f>
        <v>68247454.810000002</v>
      </c>
      <c r="D6" s="55">
        <f>Conto_economico!E12</f>
        <v>69044825.150000006</v>
      </c>
      <c r="E6" s="55">
        <f>Conto_economico!F12</f>
        <v>70199423.430000007</v>
      </c>
      <c r="F6" s="55">
        <f>Conto_economico!G12</f>
        <v>75410571.829999998</v>
      </c>
      <c r="G6" s="55">
        <f>Conto_economico!H12</f>
        <v>77499708.760000005</v>
      </c>
      <c r="H6" s="124">
        <f>Conto_economico!I12</f>
        <v>77440478.650000006</v>
      </c>
      <c r="I6" s="124">
        <f>Conto_economico!J12</f>
        <v>88377567.260000005</v>
      </c>
      <c r="J6" s="124">
        <f>Conto_economico!K12</f>
        <v>60475766.140000001</v>
      </c>
      <c r="K6" s="124">
        <f>Conto_economico!L12</f>
        <v>60239745.869999997</v>
      </c>
      <c r="L6" s="124">
        <f t="shared" si="0"/>
        <v>-236020.27000000328</v>
      </c>
    </row>
    <row r="7" spans="1:12" x14ac:dyDescent="0.3">
      <c r="A7" s="62" t="s">
        <v>344</v>
      </c>
      <c r="B7" s="55">
        <f>Conto_economico!C15</f>
        <v>35507159.350000001</v>
      </c>
      <c r="C7" s="55">
        <f>Conto_economico!D15</f>
        <v>34859477.869999997</v>
      </c>
      <c r="D7" s="55">
        <f>Conto_economico!E15</f>
        <v>35038693.689999998</v>
      </c>
      <c r="E7" s="55">
        <f>Conto_economico!F15</f>
        <v>34729187.670000002</v>
      </c>
      <c r="F7" s="55">
        <f>Conto_economico!G15</f>
        <v>35434104.020000003</v>
      </c>
      <c r="G7" s="55">
        <f>Conto_economico!H15</f>
        <v>36743053</v>
      </c>
      <c r="H7" s="124">
        <f>Conto_economico!I15</f>
        <v>35441321.240000002</v>
      </c>
      <c r="I7" s="124">
        <f>Conto_economico!J15</f>
        <v>35261698.960000001</v>
      </c>
      <c r="J7" s="124">
        <f>Conto_economico!K15</f>
        <v>37069948.799999997</v>
      </c>
      <c r="K7" s="124">
        <f>Conto_economico!L15</f>
        <v>37337523.509999998</v>
      </c>
      <c r="L7" s="124">
        <f t="shared" si="0"/>
        <v>267574.71000000089</v>
      </c>
    </row>
    <row r="8" spans="1:12" x14ac:dyDescent="0.3">
      <c r="A8" s="62" t="s">
        <v>345</v>
      </c>
      <c r="B8" s="55">
        <f>Conto_economico!C16</f>
        <v>33063872.23</v>
      </c>
      <c r="C8" s="55">
        <f>Conto_economico!D16</f>
        <v>28921579.57</v>
      </c>
      <c r="D8" s="55">
        <f>Conto_economico!E16</f>
        <v>19028983.039999999</v>
      </c>
      <c r="E8" s="55">
        <f>Conto_economico!F16</f>
        <v>30487939.109999999</v>
      </c>
      <c r="F8" s="55">
        <f>Conto_economico!G16</f>
        <v>31011496.77</v>
      </c>
      <c r="G8" s="55">
        <f>Conto_economico!H16</f>
        <v>35583173.25</v>
      </c>
      <c r="H8" s="124">
        <f>Conto_economico!I16</f>
        <v>37637445.829999998</v>
      </c>
      <c r="I8" s="124">
        <f>Conto_economico!J16</f>
        <v>43803724.159999996</v>
      </c>
      <c r="J8" s="124">
        <f>Conto_economico!K16</f>
        <v>29265322.289999999</v>
      </c>
      <c r="K8" s="124">
        <f>Conto_economico!L16</f>
        <v>33770898.130000003</v>
      </c>
      <c r="L8" s="124">
        <f t="shared" si="0"/>
        <v>4505575.8400000036</v>
      </c>
    </row>
    <row r="9" spans="1:12" s="130" customFormat="1" x14ac:dyDescent="0.3">
      <c r="A9" s="144" t="s">
        <v>365</v>
      </c>
      <c r="B9" s="126">
        <f>Conto_economico!C29</f>
        <v>33866047.899999961</v>
      </c>
      <c r="C9" s="126">
        <f>Conto_economico!D29</f>
        <v>24160197.699999966</v>
      </c>
      <c r="D9" s="126">
        <f>Conto_economico!E29</f>
        <v>25952593.890000008</v>
      </c>
      <c r="E9" s="126">
        <f>Conto_economico!F29</f>
        <v>26534766.950000014</v>
      </c>
      <c r="F9" s="126">
        <f>Conto_economico!G29</f>
        <v>23217469.059999984</v>
      </c>
      <c r="G9" s="126">
        <f>Conto_economico!H29</f>
        <v>29962952.389999982</v>
      </c>
      <c r="H9" s="126">
        <f>Conto_economico!I29</f>
        <v>38742609.800000004</v>
      </c>
      <c r="I9" s="126">
        <f>Conto_economico!J29</f>
        <v>31945469.030000001</v>
      </c>
      <c r="J9" s="126">
        <f>Conto_economico!K29</f>
        <v>20024239.760000013</v>
      </c>
      <c r="K9" s="126">
        <f>Conto_economico!L29</f>
        <v>29270961.010000002</v>
      </c>
      <c r="L9" s="126">
        <f t="shared" si="0"/>
        <v>9246721.2499999888</v>
      </c>
    </row>
    <row r="10" spans="1:12" x14ac:dyDescent="0.3">
      <c r="A10" s="43" t="s">
        <v>307</v>
      </c>
      <c r="B10" s="57">
        <f t="shared" ref="B10:G10" si="1">B2-B5</f>
        <v>-3635159.7900000215</v>
      </c>
      <c r="C10" s="57">
        <f t="shared" si="1"/>
        <v>-8449918.9000000358</v>
      </c>
      <c r="D10" s="57">
        <f t="shared" si="1"/>
        <v>-5329158.0799999833</v>
      </c>
      <c r="E10" s="57">
        <f t="shared" si="1"/>
        <v>-8283125.8300000131</v>
      </c>
      <c r="F10" s="57">
        <f t="shared" si="1"/>
        <v>-11684831.379999995</v>
      </c>
      <c r="G10" s="57">
        <f t="shared" si="1"/>
        <v>-9361616.1700000167</v>
      </c>
      <c r="H10" s="126">
        <f t="shared" ref="H10:K10" si="2">H2-H5</f>
        <v>-8274194.6399999857</v>
      </c>
      <c r="I10" s="126">
        <f t="shared" ref="I10:J10" si="3">I2-I5</f>
        <v>-19228597.429999977</v>
      </c>
      <c r="J10" s="126">
        <f t="shared" si="3"/>
        <v>-18551623.049999982</v>
      </c>
      <c r="K10" s="126">
        <f t="shared" si="2"/>
        <v>-9748424.4399999976</v>
      </c>
      <c r="L10" s="126">
        <f t="shared" si="0"/>
        <v>8803198.6099999845</v>
      </c>
    </row>
    <row r="11" spans="1:12" x14ac:dyDescent="0.3">
      <c r="A11" s="62" t="s">
        <v>308</v>
      </c>
      <c r="B11" s="55">
        <f>Conto_economico!C22-Conto_economico!C23</f>
        <v>3415413.5600000005</v>
      </c>
      <c r="C11" s="55">
        <f>Conto_economico!D22-Conto_economico!D23</f>
        <v>4084026.11</v>
      </c>
      <c r="D11" s="55">
        <f>Conto_economico!E22-Conto_economico!E23</f>
        <v>3967117.34</v>
      </c>
      <c r="E11" s="55">
        <f>Conto_economico!F22-Conto_economico!F23</f>
        <v>2751752.0800000005</v>
      </c>
      <c r="F11" s="55">
        <f>Conto_economico!G22-Conto_economico!G23</f>
        <v>4518526.54</v>
      </c>
      <c r="G11" s="55">
        <f>Conto_economico!H22-Conto_economico!H23</f>
        <v>5530245.4100000001</v>
      </c>
      <c r="H11" s="124">
        <f>Conto_economico!I22-Conto_economico!I23</f>
        <v>6561068.3100000005</v>
      </c>
      <c r="I11" s="124">
        <f>Conto_economico!J22-Conto_economico!J23</f>
        <v>6872271.1299999999</v>
      </c>
      <c r="J11" s="124">
        <f>Conto_economico!K22-Conto_economico!K23</f>
        <v>7679326.9700000007</v>
      </c>
      <c r="K11" s="124">
        <f>Conto_economico!L22-Conto_economico!L23</f>
        <v>8226037.3200000003</v>
      </c>
      <c r="L11" s="124">
        <f t="shared" si="0"/>
        <v>546710.34999999963</v>
      </c>
    </row>
    <row r="12" spans="1:12" x14ac:dyDescent="0.3">
      <c r="A12" s="62" t="s">
        <v>309</v>
      </c>
      <c r="B12" s="56">
        <f>Conto_economico!C25-Conto_economico!C26</f>
        <v>2808075.7499999991</v>
      </c>
      <c r="C12" s="56">
        <f>Conto_economico!D25-Conto_economico!D26</f>
        <v>6902572.0899999989</v>
      </c>
      <c r="D12" s="56">
        <f>Conto_economico!E25-Conto_economico!E26</f>
        <v>5549250.2800000003</v>
      </c>
      <c r="E12" s="56">
        <f>Conto_economico!F25-Conto_economico!F26</f>
        <v>13279367.989999998</v>
      </c>
      <c r="F12" s="56">
        <f>Conto_economico!G25-Conto_economico!G26</f>
        <v>10598377.390000002</v>
      </c>
      <c r="G12" s="56">
        <f>Conto_economico!H25-Conto_economico!H26</f>
        <v>6671561.9399999995</v>
      </c>
      <c r="H12" s="125">
        <f>Conto_economico!I25-Conto_economico!I26</f>
        <v>2388090.87</v>
      </c>
      <c r="I12" s="125">
        <f>Conto_economico!J25-Conto_economico!J26</f>
        <v>17090130.490000002</v>
      </c>
      <c r="J12" s="125">
        <f>Conto_economico!K25-Conto_economico!K26</f>
        <v>15280866.02</v>
      </c>
      <c r="K12" s="125">
        <f>Conto_economico!L25-Conto_economico!L26</f>
        <v>4131559.1700000004</v>
      </c>
      <c r="L12" s="124">
        <f t="shared" si="0"/>
        <v>-11149306.85</v>
      </c>
    </row>
    <row r="13" spans="1:12" x14ac:dyDescent="0.3">
      <c r="A13" s="62" t="s">
        <v>255</v>
      </c>
      <c r="B13" s="56">
        <f>Conto_economico!C24</f>
        <v>0</v>
      </c>
      <c r="C13" s="56">
        <f>Conto_economico!D24</f>
        <v>0</v>
      </c>
      <c r="D13" s="56">
        <f>Conto_economico!E24</f>
        <v>0</v>
      </c>
      <c r="E13" s="56">
        <f>Conto_economico!F24</f>
        <v>-4347870.7300000004</v>
      </c>
      <c r="F13" s="56">
        <f>Conto_economico!G24</f>
        <v>0</v>
      </c>
      <c r="G13" s="56">
        <f>Conto_economico!H24</f>
        <v>0</v>
      </c>
      <c r="H13" s="125">
        <f>Conto_economico!I24</f>
        <v>0</v>
      </c>
      <c r="I13" s="125">
        <f>Conto_economico!J24</f>
        <v>0</v>
      </c>
      <c r="J13" s="125">
        <f>Conto_economico!K24</f>
        <v>0</v>
      </c>
      <c r="K13" s="125">
        <f>Conto_economico!L24</f>
        <v>0</v>
      </c>
      <c r="L13" s="124">
        <f t="shared" si="0"/>
        <v>0</v>
      </c>
    </row>
    <row r="14" spans="1:12" x14ac:dyDescent="0.3">
      <c r="A14" s="43" t="s">
        <v>310</v>
      </c>
      <c r="B14" s="57">
        <f t="shared" ref="B14:K14" si="4">SUM(B10:B13)</f>
        <v>2588329.5199999781</v>
      </c>
      <c r="C14" s="57">
        <f t="shared" si="4"/>
        <v>2536679.2999999626</v>
      </c>
      <c r="D14" s="57">
        <f t="shared" si="4"/>
        <v>4187209.5400000168</v>
      </c>
      <c r="E14" s="57">
        <f t="shared" si="4"/>
        <v>3400123.5099999849</v>
      </c>
      <c r="F14" s="57">
        <f t="shared" si="4"/>
        <v>3432072.5500000073</v>
      </c>
      <c r="G14" s="57">
        <f t="shared" si="4"/>
        <v>2840191.1799999829</v>
      </c>
      <c r="H14" s="126">
        <f t="shared" si="4"/>
        <v>674964.54000001494</v>
      </c>
      <c r="I14" s="126">
        <f t="shared" si="4"/>
        <v>4733804.1900000237</v>
      </c>
      <c r="J14" s="126">
        <f t="shared" ref="J14" si="5">SUM(J10:J13)</f>
        <v>4408569.9400000181</v>
      </c>
      <c r="K14" s="126">
        <f t="shared" si="4"/>
        <v>2609172.0500000031</v>
      </c>
      <c r="L14" s="126">
        <f t="shared" si="0"/>
        <v>-1799397.890000015</v>
      </c>
    </row>
    <row r="15" spans="1:12" x14ac:dyDescent="0.3">
      <c r="A15" s="62" t="s">
        <v>258</v>
      </c>
      <c r="B15" s="55">
        <f>Conto_economico!C27</f>
        <v>2303557.71</v>
      </c>
      <c r="C15" s="55">
        <f>Conto_economico!D27</f>
        <v>2238615.5099999998</v>
      </c>
      <c r="D15" s="55">
        <f>Conto_economico!E27</f>
        <v>2183070.52</v>
      </c>
      <c r="E15" s="55">
        <f>Conto_economico!F27</f>
        <v>2180652.2799999998</v>
      </c>
      <c r="F15" s="55">
        <f>Conto_economico!G27</f>
        <v>2260787.37</v>
      </c>
      <c r="G15" s="55">
        <f>Conto_economico!H27</f>
        <v>2284964.9900000002</v>
      </c>
      <c r="H15" s="124">
        <f>Conto_economico!I27</f>
        <v>2224419.98</v>
      </c>
      <c r="I15" s="124">
        <f>Conto_economico!J27</f>
        <v>2229423.98</v>
      </c>
      <c r="J15" s="124">
        <f>Conto_economico!K27</f>
        <v>2360392.94</v>
      </c>
      <c r="K15" s="124">
        <f>Conto_economico!L27</f>
        <v>2467693.9300000002</v>
      </c>
      <c r="L15" s="124">
        <f t="shared" si="0"/>
        <v>107300.99000000022</v>
      </c>
    </row>
    <row r="16" spans="1:12" x14ac:dyDescent="0.3">
      <c r="A16" s="61" t="s">
        <v>259</v>
      </c>
      <c r="B16" s="58">
        <f t="shared" ref="B16:G16" si="6">B14-B15</f>
        <v>284771.80999997817</v>
      </c>
      <c r="C16" s="58">
        <f t="shared" si="6"/>
        <v>298063.78999996278</v>
      </c>
      <c r="D16" s="58">
        <f t="shared" si="6"/>
        <v>2004139.0200000168</v>
      </c>
      <c r="E16" s="58">
        <f t="shared" si="6"/>
        <v>1219471.2299999851</v>
      </c>
      <c r="F16" s="58">
        <f t="shared" si="6"/>
        <v>1171285.1800000072</v>
      </c>
      <c r="G16" s="58">
        <f t="shared" si="6"/>
        <v>555226.18999998271</v>
      </c>
      <c r="H16" s="127">
        <f t="shared" ref="H16:K16" si="7">H14-H15</f>
        <v>-1549455.439999985</v>
      </c>
      <c r="I16" s="127">
        <f t="shared" ref="I16:J16" si="8">I14-I15</f>
        <v>2504380.2100000237</v>
      </c>
      <c r="J16" s="127">
        <f t="shared" si="8"/>
        <v>2048177.0000000182</v>
      </c>
      <c r="K16" s="127">
        <f t="shared" si="7"/>
        <v>141478.12000000291</v>
      </c>
      <c r="L16" s="127">
        <f t="shared" si="0"/>
        <v>-1906698.8800000153</v>
      </c>
    </row>
    <row r="18" spans="2:3" x14ac:dyDescent="0.3">
      <c r="B18" s="87"/>
      <c r="C18" s="87"/>
    </row>
    <row r="19" spans="2:3" x14ac:dyDescent="0.3">
      <c r="B19" s="91"/>
      <c r="C19" s="91"/>
    </row>
    <row r="20" spans="2:3" x14ac:dyDescent="0.3">
      <c r="B20" s="87"/>
      <c r="C20" s="87"/>
    </row>
  </sheetData>
  <conditionalFormatting sqref="B16:G16 K16:L16">
    <cfRule type="cellIs" dxfId="85" priority="17" operator="greaterThan">
      <formula>0</formula>
    </cfRule>
  </conditionalFormatting>
  <conditionalFormatting sqref="B10:G10 B14:G14 K14:L14 K10:L10 L9">
    <cfRule type="cellIs" dxfId="84" priority="16" operator="lessThan">
      <formula>0</formula>
    </cfRule>
  </conditionalFormatting>
  <conditionalFormatting sqref="H16">
    <cfRule type="cellIs" dxfId="83" priority="8" operator="greaterThan">
      <formula>0</formula>
    </cfRule>
  </conditionalFormatting>
  <conditionalFormatting sqref="H14 H10">
    <cfRule type="cellIs" dxfId="82" priority="7" operator="lessThan">
      <formula>0</formula>
    </cfRule>
  </conditionalFormatting>
  <conditionalFormatting sqref="I16">
    <cfRule type="cellIs" dxfId="81" priority="6" operator="greaterThan">
      <formula>0</formula>
    </cfRule>
  </conditionalFormatting>
  <conditionalFormatting sqref="I14 I10">
    <cfRule type="cellIs" dxfId="80" priority="5" operator="lessThan">
      <formula>0</formula>
    </cfRule>
  </conditionalFormatting>
  <conditionalFormatting sqref="B9:I9 K9">
    <cfRule type="cellIs" dxfId="79" priority="4" operator="lessThan">
      <formula>0</formula>
    </cfRule>
  </conditionalFormatting>
  <conditionalFormatting sqref="J16">
    <cfRule type="cellIs" dxfId="78" priority="3" operator="greaterThan">
      <formula>0</formula>
    </cfRule>
  </conditionalFormatting>
  <conditionalFormatting sqref="J14 J10">
    <cfRule type="cellIs" dxfId="77" priority="2" operator="lessThan">
      <formula>0</formula>
    </cfRule>
  </conditionalFormatting>
  <conditionalFormatting sqref="J9">
    <cfRule type="cellIs" dxfId="76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showGridLines="0" topLeftCell="B1" workbookViewId="0">
      <selection activeCell="K2" sqref="K2:K28"/>
    </sheetView>
  </sheetViews>
  <sheetFormatPr defaultRowHeight="14.4" x14ac:dyDescent="0.3"/>
  <cols>
    <col min="1" max="1" width="51.6640625" style="29" bestFit="1" customWidth="1"/>
    <col min="2" max="7" width="12.6640625" bestFit="1" customWidth="1"/>
    <col min="8" max="11" width="12.6640625" style="130" bestFit="1" customWidth="1"/>
    <col min="12" max="13" width="12.6640625" bestFit="1" customWidth="1"/>
  </cols>
  <sheetData>
    <row r="1" spans="1:11" x14ac:dyDescent="0.3">
      <c r="A1" s="64"/>
      <c r="B1" s="90">
        <v>2014</v>
      </c>
      <c r="C1" s="90">
        <v>2015</v>
      </c>
      <c r="D1" s="90">
        <v>2016</v>
      </c>
      <c r="E1" s="60">
        <v>2017</v>
      </c>
      <c r="F1" s="60">
        <v>2018</v>
      </c>
      <c r="G1" s="60">
        <v>2019</v>
      </c>
      <c r="H1" s="60">
        <v>2020</v>
      </c>
      <c r="I1" s="60">
        <v>2021</v>
      </c>
      <c r="J1" s="60">
        <v>2022</v>
      </c>
      <c r="K1" s="60">
        <v>2023</v>
      </c>
    </row>
    <row r="2" spans="1:11" x14ac:dyDescent="0.3">
      <c r="A2" s="29" t="s">
        <v>212</v>
      </c>
      <c r="B2" s="1">
        <v>0</v>
      </c>
      <c r="C2" s="1">
        <v>0</v>
      </c>
      <c r="D2" s="1">
        <v>0</v>
      </c>
      <c r="E2" s="1">
        <v>0</v>
      </c>
      <c r="F2" s="1">
        <v>0</v>
      </c>
      <c r="G2" s="1">
        <v>0</v>
      </c>
      <c r="H2" s="95">
        <v>0</v>
      </c>
      <c r="I2" s="95">
        <v>0</v>
      </c>
      <c r="J2" s="95">
        <v>0</v>
      </c>
      <c r="K2" s="95">
        <v>0</v>
      </c>
    </row>
    <row r="3" spans="1:11" x14ac:dyDescent="0.3">
      <c r="A3" s="29" t="s">
        <v>213</v>
      </c>
      <c r="B3" s="1">
        <v>2822557.46</v>
      </c>
      <c r="C3" s="1">
        <v>4060837.53</v>
      </c>
      <c r="D3" s="1">
        <v>3209476.39</v>
      </c>
      <c r="E3" s="1">
        <v>1636773.67</v>
      </c>
      <c r="F3" s="1">
        <v>1277851.5900000001</v>
      </c>
      <c r="G3" s="1">
        <v>1011583.18</v>
      </c>
      <c r="H3" s="95">
        <v>2541004.62</v>
      </c>
      <c r="I3" s="95">
        <v>3784381.22</v>
      </c>
      <c r="J3" s="95">
        <v>4863225.22</v>
      </c>
      <c r="K3" s="95">
        <v>5145260.04</v>
      </c>
    </row>
    <row r="4" spans="1:11" x14ac:dyDescent="0.3">
      <c r="A4" s="29" t="s">
        <v>214</v>
      </c>
      <c r="B4" s="1">
        <v>724302679.16999996</v>
      </c>
      <c r="C4" s="1">
        <v>757617394.36000001</v>
      </c>
      <c r="D4" s="1">
        <v>751585953.38999999</v>
      </c>
      <c r="E4" s="1">
        <v>745029838.67999995</v>
      </c>
      <c r="F4" s="1">
        <v>739953430.26999998</v>
      </c>
      <c r="G4" s="1">
        <v>755160341.70000005</v>
      </c>
      <c r="H4" s="95">
        <v>746857714.08000004</v>
      </c>
      <c r="I4" s="95">
        <v>737522835.15999997</v>
      </c>
      <c r="J4" s="95">
        <v>750374286.10000002</v>
      </c>
      <c r="K4" s="95">
        <v>753051127.92999995</v>
      </c>
    </row>
    <row r="5" spans="1:11" x14ac:dyDescent="0.3">
      <c r="A5" s="29" t="s">
        <v>228</v>
      </c>
      <c r="B5" s="1">
        <v>301932488.98000002</v>
      </c>
      <c r="C5" s="1">
        <v>305937591.60000002</v>
      </c>
      <c r="D5" s="1">
        <v>308851180.57999998</v>
      </c>
      <c r="E5" s="1">
        <v>304590091.02999997</v>
      </c>
      <c r="F5" s="1">
        <v>309628131.73000002</v>
      </c>
      <c r="G5" s="1">
        <v>318505881.97000003</v>
      </c>
      <c r="H5" s="95">
        <v>320143967.36000001</v>
      </c>
      <c r="I5" s="95">
        <v>337023189.20999998</v>
      </c>
      <c r="J5" s="95">
        <v>344418659.06999999</v>
      </c>
      <c r="K5" s="95">
        <v>364919720.58999997</v>
      </c>
    </row>
    <row r="6" spans="1:11" x14ac:dyDescent="0.3">
      <c r="A6" s="29" t="s">
        <v>229</v>
      </c>
      <c r="B6" s="1">
        <v>0</v>
      </c>
      <c r="C6" s="1">
        <v>0</v>
      </c>
      <c r="D6" s="1">
        <v>0</v>
      </c>
      <c r="E6" s="1">
        <v>0.05</v>
      </c>
      <c r="F6" s="1">
        <v>0.05</v>
      </c>
      <c r="G6" s="1">
        <v>0.05</v>
      </c>
      <c r="H6" s="95">
        <v>0.05</v>
      </c>
      <c r="I6" s="95">
        <v>0.05</v>
      </c>
      <c r="J6" s="95">
        <v>0</v>
      </c>
      <c r="K6" s="95">
        <v>0</v>
      </c>
    </row>
    <row r="7" spans="1:11" x14ac:dyDescent="0.3">
      <c r="A7" s="29" t="s">
        <v>230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95">
        <v>0</v>
      </c>
      <c r="I7" s="95">
        <v>0</v>
      </c>
      <c r="J7" s="95">
        <v>0</v>
      </c>
      <c r="K7" s="95">
        <v>0</v>
      </c>
    </row>
    <row r="8" spans="1:11" x14ac:dyDescent="0.3">
      <c r="A8" s="29" t="s">
        <v>231</v>
      </c>
      <c r="B8" s="1">
        <v>233662.42</v>
      </c>
      <c r="C8" s="1">
        <v>411141.82</v>
      </c>
      <c r="D8" s="1">
        <v>343687.61</v>
      </c>
      <c r="E8" s="1">
        <v>388033.05</v>
      </c>
      <c r="F8" s="1">
        <v>392009.85</v>
      </c>
      <c r="G8" s="1">
        <v>533520.48</v>
      </c>
      <c r="H8" s="95">
        <v>699211.83</v>
      </c>
      <c r="I8" s="95">
        <v>396931.55</v>
      </c>
      <c r="J8" s="95">
        <v>354447.15</v>
      </c>
      <c r="K8" s="95">
        <v>213432.67</v>
      </c>
    </row>
    <row r="9" spans="1:11" x14ac:dyDescent="0.3">
      <c r="A9" s="29" t="s">
        <v>215</v>
      </c>
      <c r="B9" s="1">
        <v>49715590.189999998</v>
      </c>
      <c r="C9" s="1">
        <v>49831766.18</v>
      </c>
      <c r="D9" s="1">
        <v>41790482.109999999</v>
      </c>
      <c r="E9" s="1">
        <v>30529967.609999999</v>
      </c>
      <c r="F9" s="1">
        <v>32723483.23</v>
      </c>
      <c r="G9" s="1">
        <v>31761107.719999999</v>
      </c>
      <c r="H9" s="95">
        <v>40457975.780000001</v>
      </c>
      <c r="I9" s="95">
        <v>48293484.549999997</v>
      </c>
      <c r="J9" s="95">
        <v>37982384.409999996</v>
      </c>
      <c r="K9" s="95">
        <v>35646008</v>
      </c>
    </row>
    <row r="10" spans="1:11" x14ac:dyDescent="0.3">
      <c r="A10" s="29" t="s">
        <v>232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95">
        <v>0</v>
      </c>
      <c r="I10" s="95">
        <v>0</v>
      </c>
      <c r="J10" s="95">
        <v>0</v>
      </c>
      <c r="K10" s="95">
        <v>0</v>
      </c>
    </row>
    <row r="11" spans="1:11" x14ac:dyDescent="0.3">
      <c r="A11" s="29" t="s">
        <v>216</v>
      </c>
      <c r="B11" s="1">
        <v>31783421.23</v>
      </c>
      <c r="C11" s="1">
        <v>34486643.409999996</v>
      </c>
      <c r="D11" s="1">
        <v>41748906.670000002</v>
      </c>
      <c r="E11" s="1">
        <v>53433935.149999999</v>
      </c>
      <c r="F11" s="1">
        <v>58991633.509999998</v>
      </c>
      <c r="G11" s="1">
        <v>68225062.890000001</v>
      </c>
      <c r="H11" s="95">
        <v>86446582.569999993</v>
      </c>
      <c r="I11" s="95">
        <v>90802377.840000004</v>
      </c>
      <c r="J11" s="95">
        <v>121801644.7</v>
      </c>
      <c r="K11" s="95">
        <v>130977942.92</v>
      </c>
    </row>
    <row r="12" spans="1:11" x14ac:dyDescent="0.3">
      <c r="A12" s="29" t="s">
        <v>217</v>
      </c>
      <c r="B12" s="1">
        <v>44945.46</v>
      </c>
      <c r="C12" s="1">
        <v>19327.16</v>
      </c>
      <c r="D12" s="1">
        <v>5056.66</v>
      </c>
      <c r="E12" s="1">
        <v>31692.52</v>
      </c>
      <c r="F12" s="1">
        <v>27954.63</v>
      </c>
      <c r="G12" s="1">
        <v>36970</v>
      </c>
      <c r="H12" s="95">
        <v>18080.650000000001</v>
      </c>
      <c r="I12" s="95">
        <v>17560.79</v>
      </c>
      <c r="J12" s="95">
        <v>3545.35</v>
      </c>
      <c r="K12" s="95">
        <v>2236.64</v>
      </c>
    </row>
    <row r="13" spans="1:11" x14ac:dyDescent="0.3">
      <c r="A13" s="10" t="s">
        <v>218</v>
      </c>
      <c r="B13" s="11">
        <f t="shared" ref="B13:G13" si="0">SUM(B2:B12)</f>
        <v>1110835344.9100001</v>
      </c>
      <c r="C13" s="11">
        <f t="shared" si="0"/>
        <v>1152364702.0600002</v>
      </c>
      <c r="D13" s="11">
        <f t="shared" si="0"/>
        <v>1147534743.4100001</v>
      </c>
      <c r="E13" s="11">
        <f t="shared" si="0"/>
        <v>1135640331.7599998</v>
      </c>
      <c r="F13" s="11">
        <f t="shared" si="0"/>
        <v>1142994494.8600001</v>
      </c>
      <c r="G13" s="11">
        <f t="shared" si="0"/>
        <v>1175234467.99</v>
      </c>
      <c r="H13" s="11">
        <f t="shared" ref="H13:K13" si="1">SUM(H2:H12)</f>
        <v>1197164536.9400001</v>
      </c>
      <c r="I13" s="11">
        <f t="shared" ref="I13:J13" si="2">SUM(I2:I12)</f>
        <v>1217840760.3699996</v>
      </c>
      <c r="J13" s="11">
        <f t="shared" si="2"/>
        <v>1259798192.0000002</v>
      </c>
      <c r="K13" s="11">
        <f t="shared" si="1"/>
        <v>1289955728.7900002</v>
      </c>
    </row>
    <row r="14" spans="1:11" x14ac:dyDescent="0.3">
      <c r="A14" s="29" t="s">
        <v>219</v>
      </c>
      <c r="B14" s="1">
        <v>338700495.08999997</v>
      </c>
      <c r="C14" s="1">
        <v>338700495.08999997</v>
      </c>
      <c r="D14" s="1">
        <v>338700495.08999997</v>
      </c>
      <c r="E14" s="1">
        <v>130667043.69</v>
      </c>
      <c r="F14" s="1">
        <v>130667043.69</v>
      </c>
      <c r="G14" s="1">
        <v>130667043.69</v>
      </c>
      <c r="H14" s="95">
        <v>130667043.69</v>
      </c>
      <c r="I14" s="95">
        <v>130667043.69</v>
      </c>
      <c r="J14" s="95">
        <v>130667043.69</v>
      </c>
      <c r="K14" s="95">
        <v>130667043.69</v>
      </c>
    </row>
    <row r="15" spans="1:11" x14ac:dyDescent="0.3">
      <c r="A15" s="29" t="s">
        <v>220</v>
      </c>
      <c r="B15" s="1">
        <f>312952019.12+194274602.07</f>
        <v>507226621.19</v>
      </c>
      <c r="C15" s="1">
        <v>546703584.41999996</v>
      </c>
      <c r="D15" s="1">
        <v>552054839.44000006</v>
      </c>
      <c r="E15" s="1">
        <v>768411536.09000003</v>
      </c>
      <c r="F15" s="1">
        <v>775975275.25</v>
      </c>
      <c r="G15" s="1">
        <v>791976179.95000005</v>
      </c>
      <c r="H15" s="95">
        <v>470465176.05000001</v>
      </c>
      <c r="I15" s="95">
        <v>472047843.25999999</v>
      </c>
      <c r="J15" s="95">
        <v>489621916.25999999</v>
      </c>
      <c r="K15" s="95">
        <v>507267947.01999998</v>
      </c>
    </row>
    <row r="16" spans="1:11" x14ac:dyDescent="0.3">
      <c r="A16" s="29" t="s">
        <v>235</v>
      </c>
      <c r="B16" s="1">
        <v>194274602.06999999</v>
      </c>
      <c r="C16" s="1">
        <v>198095339.28</v>
      </c>
      <c r="D16" s="1">
        <v>203148530.50999999</v>
      </c>
      <c r="E16" s="1">
        <v>203148530.52000001</v>
      </c>
      <c r="F16" s="1">
        <v>203148530.52000001</v>
      </c>
      <c r="G16" s="1">
        <v>211153564.47999999</v>
      </c>
      <c r="H16" s="95">
        <v>215660215.66999999</v>
      </c>
      <c r="I16" s="95">
        <v>218853807.88999999</v>
      </c>
      <c r="J16" s="95">
        <v>223622320.53999999</v>
      </c>
      <c r="K16" s="95">
        <v>227061102.50999999</v>
      </c>
    </row>
    <row r="17" spans="1:13" x14ac:dyDescent="0.3">
      <c r="A17" s="29" t="s">
        <v>221</v>
      </c>
      <c r="B17" s="1">
        <v>284771.81</v>
      </c>
      <c r="C17" s="1">
        <v>298063.78999999998</v>
      </c>
      <c r="D17" s="1">
        <v>2004139.02</v>
      </c>
      <c r="E17" s="1">
        <v>1219471.23</v>
      </c>
      <c r="F17" s="1">
        <v>1171285.18</v>
      </c>
      <c r="G17" s="1">
        <v>555226.18999999994</v>
      </c>
      <c r="H17" s="95">
        <v>-1549455.44</v>
      </c>
      <c r="I17" s="95">
        <v>2504380.21</v>
      </c>
      <c r="J17" s="95">
        <v>2048177</v>
      </c>
      <c r="K17" s="95">
        <v>141478.12</v>
      </c>
    </row>
    <row r="18" spans="1:13" s="130" customFormat="1" x14ac:dyDescent="0.3">
      <c r="A18" s="29" t="s">
        <v>362</v>
      </c>
      <c r="B18" s="95"/>
      <c r="C18" s="95"/>
      <c r="D18" s="95"/>
      <c r="E18" s="95"/>
      <c r="F18" s="95"/>
      <c r="G18" s="95"/>
      <c r="H18" s="95">
        <v>327013466.67000002</v>
      </c>
      <c r="I18" s="95">
        <v>331016157.95999998</v>
      </c>
      <c r="J18" s="95">
        <v>327360447.68000001</v>
      </c>
      <c r="K18" s="95">
        <v>332702437.41000003</v>
      </c>
    </row>
    <row r="19" spans="1:13" s="130" customFormat="1" x14ac:dyDescent="0.3">
      <c r="A19" s="29" t="s">
        <v>363</v>
      </c>
      <c r="B19" s="95"/>
      <c r="C19" s="95"/>
      <c r="D19" s="95"/>
      <c r="E19" s="95"/>
      <c r="F19" s="95"/>
      <c r="G19" s="95"/>
      <c r="H19" s="95">
        <v>0</v>
      </c>
      <c r="I19" s="95">
        <v>0</v>
      </c>
      <c r="J19" s="95">
        <v>0</v>
      </c>
      <c r="K19" s="95">
        <v>0</v>
      </c>
    </row>
    <row r="20" spans="1:13" x14ac:dyDescent="0.3">
      <c r="A20" s="29" t="s">
        <v>222</v>
      </c>
      <c r="B20" s="1">
        <v>1700000</v>
      </c>
      <c r="C20" s="1">
        <v>2177800</v>
      </c>
      <c r="D20" s="1">
        <v>1912400</v>
      </c>
      <c r="E20" s="1">
        <v>4341000</v>
      </c>
      <c r="F20" s="1">
        <v>5327781.49</v>
      </c>
      <c r="G20" s="1">
        <v>5657674.54</v>
      </c>
      <c r="H20" s="95">
        <v>12432265.640000001</v>
      </c>
      <c r="I20" s="95">
        <v>14659834.859999999</v>
      </c>
      <c r="J20" s="95">
        <v>21086935.43</v>
      </c>
      <c r="K20" s="95">
        <v>15679688.68</v>
      </c>
    </row>
    <row r="21" spans="1:13" x14ac:dyDescent="0.3">
      <c r="A21" s="29" t="s">
        <v>209</v>
      </c>
      <c r="B21" s="1">
        <f>52631620.22+44921590.02</f>
        <v>97553210.24000001</v>
      </c>
      <c r="C21" s="1">
        <v>89589151.159999996</v>
      </c>
      <c r="D21" s="1">
        <v>82279699.530000001</v>
      </c>
      <c r="E21" s="1">
        <v>66630657.109999999</v>
      </c>
      <c r="F21" s="1">
        <v>59836444.009999998</v>
      </c>
      <c r="G21" s="1">
        <v>59454096.520000003</v>
      </c>
      <c r="H21" s="95">
        <v>65443086.299999997</v>
      </c>
      <c r="I21" s="95">
        <v>74388101.689999998</v>
      </c>
      <c r="J21" s="95">
        <v>77620495.930000007</v>
      </c>
      <c r="K21" s="95">
        <v>90932350.920000002</v>
      </c>
    </row>
    <row r="22" spans="1:13" x14ac:dyDescent="0.3">
      <c r="A22" s="29" t="s">
        <v>223</v>
      </c>
      <c r="B22" s="1">
        <v>23457088.039999999</v>
      </c>
      <c r="C22" s="1">
        <v>30644321.02</v>
      </c>
      <c r="D22" s="1">
        <v>30450720.969999999</v>
      </c>
      <c r="E22" s="1">
        <v>27931567.370000001</v>
      </c>
      <c r="F22" s="1">
        <v>25387999.710000001</v>
      </c>
      <c r="G22" s="1">
        <v>29608815.079999998</v>
      </c>
      <c r="H22" s="95">
        <v>28321861.75</v>
      </c>
      <c r="I22" s="95">
        <v>28438766.809999999</v>
      </c>
      <c r="J22" s="95">
        <v>28779794.670000002</v>
      </c>
      <c r="K22" s="95">
        <v>26025939.649999999</v>
      </c>
    </row>
    <row r="23" spans="1:13" x14ac:dyDescent="0.3">
      <c r="A23" s="29" t="s">
        <v>224</v>
      </c>
      <c r="B23" s="1">
        <f>1414996.85+4534001+545417.74</f>
        <v>6494415.5899999999</v>
      </c>
      <c r="C23" s="1">
        <v>7538404.7599999998</v>
      </c>
      <c r="D23" s="1">
        <v>8645739.9199999999</v>
      </c>
      <c r="E23" s="1">
        <v>7586524.4500000002</v>
      </c>
      <c r="F23" s="1">
        <v>10364708.539999999</v>
      </c>
      <c r="G23" s="1">
        <v>10445317.73</v>
      </c>
      <c r="H23" s="95">
        <v>16487031.560000001</v>
      </c>
      <c r="I23" s="95">
        <v>13651599.359999999</v>
      </c>
      <c r="J23" s="95">
        <v>13070568.74</v>
      </c>
      <c r="K23" s="95">
        <v>12822401.800000001</v>
      </c>
    </row>
    <row r="24" spans="1:13" x14ac:dyDescent="0.3">
      <c r="A24" s="29" t="s">
        <v>225</v>
      </c>
      <c r="B24" s="1">
        <f>813056.6+77701.94+6904317.66</f>
        <v>7795076.2000000002</v>
      </c>
      <c r="C24" s="1">
        <v>10577313.060000001</v>
      </c>
      <c r="D24" s="1">
        <v>10614219.41</v>
      </c>
      <c r="E24" s="1">
        <v>8830967.4800000004</v>
      </c>
      <c r="F24" s="1">
        <v>8762217.2100000009</v>
      </c>
      <c r="G24" s="1">
        <v>9248858.8900000006</v>
      </c>
      <c r="H24" s="95">
        <v>10557286.300000001</v>
      </c>
      <c r="I24" s="95">
        <v>11300689.359999999</v>
      </c>
      <c r="J24" s="95">
        <v>13434600.880000001</v>
      </c>
      <c r="K24" s="95">
        <v>12298993.310000001</v>
      </c>
      <c r="L24" s="1"/>
      <c r="M24" s="1"/>
    </row>
    <row r="25" spans="1:13" x14ac:dyDescent="0.3">
      <c r="A25" s="29" t="s">
        <v>226</v>
      </c>
      <c r="B25" s="1">
        <v>127623666.75</v>
      </c>
      <c r="C25" s="1">
        <v>126135568.76000001</v>
      </c>
      <c r="D25" s="1">
        <v>120872490.03</v>
      </c>
      <c r="E25" s="1">
        <v>120021564.29000001</v>
      </c>
      <c r="F25" s="1">
        <v>125501739.73</v>
      </c>
      <c r="G25" s="1">
        <v>137621255.34999999</v>
      </c>
      <c r="H25" s="95">
        <v>137326774.37</v>
      </c>
      <c r="I25" s="95">
        <v>139166343.12</v>
      </c>
      <c r="J25" s="95">
        <v>156108211.72</v>
      </c>
      <c r="K25" s="95">
        <v>161417448.19</v>
      </c>
    </row>
    <row r="26" spans="1:13" x14ac:dyDescent="0.3">
      <c r="A26" s="63" t="s">
        <v>227</v>
      </c>
      <c r="B26" s="3">
        <f t="shared" ref="B26:G26" si="3">SUM(B14:B25)-B16</f>
        <v>1110835344.9099998</v>
      </c>
      <c r="C26" s="3">
        <f t="shared" si="3"/>
        <v>1152364702.0599999</v>
      </c>
      <c r="D26" s="3">
        <f t="shared" si="3"/>
        <v>1147534743.4100001</v>
      </c>
      <c r="E26" s="3">
        <f t="shared" si="3"/>
        <v>1135640331.7099998</v>
      </c>
      <c r="F26" s="3">
        <f t="shared" si="3"/>
        <v>1142994494.8100002</v>
      </c>
      <c r="G26" s="3">
        <f t="shared" si="3"/>
        <v>1175234467.9400001</v>
      </c>
      <c r="H26" s="3">
        <f t="shared" ref="H26:K26" si="4">SUM(H14:H25)-H16</f>
        <v>1197164536.8899999</v>
      </c>
      <c r="I26" s="3">
        <f t="shared" ref="I26" si="5">SUM(I14:I25)-I16</f>
        <v>1217840760.3199997</v>
      </c>
      <c r="J26" s="3">
        <f t="shared" ref="J26" si="6">SUM(J14:J25)-J16</f>
        <v>1259798192.0000005</v>
      </c>
      <c r="K26" s="3">
        <f t="shared" si="4"/>
        <v>1289955728.7900002</v>
      </c>
    </row>
    <row r="27" spans="1:13" x14ac:dyDescent="0.3">
      <c r="A27" s="10" t="s">
        <v>267</v>
      </c>
      <c r="B27" s="11">
        <f t="shared" ref="B27:G27" si="7">B14+B15+B17+B18+B19</f>
        <v>846211888.08999991</v>
      </c>
      <c r="C27" s="11">
        <f t="shared" si="7"/>
        <v>885702143.29999995</v>
      </c>
      <c r="D27" s="11">
        <f t="shared" si="7"/>
        <v>892759473.54999995</v>
      </c>
      <c r="E27" s="11">
        <f t="shared" si="7"/>
        <v>900298051.00999999</v>
      </c>
      <c r="F27" s="11">
        <f t="shared" si="7"/>
        <v>907813604.12</v>
      </c>
      <c r="G27" s="11">
        <f t="shared" si="7"/>
        <v>923198449.83000016</v>
      </c>
      <c r="H27" s="11">
        <f>H14+H15+H17+H18+H19</f>
        <v>926596230.97000003</v>
      </c>
      <c r="I27" s="11">
        <f>I14+I15+I17+I18+I19</f>
        <v>936235425.12000012</v>
      </c>
      <c r="J27" s="11">
        <f>J14+J15+J17+J18+J19</f>
        <v>949697584.63000011</v>
      </c>
      <c r="K27" s="11">
        <f>K14+K15+K17+K18+K19</f>
        <v>970778906.24000001</v>
      </c>
    </row>
    <row r="28" spans="1:13" x14ac:dyDescent="0.3">
      <c r="B28" s="132">
        <f>B27/B26*100</f>
        <v>76.177976508171</v>
      </c>
      <c r="C28" s="132">
        <f t="shared" ref="C28:K28" si="8">C27/C26*100</f>
        <v>76.859534287773101</v>
      </c>
      <c r="D28" s="132">
        <f t="shared" si="8"/>
        <v>77.798034323308315</v>
      </c>
      <c r="E28" s="132">
        <f t="shared" si="8"/>
        <v>79.276688743025602</v>
      </c>
      <c r="F28" s="132">
        <f t="shared" si="8"/>
        <v>79.424144931765895</v>
      </c>
      <c r="G28" s="132">
        <f t="shared" si="8"/>
        <v>78.554405526262414</v>
      </c>
      <c r="H28" s="132">
        <f t="shared" si="8"/>
        <v>77.399238151266687</v>
      </c>
      <c r="I28" s="132">
        <f t="shared" ref="I28:J28" si="9">I27/I26*100</f>
        <v>76.876670220332826</v>
      </c>
      <c r="J28" s="132">
        <f t="shared" si="9"/>
        <v>75.384898205188065</v>
      </c>
      <c r="K28" s="132">
        <f t="shared" si="8"/>
        <v>75.25676149759083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8"/>
  <sheetViews>
    <sheetView tabSelected="1" topLeftCell="A78" workbookViewId="0">
      <selection activeCell="K89" sqref="K89:K93"/>
    </sheetView>
  </sheetViews>
  <sheetFormatPr defaultRowHeight="14.4" x14ac:dyDescent="0.3"/>
  <cols>
    <col min="2" max="2" width="83.33203125" bestFit="1" customWidth="1"/>
    <col min="3" max="3" width="11.88671875" customWidth="1"/>
    <col min="7" max="7" width="9.109375" style="130"/>
    <col min="8" max="8" width="8.88671875" style="130"/>
    <col min="9" max="9" width="9.109375" style="130"/>
    <col min="10" max="10" width="8.88671875" style="130"/>
    <col min="11" max="11" width="9.109375" style="130"/>
  </cols>
  <sheetData>
    <row r="1" spans="1:11" x14ac:dyDescent="0.3">
      <c r="A1" s="159" t="s">
        <v>210</v>
      </c>
      <c r="B1" s="159"/>
      <c r="C1" s="2" t="s">
        <v>211</v>
      </c>
      <c r="D1" s="93">
        <v>2016</v>
      </c>
      <c r="E1" s="93">
        <v>2017</v>
      </c>
      <c r="F1" s="93">
        <v>2018</v>
      </c>
      <c r="G1" s="93">
        <v>2019</v>
      </c>
      <c r="H1" s="93">
        <v>2020</v>
      </c>
      <c r="I1" s="93">
        <v>2021</v>
      </c>
      <c r="J1" s="93">
        <v>2022</v>
      </c>
      <c r="K1" s="93">
        <v>2023</v>
      </c>
    </row>
    <row r="2" spans="1:11" x14ac:dyDescent="0.3">
      <c r="A2" t="s">
        <v>77</v>
      </c>
    </row>
    <row r="3" spans="1:11" x14ac:dyDescent="0.3">
      <c r="A3" s="8" t="s">
        <v>78</v>
      </c>
      <c r="B3" s="8" t="s">
        <v>79</v>
      </c>
      <c r="C3" s="9">
        <v>48</v>
      </c>
      <c r="D3" s="7">
        <v>30.3</v>
      </c>
      <c r="E3" s="7">
        <v>34.200000000000003</v>
      </c>
      <c r="F3" s="7">
        <v>30.42</v>
      </c>
      <c r="G3" s="131">
        <v>27.08</v>
      </c>
      <c r="H3" s="131">
        <v>25.64</v>
      </c>
      <c r="I3" s="131">
        <v>25.17</v>
      </c>
      <c r="J3" s="131">
        <v>28.63</v>
      </c>
      <c r="K3" s="131">
        <v>29.41</v>
      </c>
    </row>
    <row r="4" spans="1:11" x14ac:dyDescent="0.3">
      <c r="A4" t="s">
        <v>80</v>
      </c>
      <c r="D4" s="7"/>
      <c r="E4" s="7"/>
      <c r="F4" s="7"/>
      <c r="G4" s="131"/>
      <c r="H4" s="131"/>
      <c r="I4" s="131"/>
      <c r="J4" s="131"/>
      <c r="K4" s="131"/>
    </row>
    <row r="5" spans="1:11" x14ac:dyDescent="0.3">
      <c r="A5" t="s">
        <v>81</v>
      </c>
      <c r="B5" t="s">
        <v>82</v>
      </c>
      <c r="D5" s="7">
        <v>100.02</v>
      </c>
      <c r="E5" s="7">
        <v>97.47</v>
      </c>
      <c r="F5" s="7">
        <v>100.03</v>
      </c>
      <c r="G5" s="131">
        <v>102.64</v>
      </c>
      <c r="H5" s="131">
        <v>96.85</v>
      </c>
      <c r="I5" s="131">
        <v>103.57</v>
      </c>
      <c r="J5" s="131">
        <v>103.34</v>
      </c>
      <c r="K5" s="131">
        <v>101.05</v>
      </c>
    </row>
    <row r="6" spans="1:11" x14ac:dyDescent="0.3">
      <c r="A6" t="s">
        <v>83</v>
      </c>
      <c r="B6" t="s">
        <v>84</v>
      </c>
      <c r="D6" s="7">
        <v>98.44</v>
      </c>
      <c r="E6" s="7">
        <v>97.12</v>
      </c>
      <c r="F6" s="7">
        <v>97.96</v>
      </c>
      <c r="G6" s="131">
        <v>98.47</v>
      </c>
      <c r="H6" s="131">
        <v>98.28</v>
      </c>
      <c r="I6" s="131">
        <v>98.86</v>
      </c>
      <c r="J6" s="131">
        <v>95.74</v>
      </c>
      <c r="K6" s="131">
        <v>96.59</v>
      </c>
    </row>
    <row r="7" spans="1:11" x14ac:dyDescent="0.3">
      <c r="A7" t="s">
        <v>85</v>
      </c>
      <c r="B7" t="s">
        <v>86</v>
      </c>
      <c r="D7" s="7">
        <v>74.540000000000006</v>
      </c>
      <c r="E7" s="7">
        <v>72.510000000000005</v>
      </c>
      <c r="F7" s="7">
        <v>74.510000000000005</v>
      </c>
      <c r="G7" s="131">
        <v>78.510000000000005</v>
      </c>
      <c r="H7" s="131">
        <v>67.08</v>
      </c>
      <c r="I7" s="131">
        <v>73.02</v>
      </c>
      <c r="J7" s="131">
        <v>68.709999999999994</v>
      </c>
      <c r="K7" s="131">
        <v>67.69</v>
      </c>
    </row>
    <row r="8" spans="1:11" x14ac:dyDescent="0.3">
      <c r="A8" t="s">
        <v>87</v>
      </c>
      <c r="B8" t="s">
        <v>88</v>
      </c>
      <c r="D8" s="7">
        <v>73.37</v>
      </c>
      <c r="E8" s="7">
        <v>72.25</v>
      </c>
      <c r="F8" s="7">
        <v>72.97</v>
      </c>
      <c r="G8" s="131">
        <v>75.319999999999993</v>
      </c>
      <c r="H8" s="131">
        <v>68.08</v>
      </c>
      <c r="I8" s="131">
        <v>69.7</v>
      </c>
      <c r="J8" s="131">
        <v>63.66</v>
      </c>
      <c r="K8" s="131">
        <v>64.709999999999994</v>
      </c>
    </row>
    <row r="9" spans="1:11" x14ac:dyDescent="0.3">
      <c r="A9" t="s">
        <v>89</v>
      </c>
      <c r="B9" t="s">
        <v>90</v>
      </c>
      <c r="D9" s="7">
        <v>84.14</v>
      </c>
      <c r="E9" s="7">
        <v>83.87</v>
      </c>
      <c r="F9" s="7">
        <v>80.67</v>
      </c>
      <c r="G9" s="131">
        <v>76.849999999999994</v>
      </c>
      <c r="H9" s="131">
        <v>76.88</v>
      </c>
      <c r="I9" s="131">
        <v>84.52</v>
      </c>
      <c r="J9" s="131">
        <v>93.36</v>
      </c>
      <c r="K9" s="131">
        <v>90.35</v>
      </c>
    </row>
    <row r="10" spans="1:11" x14ac:dyDescent="0.3">
      <c r="A10" t="s">
        <v>91</v>
      </c>
      <c r="B10" t="s">
        <v>92</v>
      </c>
      <c r="D10" s="7">
        <v>82.61</v>
      </c>
      <c r="E10" s="7">
        <v>83.58</v>
      </c>
      <c r="F10" s="7">
        <v>73.39</v>
      </c>
      <c r="G10" s="131">
        <v>80.3</v>
      </c>
      <c r="H10" s="131">
        <v>77.42</v>
      </c>
      <c r="I10" s="131">
        <v>80.97</v>
      </c>
      <c r="J10" s="131">
        <v>87.1</v>
      </c>
      <c r="K10" s="131">
        <v>87.82</v>
      </c>
    </row>
    <row r="11" spans="1:11" x14ac:dyDescent="0.3">
      <c r="A11" t="s">
        <v>93</v>
      </c>
      <c r="B11" t="s">
        <v>94</v>
      </c>
      <c r="D11" s="7">
        <v>62.47</v>
      </c>
      <c r="E11" s="7">
        <v>60.67</v>
      </c>
      <c r="F11" s="7">
        <v>58.38</v>
      </c>
      <c r="G11" s="131">
        <v>57.44</v>
      </c>
      <c r="H11" s="131">
        <v>51.73</v>
      </c>
      <c r="I11" s="131">
        <v>57.92</v>
      </c>
      <c r="J11" s="131">
        <v>63.37</v>
      </c>
      <c r="K11" s="131">
        <v>60.04</v>
      </c>
    </row>
    <row r="12" spans="1:11" x14ac:dyDescent="0.3">
      <c r="A12" s="8" t="s">
        <v>95</v>
      </c>
      <c r="B12" s="8" t="s">
        <v>96</v>
      </c>
      <c r="C12" s="9">
        <v>22</v>
      </c>
      <c r="D12" s="7">
        <v>61.33</v>
      </c>
      <c r="E12" s="7">
        <v>60.46</v>
      </c>
      <c r="F12" s="7">
        <v>53.11</v>
      </c>
      <c r="G12" s="131">
        <v>60.02</v>
      </c>
      <c r="H12" s="131">
        <v>52.1</v>
      </c>
      <c r="I12" s="131">
        <v>55.49</v>
      </c>
      <c r="J12" s="131">
        <v>59.12</v>
      </c>
      <c r="K12" s="131">
        <v>58.36</v>
      </c>
    </row>
    <row r="13" spans="1:11" x14ac:dyDescent="0.3">
      <c r="A13" t="s">
        <v>97</v>
      </c>
      <c r="D13" s="7"/>
      <c r="E13" s="7"/>
      <c r="F13" s="7"/>
      <c r="G13" s="131"/>
      <c r="H13" s="131"/>
      <c r="I13" s="131"/>
      <c r="J13" s="131"/>
      <c r="K13" s="131"/>
    </row>
    <row r="14" spans="1:11" x14ac:dyDescent="0.3">
      <c r="A14" t="s">
        <v>98</v>
      </c>
      <c r="B14" t="s">
        <v>99</v>
      </c>
      <c r="D14" s="7">
        <v>0</v>
      </c>
      <c r="E14" s="7">
        <v>0</v>
      </c>
      <c r="F14" s="7">
        <v>0</v>
      </c>
      <c r="G14" s="131">
        <v>0</v>
      </c>
      <c r="H14" s="131">
        <v>0</v>
      </c>
      <c r="I14" s="131">
        <v>0</v>
      </c>
      <c r="J14" s="131">
        <v>0</v>
      </c>
      <c r="K14" s="131">
        <v>0</v>
      </c>
    </row>
    <row r="15" spans="1:11" x14ac:dyDescent="0.3">
      <c r="A15" s="8" t="s">
        <v>100</v>
      </c>
      <c r="B15" s="8" t="s">
        <v>101</v>
      </c>
      <c r="C15" s="9">
        <v>0</v>
      </c>
      <c r="D15" s="7">
        <v>0</v>
      </c>
      <c r="E15" s="7">
        <v>0</v>
      </c>
      <c r="F15" s="7">
        <v>0</v>
      </c>
      <c r="G15" s="131">
        <v>0</v>
      </c>
      <c r="H15" s="131">
        <v>0</v>
      </c>
      <c r="I15" s="131">
        <v>0</v>
      </c>
      <c r="J15" s="131">
        <v>0</v>
      </c>
      <c r="K15" s="131">
        <v>0</v>
      </c>
    </row>
    <row r="16" spans="1:11" x14ac:dyDescent="0.3">
      <c r="A16" t="s">
        <v>102</v>
      </c>
      <c r="D16" s="7"/>
      <c r="E16" s="7"/>
      <c r="F16" s="7"/>
      <c r="G16" s="131"/>
      <c r="H16" s="131"/>
      <c r="I16" s="131"/>
      <c r="J16" s="131"/>
      <c r="K16" s="131"/>
    </row>
    <row r="17" spans="1:11" x14ac:dyDescent="0.3">
      <c r="A17" t="s">
        <v>103</v>
      </c>
      <c r="B17" t="s">
        <v>104</v>
      </c>
      <c r="D17" s="7">
        <v>26.24</v>
      </c>
      <c r="E17" s="7">
        <v>26.95</v>
      </c>
      <c r="F17" s="7">
        <v>27.09</v>
      </c>
      <c r="G17" s="131">
        <v>27.23</v>
      </c>
      <c r="H17" s="131">
        <v>25.58</v>
      </c>
      <c r="I17" s="131">
        <v>24.52</v>
      </c>
      <c r="J17" s="131">
        <v>26.21</v>
      </c>
      <c r="K17" s="131">
        <v>25.83</v>
      </c>
    </row>
    <row r="18" spans="1:11" x14ac:dyDescent="0.3">
      <c r="A18" t="s">
        <v>105</v>
      </c>
      <c r="B18" t="s">
        <v>106</v>
      </c>
      <c r="D18" s="7">
        <v>9.43</v>
      </c>
      <c r="E18" s="7">
        <v>13.18</v>
      </c>
      <c r="F18" s="7">
        <v>13.58</v>
      </c>
      <c r="G18" s="131">
        <v>12.96</v>
      </c>
      <c r="H18" s="131">
        <v>15.35</v>
      </c>
      <c r="I18" s="131">
        <v>16.850000000000001</v>
      </c>
      <c r="J18" s="131">
        <v>8.9499999999999993</v>
      </c>
      <c r="K18" s="131">
        <v>10.98</v>
      </c>
    </row>
    <row r="19" spans="1:11" x14ac:dyDescent="0.3">
      <c r="A19" t="s">
        <v>107</v>
      </c>
      <c r="B19" t="s">
        <v>108</v>
      </c>
      <c r="D19" s="7">
        <v>1.01</v>
      </c>
      <c r="E19" s="7">
        <v>1.56</v>
      </c>
      <c r="F19" s="7">
        <v>1.24</v>
      </c>
      <c r="G19" s="131">
        <v>1.1499999999999999</v>
      </c>
      <c r="H19" s="131">
        <v>0.85</v>
      </c>
      <c r="I19" s="131">
        <v>0.8</v>
      </c>
      <c r="J19" s="131">
        <v>1.1200000000000001</v>
      </c>
      <c r="K19" s="131">
        <v>0.45</v>
      </c>
    </row>
    <row r="20" spans="1:11" x14ac:dyDescent="0.3">
      <c r="A20" t="s">
        <v>109</v>
      </c>
      <c r="B20" t="s">
        <v>110</v>
      </c>
      <c r="D20" s="7">
        <v>220.23</v>
      </c>
      <c r="E20" s="7">
        <v>228.65</v>
      </c>
      <c r="F20" s="7">
        <v>239.07</v>
      </c>
      <c r="G20" s="131">
        <v>236.32</v>
      </c>
      <c r="H20" s="131">
        <v>239.14</v>
      </c>
      <c r="I20" s="131">
        <v>244.79</v>
      </c>
      <c r="J20" s="131">
        <v>229.47</v>
      </c>
      <c r="K20" s="131">
        <v>239.93</v>
      </c>
    </row>
    <row r="21" spans="1:11" x14ac:dyDescent="0.3">
      <c r="A21" t="s">
        <v>111</v>
      </c>
      <c r="D21" s="7"/>
      <c r="E21" s="7"/>
      <c r="F21" s="7"/>
      <c r="G21" s="131"/>
      <c r="H21" s="131"/>
      <c r="I21" s="131"/>
      <c r="J21" s="131"/>
      <c r="K21" s="131"/>
    </row>
    <row r="22" spans="1:11" x14ac:dyDescent="0.3">
      <c r="A22" t="s">
        <v>112</v>
      </c>
      <c r="B22" t="s">
        <v>113</v>
      </c>
      <c r="D22" s="7">
        <v>29.92</v>
      </c>
      <c r="E22" s="7">
        <v>30.84</v>
      </c>
      <c r="F22" s="7">
        <v>31.83</v>
      </c>
      <c r="G22" s="131">
        <v>31.57</v>
      </c>
      <c r="H22" s="131">
        <v>31.3</v>
      </c>
      <c r="I22" s="131">
        <v>31.78</v>
      </c>
      <c r="J22" s="131">
        <v>15.43</v>
      </c>
      <c r="K22" s="131">
        <v>16.649999999999999</v>
      </c>
    </row>
    <row r="23" spans="1:11" x14ac:dyDescent="0.3">
      <c r="A23" t="s">
        <v>114</v>
      </c>
      <c r="D23" s="7"/>
      <c r="E23" s="7"/>
      <c r="F23" s="7"/>
      <c r="G23" s="131"/>
      <c r="H23" s="131"/>
      <c r="I23" s="131"/>
      <c r="J23" s="131"/>
      <c r="K23" s="131"/>
    </row>
    <row r="24" spans="1:11" x14ac:dyDescent="0.3">
      <c r="A24" t="s">
        <v>115</v>
      </c>
      <c r="B24" t="s">
        <v>116</v>
      </c>
      <c r="D24" s="7">
        <v>1.35</v>
      </c>
      <c r="E24" s="7">
        <v>1.28</v>
      </c>
      <c r="F24" s="7">
        <v>0.99</v>
      </c>
      <c r="G24" s="131">
        <v>0.86</v>
      </c>
      <c r="H24" s="131">
        <v>0.87</v>
      </c>
      <c r="I24" s="131">
        <v>0.82</v>
      </c>
      <c r="J24" s="131">
        <v>1</v>
      </c>
      <c r="K24" s="131">
        <v>1.1100000000000001</v>
      </c>
    </row>
    <row r="25" spans="1:11" x14ac:dyDescent="0.3">
      <c r="A25" t="s">
        <v>117</v>
      </c>
      <c r="B25" t="s">
        <v>118</v>
      </c>
      <c r="D25" s="7">
        <v>0</v>
      </c>
      <c r="E25" s="7">
        <v>0</v>
      </c>
      <c r="F25" s="7">
        <v>0</v>
      </c>
      <c r="G25" s="131">
        <v>0</v>
      </c>
      <c r="H25" s="131">
        <v>0</v>
      </c>
      <c r="I25" s="131">
        <v>0</v>
      </c>
      <c r="J25" s="131">
        <v>0</v>
      </c>
      <c r="K25" s="131">
        <v>0</v>
      </c>
    </row>
    <row r="26" spans="1:11" x14ac:dyDescent="0.3">
      <c r="A26" t="s">
        <v>119</v>
      </c>
      <c r="B26" t="s">
        <v>120</v>
      </c>
      <c r="D26" s="7">
        <v>0</v>
      </c>
      <c r="E26" s="7">
        <v>0</v>
      </c>
      <c r="F26" s="7">
        <v>0</v>
      </c>
      <c r="G26" s="131">
        <v>0</v>
      </c>
      <c r="H26" s="131">
        <v>0</v>
      </c>
      <c r="I26" s="131">
        <v>0</v>
      </c>
      <c r="J26" s="131">
        <v>1.85</v>
      </c>
      <c r="K26" s="131">
        <v>0.02</v>
      </c>
    </row>
    <row r="27" spans="1:11" x14ac:dyDescent="0.3">
      <c r="A27" t="s">
        <v>121</v>
      </c>
      <c r="D27" s="7"/>
      <c r="E27" s="7"/>
      <c r="F27" s="7"/>
      <c r="G27" s="131"/>
      <c r="H27" s="131"/>
      <c r="I27" s="131"/>
      <c r="J27" s="131"/>
      <c r="K27" s="131"/>
    </row>
    <row r="28" spans="1:11" x14ac:dyDescent="0.3">
      <c r="A28" t="s">
        <v>122</v>
      </c>
      <c r="B28" t="s">
        <v>123</v>
      </c>
      <c r="D28" s="7">
        <v>8.48</v>
      </c>
      <c r="E28" s="7">
        <v>8.51</v>
      </c>
      <c r="F28" s="7">
        <v>9.5500000000000007</v>
      </c>
      <c r="G28" s="131">
        <v>19.05</v>
      </c>
      <c r="H28" s="131">
        <v>9.7100000000000009</v>
      </c>
      <c r="I28" s="131">
        <v>9.43</v>
      </c>
      <c r="J28" s="131">
        <v>23.21</v>
      </c>
      <c r="K28" s="131">
        <v>15.41</v>
      </c>
    </row>
    <row r="29" spans="1:11" x14ac:dyDescent="0.3">
      <c r="A29" t="s">
        <v>124</v>
      </c>
      <c r="B29" t="s">
        <v>125</v>
      </c>
      <c r="D29" s="7">
        <v>76.97</v>
      </c>
      <c r="E29" s="7">
        <v>76</v>
      </c>
      <c r="F29" s="7">
        <v>87.78</v>
      </c>
      <c r="G29" s="131">
        <v>203.57</v>
      </c>
      <c r="H29" s="131">
        <v>85.99</v>
      </c>
      <c r="I29" s="131">
        <v>71.3</v>
      </c>
      <c r="J29" s="131">
        <v>208.77</v>
      </c>
      <c r="K29" s="131">
        <v>141.93</v>
      </c>
    </row>
    <row r="30" spans="1:11" x14ac:dyDescent="0.3">
      <c r="A30" t="s">
        <v>126</v>
      </c>
      <c r="B30" t="s">
        <v>127</v>
      </c>
      <c r="D30" s="7">
        <v>4.57</v>
      </c>
      <c r="E30" s="7">
        <v>5.89</v>
      </c>
      <c r="F30" s="7">
        <v>10.08</v>
      </c>
      <c r="G30" s="131">
        <v>16.170000000000002</v>
      </c>
      <c r="H30" s="131">
        <v>17.690000000000001</v>
      </c>
      <c r="I30" s="131">
        <v>36.799999999999997</v>
      </c>
      <c r="J30" s="131">
        <v>57.94</v>
      </c>
      <c r="K30" s="131">
        <v>27.76</v>
      </c>
    </row>
    <row r="31" spans="1:11" x14ac:dyDescent="0.3">
      <c r="A31" t="s">
        <v>128</v>
      </c>
      <c r="B31" t="s">
        <v>129</v>
      </c>
      <c r="D31" s="7">
        <v>81.53</v>
      </c>
      <c r="E31" s="7">
        <v>81.89</v>
      </c>
      <c r="F31" s="7">
        <v>97.86</v>
      </c>
      <c r="G31" s="131">
        <v>219.74</v>
      </c>
      <c r="H31" s="131">
        <v>103.69</v>
      </c>
      <c r="I31" s="131">
        <v>108.09</v>
      </c>
      <c r="J31" s="131">
        <v>266.70999999999998</v>
      </c>
      <c r="K31" s="131">
        <v>169.68</v>
      </c>
    </row>
    <row r="32" spans="1:11" x14ac:dyDescent="0.3">
      <c r="A32" t="s">
        <v>130</v>
      </c>
      <c r="B32" t="s">
        <v>131</v>
      </c>
      <c r="D32" s="7">
        <v>22.08</v>
      </c>
      <c r="E32" s="7">
        <v>0</v>
      </c>
      <c r="F32" s="7">
        <v>0</v>
      </c>
      <c r="G32" s="131">
        <v>0</v>
      </c>
      <c r="H32" s="131">
        <v>0</v>
      </c>
      <c r="I32" s="131">
        <v>0</v>
      </c>
      <c r="J32" s="131">
        <v>0.1</v>
      </c>
      <c r="K32" s="131">
        <v>0</v>
      </c>
    </row>
    <row r="33" spans="1:11" x14ac:dyDescent="0.3">
      <c r="A33" t="s">
        <v>132</v>
      </c>
      <c r="B33" t="s">
        <v>133</v>
      </c>
      <c r="D33" s="7">
        <v>-19.48</v>
      </c>
      <c r="E33" s="7">
        <v>117.84</v>
      </c>
      <c r="F33" s="7">
        <v>77.83</v>
      </c>
      <c r="G33" s="131">
        <v>4.6900000000000004</v>
      </c>
      <c r="H33" s="131">
        <v>0</v>
      </c>
      <c r="I33" s="131">
        <v>0</v>
      </c>
      <c r="J33" s="131">
        <v>0</v>
      </c>
      <c r="K33" s="131">
        <v>0</v>
      </c>
    </row>
    <row r="34" spans="1:11" x14ac:dyDescent="0.3">
      <c r="A34" t="s">
        <v>134</v>
      </c>
      <c r="B34" t="s">
        <v>135</v>
      </c>
      <c r="D34" s="7">
        <v>15.49</v>
      </c>
      <c r="E34" s="7">
        <v>2.5099999999999998</v>
      </c>
      <c r="F34" s="7">
        <v>13.92</v>
      </c>
      <c r="G34" s="131">
        <v>17.38</v>
      </c>
      <c r="H34" s="131">
        <v>29.44</v>
      </c>
      <c r="I34" s="131">
        <v>28.43</v>
      </c>
      <c r="J34" s="131">
        <v>13.67</v>
      </c>
      <c r="K34" s="131">
        <v>40.729999999999997</v>
      </c>
    </row>
    <row r="35" spans="1:11" x14ac:dyDescent="0.3">
      <c r="A35" t="s">
        <v>136</v>
      </c>
      <c r="D35" s="7"/>
      <c r="E35" s="7"/>
      <c r="F35" s="7"/>
      <c r="G35" s="131"/>
      <c r="H35" s="131"/>
      <c r="I35" s="131"/>
      <c r="J35" s="131"/>
      <c r="K35" s="131"/>
    </row>
    <row r="36" spans="1:11" x14ac:dyDescent="0.3">
      <c r="A36" t="s">
        <v>137</v>
      </c>
      <c r="B36" t="s">
        <v>138</v>
      </c>
      <c r="D36" s="7">
        <v>80.27</v>
      </c>
      <c r="E36" s="7">
        <v>86.06</v>
      </c>
      <c r="F36" s="7">
        <v>87.02</v>
      </c>
      <c r="G36" s="131">
        <v>87.62</v>
      </c>
      <c r="H36" s="131">
        <v>85.34</v>
      </c>
      <c r="I36" s="131">
        <v>85.34</v>
      </c>
      <c r="J36" s="131">
        <v>82.77</v>
      </c>
      <c r="K36" s="131">
        <v>79.180000000000007</v>
      </c>
    </row>
    <row r="37" spans="1:11" x14ac:dyDescent="0.3">
      <c r="A37" t="s">
        <v>139</v>
      </c>
      <c r="B37" t="s">
        <v>140</v>
      </c>
      <c r="D37" s="7">
        <v>67.83</v>
      </c>
      <c r="E37" s="7">
        <v>65.77</v>
      </c>
      <c r="F37" s="7">
        <v>77</v>
      </c>
      <c r="G37" s="131">
        <v>89.75</v>
      </c>
      <c r="H37" s="131">
        <v>78.209999999999994</v>
      </c>
      <c r="I37" s="131">
        <v>79.98</v>
      </c>
      <c r="J37" s="131">
        <v>85.98</v>
      </c>
      <c r="K37" s="131">
        <v>75.849999999999994</v>
      </c>
    </row>
    <row r="38" spans="1:11" x14ac:dyDescent="0.3">
      <c r="A38" t="s">
        <v>141</v>
      </c>
      <c r="B38" t="s">
        <v>142</v>
      </c>
      <c r="D38" s="7">
        <v>0</v>
      </c>
      <c r="E38" s="7">
        <v>0</v>
      </c>
      <c r="F38" s="7">
        <v>0</v>
      </c>
      <c r="G38" s="131">
        <v>0</v>
      </c>
      <c r="H38" s="131">
        <v>100</v>
      </c>
      <c r="I38" s="131">
        <v>0</v>
      </c>
      <c r="J38" s="131">
        <v>0</v>
      </c>
      <c r="K38" s="131">
        <v>0</v>
      </c>
    </row>
    <row r="39" spans="1:11" x14ac:dyDescent="0.3">
      <c r="A39" t="s">
        <v>143</v>
      </c>
      <c r="B39" t="s">
        <v>144</v>
      </c>
      <c r="D39" s="7">
        <v>54.5</v>
      </c>
      <c r="E39" s="7">
        <v>46.08</v>
      </c>
      <c r="F39" s="7">
        <v>47.25</v>
      </c>
      <c r="G39" s="131">
        <v>45.38</v>
      </c>
      <c r="H39" s="131">
        <v>42.79</v>
      </c>
      <c r="I39" s="131">
        <v>47.38</v>
      </c>
      <c r="J39" s="131">
        <v>34.78</v>
      </c>
      <c r="K39" s="131">
        <v>36.369999999999997</v>
      </c>
    </row>
    <row r="40" spans="1:11" x14ac:dyDescent="0.3">
      <c r="A40" t="s">
        <v>145</v>
      </c>
      <c r="B40" t="s">
        <v>146</v>
      </c>
      <c r="D40" s="7">
        <v>12.2</v>
      </c>
      <c r="E40" s="7">
        <v>4.95</v>
      </c>
      <c r="F40" s="7">
        <v>19.52</v>
      </c>
      <c r="G40" s="131">
        <v>27.1</v>
      </c>
      <c r="H40" s="131">
        <v>29.39</v>
      </c>
      <c r="I40" s="131">
        <v>41.48</v>
      </c>
      <c r="J40" s="131">
        <v>64.989999999999995</v>
      </c>
      <c r="K40" s="131">
        <v>61.15</v>
      </c>
    </row>
    <row r="41" spans="1:11" x14ac:dyDescent="0.3">
      <c r="A41" t="s">
        <v>147</v>
      </c>
      <c r="B41" t="s">
        <v>148</v>
      </c>
      <c r="D41" s="7">
        <v>51.36</v>
      </c>
      <c r="E41" s="7">
        <v>13.54</v>
      </c>
      <c r="F41" s="7">
        <v>58.28</v>
      </c>
      <c r="G41" s="131">
        <v>59.23</v>
      </c>
      <c r="H41" s="131">
        <v>61.77</v>
      </c>
      <c r="I41" s="131">
        <v>51.12</v>
      </c>
      <c r="J41" s="131">
        <v>32.18</v>
      </c>
      <c r="K41" s="131">
        <v>45.47</v>
      </c>
    </row>
    <row r="42" spans="1:11" x14ac:dyDescent="0.3">
      <c r="A42" t="s">
        <v>149</v>
      </c>
      <c r="D42" s="7"/>
      <c r="E42" s="7"/>
      <c r="F42" s="7"/>
      <c r="G42" s="131"/>
      <c r="H42" s="131"/>
      <c r="I42" s="131"/>
      <c r="J42" s="131"/>
      <c r="K42" s="131"/>
    </row>
    <row r="43" spans="1:11" x14ac:dyDescent="0.3">
      <c r="A43" t="s">
        <v>150</v>
      </c>
      <c r="B43" t="s">
        <v>151</v>
      </c>
      <c r="D43" s="7">
        <v>68.930000000000007</v>
      </c>
      <c r="E43" s="7">
        <v>70.08</v>
      </c>
      <c r="F43" s="7">
        <v>73.08</v>
      </c>
      <c r="G43" s="131">
        <v>74.239999999999995</v>
      </c>
      <c r="H43" s="131">
        <v>70.739999999999995</v>
      </c>
      <c r="I43" s="131">
        <v>69.52</v>
      </c>
      <c r="J43" s="131">
        <v>68.69</v>
      </c>
      <c r="K43" s="131">
        <v>70.91</v>
      </c>
    </row>
    <row r="44" spans="1:11" x14ac:dyDescent="0.3">
      <c r="A44" t="s">
        <v>152</v>
      </c>
      <c r="B44" t="s">
        <v>153</v>
      </c>
      <c r="D44" s="7">
        <v>76.569999999999993</v>
      </c>
      <c r="E44" s="7">
        <v>77.78</v>
      </c>
      <c r="F44" s="7">
        <v>85.36</v>
      </c>
      <c r="G44" s="131">
        <v>87.58</v>
      </c>
      <c r="H44" s="131">
        <v>81.42</v>
      </c>
      <c r="I44" s="131">
        <v>84.71</v>
      </c>
      <c r="J44" s="131">
        <v>82.97</v>
      </c>
      <c r="K44" s="131">
        <v>76.989999999999995</v>
      </c>
    </row>
    <row r="45" spans="1:11" x14ac:dyDescent="0.3">
      <c r="A45" t="s">
        <v>154</v>
      </c>
      <c r="B45" t="s">
        <v>155</v>
      </c>
      <c r="D45" s="7">
        <v>94.52</v>
      </c>
      <c r="E45" s="7">
        <v>94.49</v>
      </c>
      <c r="F45" s="7">
        <v>94.69</v>
      </c>
      <c r="G45" s="131">
        <v>96.21</v>
      </c>
      <c r="H45" s="131">
        <v>91.43</v>
      </c>
      <c r="I45" s="131">
        <v>91.77</v>
      </c>
      <c r="J45" s="131">
        <v>87.19</v>
      </c>
      <c r="K45" s="131">
        <v>95.5</v>
      </c>
    </row>
    <row r="46" spans="1:11" x14ac:dyDescent="0.3">
      <c r="A46" t="s">
        <v>156</v>
      </c>
      <c r="B46" t="s">
        <v>157</v>
      </c>
      <c r="D46" s="7">
        <v>97.09</v>
      </c>
      <c r="E46" s="7">
        <v>92.7</v>
      </c>
      <c r="F46" s="7">
        <v>89.78</v>
      </c>
      <c r="G46" s="131">
        <v>81.23</v>
      </c>
      <c r="H46" s="131">
        <v>64.8</v>
      </c>
      <c r="I46" s="131">
        <v>84.39</v>
      </c>
      <c r="J46" s="131">
        <v>78.84</v>
      </c>
      <c r="K46" s="131">
        <v>84.95</v>
      </c>
    </row>
    <row r="47" spans="1:11" x14ac:dyDescent="0.3">
      <c r="A47" t="s">
        <v>158</v>
      </c>
      <c r="B47" t="s">
        <v>159</v>
      </c>
      <c r="D47" s="7">
        <v>-2</v>
      </c>
      <c r="E47" s="7">
        <v>-6</v>
      </c>
      <c r="F47" s="7">
        <v>-6</v>
      </c>
      <c r="G47" s="131">
        <v>-6</v>
      </c>
      <c r="H47" s="131">
        <v>-7</v>
      </c>
      <c r="I47" s="131">
        <v>-13</v>
      </c>
      <c r="J47" s="131">
        <v>-5</v>
      </c>
      <c r="K47" s="131">
        <v>-4</v>
      </c>
    </row>
    <row r="48" spans="1:11" x14ac:dyDescent="0.3">
      <c r="A48" t="s">
        <v>160</v>
      </c>
      <c r="D48" s="7"/>
      <c r="E48" s="7"/>
      <c r="F48" s="7"/>
      <c r="G48" s="131"/>
      <c r="H48" s="131"/>
      <c r="I48" s="131"/>
      <c r="J48" s="131"/>
      <c r="K48" s="131"/>
    </row>
    <row r="49" spans="1:11" x14ac:dyDescent="0.3">
      <c r="A49" t="s">
        <v>161</v>
      </c>
      <c r="B49" t="s">
        <v>162</v>
      </c>
      <c r="D49" s="7">
        <v>0</v>
      </c>
      <c r="E49" s="7">
        <v>5.14</v>
      </c>
      <c r="F49" s="7">
        <v>0</v>
      </c>
      <c r="G49" s="131">
        <v>0</v>
      </c>
      <c r="H49" s="131">
        <v>1.01</v>
      </c>
      <c r="I49" s="131">
        <v>0</v>
      </c>
      <c r="J49" s="131">
        <v>0</v>
      </c>
      <c r="K49" s="131">
        <v>0</v>
      </c>
    </row>
    <row r="50" spans="1:11" x14ac:dyDescent="0.3">
      <c r="A50" t="s">
        <v>163</v>
      </c>
      <c r="B50" t="s">
        <v>164</v>
      </c>
      <c r="D50" s="7">
        <v>13.96</v>
      </c>
      <c r="E50" s="7">
        <v>14.71</v>
      </c>
      <c r="F50" s="7">
        <v>17.03</v>
      </c>
      <c r="G50" s="131">
        <v>14.88</v>
      </c>
      <c r="H50" s="131">
        <v>9.32</v>
      </c>
      <c r="I50" s="131">
        <v>9.48</v>
      </c>
      <c r="J50" s="131">
        <v>9.02</v>
      </c>
      <c r="K50" s="131">
        <v>8.68</v>
      </c>
    </row>
    <row r="51" spans="1:11" x14ac:dyDescent="0.3">
      <c r="A51" s="8" t="s">
        <v>165</v>
      </c>
      <c r="B51" s="8" t="s">
        <v>166</v>
      </c>
      <c r="C51" s="9">
        <v>16</v>
      </c>
      <c r="D51" s="7">
        <v>8.1</v>
      </c>
      <c r="E51" s="7">
        <v>10.96</v>
      </c>
      <c r="F51" s="7">
        <v>7.35</v>
      </c>
      <c r="G51" s="131">
        <v>5.69</v>
      </c>
      <c r="H51" s="131">
        <v>3.77</v>
      </c>
      <c r="I51" s="131">
        <v>3.96</v>
      </c>
      <c r="J51" s="131">
        <v>5.03</v>
      </c>
      <c r="K51" s="131">
        <v>5.12</v>
      </c>
    </row>
    <row r="52" spans="1:11" x14ac:dyDescent="0.3">
      <c r="A52" t="s">
        <v>167</v>
      </c>
      <c r="B52" t="s">
        <v>168</v>
      </c>
      <c r="D52" s="7">
        <v>480.2</v>
      </c>
      <c r="E52" s="7">
        <v>388.54</v>
      </c>
      <c r="F52" s="7">
        <v>347.89</v>
      </c>
      <c r="G52" s="131">
        <v>344.92</v>
      </c>
      <c r="H52" s="131">
        <v>379.66</v>
      </c>
      <c r="I52" s="131">
        <v>434.41</v>
      </c>
      <c r="J52" s="131">
        <v>455.83</v>
      </c>
      <c r="K52" s="131">
        <v>534.37</v>
      </c>
    </row>
    <row r="53" spans="1:11" x14ac:dyDescent="0.3">
      <c r="A53" t="s">
        <v>169</v>
      </c>
      <c r="D53" s="7">
        <v>11.514785927220261</v>
      </c>
      <c r="E53" s="7">
        <v>9.2490034517270061</v>
      </c>
      <c r="F53" s="7">
        <v>5.2782583181052782</v>
      </c>
      <c r="G53" s="131">
        <v>11.449285160126138</v>
      </c>
      <c r="H53" s="131">
        <v>9.7113439965765131</v>
      </c>
      <c r="I53" s="131">
        <v>7.3988606429783523</v>
      </c>
      <c r="J53" s="131">
        <v>14.540527287095951</v>
      </c>
      <c r="K53" s="131">
        <v>11.774274831753967</v>
      </c>
    </row>
    <row r="54" spans="1:11" x14ac:dyDescent="0.3">
      <c r="A54" t="s">
        <v>170</v>
      </c>
      <c r="B54" t="s">
        <v>171</v>
      </c>
      <c r="D54" s="7">
        <v>7.8715395375072106</v>
      </c>
      <c r="E54" s="7">
        <v>5.2824175201099237</v>
      </c>
      <c r="F54" s="7">
        <v>3.3284753249776746</v>
      </c>
      <c r="G54" s="131">
        <v>4.5818359052254172</v>
      </c>
      <c r="H54" s="131">
        <v>5.2266352287818956</v>
      </c>
      <c r="I54" s="131">
        <v>4.3601028714498051</v>
      </c>
      <c r="J54" s="131">
        <v>8.9235327274658722</v>
      </c>
      <c r="K54" s="131">
        <v>9.0649422506973494</v>
      </c>
    </row>
    <row r="55" spans="1:11" x14ac:dyDescent="0.3">
      <c r="A55" t="s">
        <v>172</v>
      </c>
      <c r="B55" t="s">
        <v>173</v>
      </c>
      <c r="D55" s="7">
        <v>3.6432463897130507</v>
      </c>
      <c r="E55" s="7">
        <v>3.9665859316170828</v>
      </c>
      <c r="F55" s="7">
        <v>1.9497829931276034</v>
      </c>
      <c r="G55" s="131">
        <v>6.8674492549007207</v>
      </c>
      <c r="H55" s="131">
        <v>4.4847087677946167</v>
      </c>
      <c r="I55" s="131">
        <v>3.0387577715285476</v>
      </c>
      <c r="J55" s="131">
        <v>5.6169945596300783</v>
      </c>
      <c r="K55" s="131">
        <v>2.7093325810566187</v>
      </c>
    </row>
    <row r="56" spans="1:11" x14ac:dyDescent="0.3">
      <c r="A56" t="s">
        <v>174</v>
      </c>
      <c r="B56" t="s">
        <v>175</v>
      </c>
      <c r="D56" s="7">
        <v>66.206166140316597</v>
      </c>
      <c r="E56" s="7">
        <v>71.955328487932988</v>
      </c>
      <c r="F56" s="7">
        <v>74.208410144133879</v>
      </c>
      <c r="G56" s="131">
        <v>76.323139041385545</v>
      </c>
      <c r="H56" s="131">
        <v>74.370238611864366</v>
      </c>
      <c r="I56" s="131">
        <v>77.740256628519887</v>
      </c>
      <c r="J56" s="131">
        <v>67.313338167986743</v>
      </c>
      <c r="K56" s="131">
        <v>71.096156806785118</v>
      </c>
    </row>
    <row r="57" spans="1:11" x14ac:dyDescent="0.3">
      <c r="A57" t="s">
        <v>176</v>
      </c>
      <c r="B57" t="s">
        <v>177</v>
      </c>
      <c r="D57" s="7">
        <v>22.279047932463151</v>
      </c>
      <c r="E57" s="7">
        <v>18.795668060340006</v>
      </c>
      <c r="F57" s="7">
        <v>20.513331537760841</v>
      </c>
      <c r="G57" s="131">
        <v>12.227575798488314</v>
      </c>
      <c r="H57" s="131">
        <v>15.918417391559114</v>
      </c>
      <c r="I57" s="131">
        <v>14.860882728501757</v>
      </c>
      <c r="J57" s="131">
        <v>18.146134544917317</v>
      </c>
      <c r="K57" s="131">
        <v>17.129568361460912</v>
      </c>
    </row>
    <row r="58" spans="1:11" x14ac:dyDescent="0.3">
      <c r="A58" t="s">
        <v>178</v>
      </c>
      <c r="D58" s="7"/>
      <c r="E58" s="7"/>
      <c r="F58" s="7"/>
      <c r="G58" s="131"/>
      <c r="H58" s="131"/>
      <c r="I58" s="131"/>
      <c r="J58" s="131"/>
      <c r="K58" s="131"/>
    </row>
    <row r="59" spans="1:11" x14ac:dyDescent="0.3">
      <c r="A59" t="s">
        <v>179</v>
      </c>
      <c r="B59" t="s">
        <v>180</v>
      </c>
      <c r="D59" s="7" t="s">
        <v>355</v>
      </c>
      <c r="E59" s="7" t="s">
        <v>355</v>
      </c>
      <c r="F59" s="7" t="s">
        <v>355</v>
      </c>
      <c r="G59" s="131" t="s">
        <v>355</v>
      </c>
      <c r="H59" s="131" t="s">
        <v>355</v>
      </c>
      <c r="I59" s="131" t="s">
        <v>355</v>
      </c>
      <c r="J59" s="131" t="s">
        <v>355</v>
      </c>
      <c r="K59" s="131" t="s">
        <v>355</v>
      </c>
    </row>
    <row r="60" spans="1:11" x14ac:dyDescent="0.3">
      <c r="A60" t="s">
        <v>181</v>
      </c>
      <c r="B60" t="s">
        <v>182</v>
      </c>
      <c r="D60" s="7" t="s">
        <v>355</v>
      </c>
      <c r="E60" s="7" t="s">
        <v>355</v>
      </c>
      <c r="F60" s="7" t="s">
        <v>355</v>
      </c>
      <c r="G60" s="131" t="s">
        <v>355</v>
      </c>
      <c r="H60" s="131" t="s">
        <v>355</v>
      </c>
      <c r="I60" s="131" t="s">
        <v>355</v>
      </c>
      <c r="J60" s="131" t="s">
        <v>355</v>
      </c>
      <c r="K60" s="131" t="s">
        <v>355</v>
      </c>
    </row>
    <row r="61" spans="1:11" x14ac:dyDescent="0.3">
      <c r="A61" t="s">
        <v>183</v>
      </c>
      <c r="B61" t="s">
        <v>184</v>
      </c>
      <c r="D61" s="7">
        <v>0</v>
      </c>
      <c r="E61" s="7">
        <v>0</v>
      </c>
      <c r="F61" s="7">
        <v>0</v>
      </c>
      <c r="G61" s="131">
        <v>0</v>
      </c>
      <c r="H61" s="131">
        <v>0</v>
      </c>
      <c r="I61" s="131">
        <v>0</v>
      </c>
      <c r="J61" s="131">
        <v>0</v>
      </c>
      <c r="K61" s="131">
        <v>0</v>
      </c>
    </row>
    <row r="62" spans="1:11" x14ac:dyDescent="0.3">
      <c r="A62" s="8" t="s">
        <v>185</v>
      </c>
      <c r="B62" s="8" t="s">
        <v>186</v>
      </c>
      <c r="C62" s="9">
        <v>1.2</v>
      </c>
      <c r="D62" s="7">
        <v>0</v>
      </c>
      <c r="E62" s="7">
        <v>0</v>
      </c>
      <c r="F62" s="7">
        <v>0</v>
      </c>
      <c r="G62" s="131">
        <v>0</v>
      </c>
      <c r="H62" s="131">
        <v>0</v>
      </c>
      <c r="I62" s="131">
        <v>0</v>
      </c>
      <c r="J62" s="131">
        <v>0</v>
      </c>
      <c r="K62" s="131">
        <v>0</v>
      </c>
    </row>
    <row r="63" spans="1:11" x14ac:dyDescent="0.3">
      <c r="A63" t="s">
        <v>187</v>
      </c>
      <c r="D63" s="7"/>
      <c r="E63" s="7"/>
      <c r="F63" s="7"/>
      <c r="G63" s="131"/>
      <c r="H63" s="131"/>
      <c r="I63" s="131"/>
      <c r="J63" s="131"/>
      <c r="K63" s="131"/>
    </row>
    <row r="64" spans="1:11" x14ac:dyDescent="0.3">
      <c r="A64" s="8" t="s">
        <v>188</v>
      </c>
      <c r="B64" s="8" t="s">
        <v>189</v>
      </c>
      <c r="C64" s="9">
        <v>1</v>
      </c>
      <c r="D64" s="7">
        <v>0</v>
      </c>
      <c r="E64" s="7">
        <v>0</v>
      </c>
      <c r="F64" s="7">
        <v>0.09</v>
      </c>
      <c r="G64" s="131">
        <v>0</v>
      </c>
      <c r="H64" s="131">
        <v>0.01</v>
      </c>
      <c r="I64" s="131">
        <v>1.55</v>
      </c>
      <c r="J64" s="131">
        <v>0</v>
      </c>
      <c r="K64" s="131">
        <v>0.25</v>
      </c>
    </row>
    <row r="65" spans="1:11" x14ac:dyDescent="0.3">
      <c r="A65" s="8" t="s">
        <v>190</v>
      </c>
      <c r="B65" s="8" t="s">
        <v>191</v>
      </c>
      <c r="C65" s="9"/>
      <c r="D65" s="7">
        <v>0</v>
      </c>
      <c r="E65" s="7">
        <v>0</v>
      </c>
      <c r="F65" s="7">
        <v>0</v>
      </c>
      <c r="G65" s="131">
        <v>0</v>
      </c>
      <c r="H65" s="131">
        <v>0.86</v>
      </c>
      <c r="I65" s="131">
        <v>0</v>
      </c>
      <c r="J65" s="131">
        <v>0</v>
      </c>
      <c r="K65" s="131">
        <v>0</v>
      </c>
    </row>
    <row r="66" spans="1:11" x14ac:dyDescent="0.3">
      <c r="A66" s="8" t="s">
        <v>192</v>
      </c>
      <c r="B66" s="8" t="s">
        <v>193</v>
      </c>
      <c r="C66" s="9">
        <v>0.6</v>
      </c>
      <c r="D66" s="7">
        <v>0</v>
      </c>
      <c r="E66" s="7">
        <v>0</v>
      </c>
      <c r="F66" s="7">
        <v>0</v>
      </c>
      <c r="G66" s="131">
        <v>0</v>
      </c>
      <c r="H66" s="131">
        <v>0</v>
      </c>
      <c r="I66" s="131">
        <v>0</v>
      </c>
      <c r="J66" s="131">
        <v>0</v>
      </c>
      <c r="K66" s="131">
        <v>0</v>
      </c>
    </row>
    <row r="67" spans="1:11" x14ac:dyDescent="0.3">
      <c r="A67" t="s">
        <v>194</v>
      </c>
      <c r="D67" s="7"/>
      <c r="E67" s="7"/>
      <c r="F67" s="7"/>
      <c r="G67" s="131"/>
      <c r="H67" s="131"/>
      <c r="I67" s="131"/>
      <c r="J67" s="131"/>
      <c r="K67" s="131"/>
    </row>
    <row r="68" spans="1:11" x14ac:dyDescent="0.3">
      <c r="A68" t="s">
        <v>195</v>
      </c>
      <c r="B68" t="s">
        <v>196</v>
      </c>
      <c r="D68" s="7">
        <v>77.39</v>
      </c>
      <c r="E68" s="7">
        <v>48.43</v>
      </c>
      <c r="F68" s="7">
        <v>47.41</v>
      </c>
      <c r="G68" s="131">
        <v>49.57</v>
      </c>
      <c r="H68" s="131">
        <v>38.78</v>
      </c>
      <c r="I68" s="131">
        <v>26.81</v>
      </c>
      <c r="J68" s="131">
        <v>34.26</v>
      </c>
      <c r="K68" s="131">
        <v>35.08</v>
      </c>
    </row>
    <row r="69" spans="1:11" x14ac:dyDescent="0.3">
      <c r="A69" t="s">
        <v>197</v>
      </c>
      <c r="D69" s="7"/>
      <c r="E69" s="7"/>
      <c r="F69" s="7"/>
      <c r="G69" s="131"/>
      <c r="H69" s="131"/>
      <c r="I69" s="131"/>
      <c r="J69" s="131"/>
      <c r="K69" s="131"/>
    </row>
    <row r="70" spans="1:11" x14ac:dyDescent="0.3">
      <c r="A70" t="s">
        <v>198</v>
      </c>
      <c r="B70" t="s">
        <v>199</v>
      </c>
      <c r="D70" s="7">
        <v>11.4</v>
      </c>
      <c r="E70" s="27">
        <v>11.31</v>
      </c>
      <c r="F70" s="27">
        <v>12.37</v>
      </c>
      <c r="G70" s="136">
        <v>12.37</v>
      </c>
      <c r="H70" s="136">
        <v>12.32</v>
      </c>
      <c r="I70" s="136">
        <v>11.6</v>
      </c>
      <c r="J70" s="136">
        <v>15.19</v>
      </c>
      <c r="K70" s="136">
        <v>15.84</v>
      </c>
    </row>
    <row r="71" spans="1:11" x14ac:dyDescent="0.3">
      <c r="A71" t="s">
        <v>200</v>
      </c>
      <c r="B71" t="s">
        <v>201</v>
      </c>
      <c r="D71" s="7">
        <v>12.92</v>
      </c>
      <c r="E71" s="27">
        <v>12.65</v>
      </c>
      <c r="F71" s="27">
        <v>13.88</v>
      </c>
      <c r="G71" s="136">
        <v>14.17</v>
      </c>
      <c r="H71" s="136">
        <v>14.17</v>
      </c>
      <c r="I71" s="136">
        <v>12.9</v>
      </c>
      <c r="J71" s="136">
        <v>16.760000000000002</v>
      </c>
      <c r="K71" s="136">
        <v>16.829999999999998</v>
      </c>
    </row>
    <row r="72" spans="1:11" x14ac:dyDescent="0.3">
      <c r="A72" t="s">
        <v>305</v>
      </c>
      <c r="D72" s="7"/>
      <c r="E72" s="7"/>
      <c r="F72" s="7"/>
      <c r="G72" s="131"/>
      <c r="H72" s="131"/>
      <c r="I72" s="131"/>
      <c r="J72" s="131"/>
      <c r="K72" s="131"/>
    </row>
    <row r="73" spans="1:11" x14ac:dyDescent="0.3">
      <c r="B73" t="s">
        <v>202</v>
      </c>
      <c r="D73" s="7">
        <v>80.400000000000006</v>
      </c>
      <c r="E73" s="7">
        <v>78.207749591706516</v>
      </c>
      <c r="F73" s="7">
        <v>74.222123384522462</v>
      </c>
      <c r="G73" s="131">
        <v>71.027999073798739</v>
      </c>
      <c r="H73" s="131">
        <v>69.975145912446052</v>
      </c>
      <c r="I73" s="131">
        <v>67.86211316229361</v>
      </c>
      <c r="J73" s="131">
        <v>70.921714006446194</v>
      </c>
      <c r="K73" s="131">
        <v>71.96425897339752</v>
      </c>
    </row>
    <row r="74" spans="1:11" x14ac:dyDescent="0.3">
      <c r="B74" t="s">
        <v>203</v>
      </c>
      <c r="D74" s="7">
        <v>85.06</v>
      </c>
      <c r="E74" s="7">
        <v>86.267821731331935</v>
      </c>
      <c r="F74" s="7">
        <v>84.538071712512021</v>
      </c>
      <c r="G74" s="131">
        <v>82.674965117285851</v>
      </c>
      <c r="H74" s="131">
        <v>81.844778619373741</v>
      </c>
      <c r="I74" s="131">
        <v>78.142542637691363</v>
      </c>
      <c r="J74" s="131">
        <v>86.812939587852043</v>
      </c>
      <c r="K74" s="131">
        <v>86.9204578715689</v>
      </c>
    </row>
    <row r="75" spans="1:11" x14ac:dyDescent="0.3">
      <c r="B75" t="s">
        <v>204</v>
      </c>
      <c r="D75" s="7">
        <v>55.86</v>
      </c>
      <c r="E75" s="7">
        <v>44.484623549586637</v>
      </c>
      <c r="F75" s="7">
        <v>36.227190890063774</v>
      </c>
      <c r="G75" s="131">
        <v>33.307716204243739</v>
      </c>
      <c r="H75" s="131">
        <v>32.366816435831602</v>
      </c>
      <c r="I75" s="131">
        <v>39.62836290175818</v>
      </c>
      <c r="J75" s="131">
        <v>41.266573343786042</v>
      </c>
      <c r="K75" s="131">
        <v>34.092607378313119</v>
      </c>
    </row>
    <row r="76" spans="1:11" x14ac:dyDescent="0.3">
      <c r="A76" s="8" t="s">
        <v>37</v>
      </c>
      <c r="B76" s="8"/>
      <c r="C76" s="9">
        <v>47</v>
      </c>
      <c r="D76" s="7">
        <v>71.795005849921381</v>
      </c>
      <c r="E76" s="7">
        <v>76.976624940981466</v>
      </c>
      <c r="F76" s="7">
        <v>71.475564637641426</v>
      </c>
      <c r="G76" s="131">
        <v>69.917430494658404</v>
      </c>
      <c r="H76" s="131">
        <v>67.438075922132455</v>
      </c>
      <c r="I76" s="131">
        <v>62.967267950143388</v>
      </c>
      <c r="J76" s="131">
        <v>67.347477902710551</v>
      </c>
      <c r="K76" s="131">
        <v>64.673095868731068</v>
      </c>
    </row>
    <row r="77" spans="1:11" x14ac:dyDescent="0.3">
      <c r="A77" s="28" t="s">
        <v>338</v>
      </c>
      <c r="B77" s="28"/>
      <c r="C77" s="54"/>
      <c r="D77" s="27">
        <v>69.784038146334723</v>
      </c>
      <c r="E77" s="27">
        <v>75.362095219984823</v>
      </c>
      <c r="F77" s="27">
        <v>69.336104967707541</v>
      </c>
      <c r="G77" s="136">
        <v>67.812272551054988</v>
      </c>
      <c r="H77" s="136">
        <v>65.078583611287883</v>
      </c>
      <c r="I77" s="136">
        <v>60.553911794952718</v>
      </c>
      <c r="J77" s="136">
        <v>65.103000277710635</v>
      </c>
      <c r="K77" s="136">
        <v>61.996285570940735</v>
      </c>
    </row>
    <row r="78" spans="1:11" x14ac:dyDescent="0.3">
      <c r="A78" t="s">
        <v>268</v>
      </c>
      <c r="D78" s="7"/>
      <c r="E78" s="7"/>
      <c r="F78" s="7"/>
      <c r="G78" s="131"/>
      <c r="H78" s="131"/>
      <c r="I78" s="131"/>
      <c r="J78" s="131"/>
      <c r="K78" s="131"/>
    </row>
    <row r="79" spans="1:11" x14ac:dyDescent="0.3">
      <c r="A79">
        <v>4</v>
      </c>
      <c r="B79" t="s">
        <v>205</v>
      </c>
      <c r="D79" s="7">
        <v>12.51646903820817</v>
      </c>
      <c r="E79" s="7">
        <v>12.151981657386179</v>
      </c>
      <c r="F79" s="7">
        <v>11.244097946634458</v>
      </c>
      <c r="G79" s="131">
        <v>9.6179039301310052</v>
      </c>
      <c r="H79" s="131">
        <v>10.393320149417711</v>
      </c>
      <c r="I79" s="131">
        <v>9.543973941368078</v>
      </c>
      <c r="J79" s="131">
        <v>10.205869469995621</v>
      </c>
      <c r="K79" s="131">
        <v>11.021211458561119</v>
      </c>
    </row>
    <row r="80" spans="1:11" x14ac:dyDescent="0.3">
      <c r="A80">
        <v>9</v>
      </c>
      <c r="B80" t="s">
        <v>350</v>
      </c>
      <c r="D80" s="7">
        <v>20.67413263065437</v>
      </c>
      <c r="E80" s="7">
        <v>19.172398733486187</v>
      </c>
      <c r="F80" s="7">
        <v>18.864609640935544</v>
      </c>
      <c r="G80" s="131">
        <v>16.495633187772928</v>
      </c>
      <c r="H80" s="131">
        <v>18.13887057789497</v>
      </c>
      <c r="I80" s="131">
        <v>17.448425624321391</v>
      </c>
      <c r="J80" s="131">
        <v>3.5698642137538323</v>
      </c>
      <c r="K80" s="131">
        <v>3.5753334791165532</v>
      </c>
    </row>
    <row r="81" spans="1:11" x14ac:dyDescent="0.3">
      <c r="A81">
        <v>10</v>
      </c>
      <c r="B81" t="s">
        <v>206</v>
      </c>
      <c r="D81" s="7">
        <v>9.8155467720685099</v>
      </c>
      <c r="E81" s="7">
        <v>8.9529424609673534</v>
      </c>
      <c r="F81" s="7">
        <v>11.189195124629405</v>
      </c>
      <c r="G81" s="131">
        <v>11.2117903930131</v>
      </c>
      <c r="H81" s="131">
        <v>10.865743792573062</v>
      </c>
      <c r="I81" s="131">
        <v>11.140065146579806</v>
      </c>
      <c r="J81" s="131">
        <v>20.740254051686378</v>
      </c>
      <c r="K81" s="131">
        <v>16.892630658211239</v>
      </c>
    </row>
    <row r="82" spans="1:11" x14ac:dyDescent="0.3">
      <c r="A82">
        <v>12</v>
      </c>
      <c r="B82" t="s">
        <v>207</v>
      </c>
      <c r="D82" s="7">
        <v>14.503732981993853</v>
      </c>
      <c r="E82" s="7">
        <v>14.630418167922263</v>
      </c>
      <c r="F82" s="7">
        <v>15.076314922587022</v>
      </c>
      <c r="G82" s="131">
        <v>15.513100436681224</v>
      </c>
      <c r="H82" s="131">
        <v>16.886398593715668</v>
      </c>
      <c r="I82" s="131">
        <v>17.068403908794792</v>
      </c>
      <c r="J82" s="131">
        <v>17.783618046430135</v>
      </c>
      <c r="K82" s="131">
        <v>17.996938552372622</v>
      </c>
    </row>
    <row r="83" spans="1:11" x14ac:dyDescent="0.3">
      <c r="A83" t="s">
        <v>208</v>
      </c>
      <c r="D83" s="7"/>
      <c r="E83" s="7"/>
      <c r="F83" s="7"/>
      <c r="G83" s="131"/>
      <c r="H83" s="131"/>
      <c r="I83" s="131"/>
      <c r="J83" s="131"/>
      <c r="K83" s="131"/>
    </row>
    <row r="84" spans="1:11" x14ac:dyDescent="0.3">
      <c r="A84">
        <v>4</v>
      </c>
      <c r="B84" t="s">
        <v>205</v>
      </c>
      <c r="D84" s="7">
        <v>83.88</v>
      </c>
      <c r="E84" s="7">
        <v>87.055679728011313</v>
      </c>
      <c r="F84" s="7">
        <v>84.182591228476838</v>
      </c>
      <c r="G84" s="131">
        <v>89.80029861046981</v>
      </c>
      <c r="H84" s="131">
        <v>75.727953402406712</v>
      </c>
      <c r="I84" s="131">
        <v>85.240331147231501</v>
      </c>
      <c r="J84" s="131">
        <v>82.446795646118588</v>
      </c>
      <c r="K84" s="131">
        <v>88.786107232024378</v>
      </c>
    </row>
    <row r="85" spans="1:11" x14ac:dyDescent="0.3">
      <c r="A85">
        <v>9</v>
      </c>
      <c r="B85" t="s">
        <v>350</v>
      </c>
      <c r="D85" s="7">
        <v>78.05</v>
      </c>
      <c r="E85" s="7">
        <v>78.687847410355602</v>
      </c>
      <c r="F85" s="7">
        <v>85.348114925436803</v>
      </c>
      <c r="G85" s="131">
        <v>85.021202899280098</v>
      </c>
      <c r="H85" s="131">
        <v>81.156807602575924</v>
      </c>
      <c r="I85" s="131">
        <v>85.122637873853719</v>
      </c>
      <c r="J85" s="131">
        <v>87.101071296336698</v>
      </c>
      <c r="K85" s="131">
        <v>50.387501972180601</v>
      </c>
    </row>
    <row r="86" spans="1:11" x14ac:dyDescent="0.3">
      <c r="A86">
        <v>10</v>
      </c>
      <c r="B86" t="s">
        <v>206</v>
      </c>
      <c r="D86" s="7">
        <v>68.459999999999994</v>
      </c>
      <c r="E86" s="7">
        <v>72.951694017996374</v>
      </c>
      <c r="F86" s="7">
        <v>80.059582336985343</v>
      </c>
      <c r="G86" s="131">
        <v>72.443227750124436</v>
      </c>
      <c r="H86" s="131">
        <v>68.48688749704209</v>
      </c>
      <c r="I86" s="131">
        <v>71.522362235530139</v>
      </c>
      <c r="J86" s="131">
        <v>74.588035121919077</v>
      </c>
      <c r="K86" s="131">
        <v>77.737489051881553</v>
      </c>
    </row>
    <row r="87" spans="1:11" x14ac:dyDescent="0.3">
      <c r="A87">
        <v>12</v>
      </c>
      <c r="B87" t="s">
        <v>207</v>
      </c>
      <c r="D87" s="7">
        <v>79.260000000000005</v>
      </c>
      <c r="E87" s="7">
        <v>84.310339754492446</v>
      </c>
      <c r="F87" s="7">
        <v>76.996493005798939</v>
      </c>
      <c r="G87" s="131">
        <v>73.470166452209938</v>
      </c>
      <c r="H87" s="131">
        <v>76.514641279687524</v>
      </c>
      <c r="I87" s="131">
        <v>73.524067727054771</v>
      </c>
      <c r="J87" s="131">
        <v>71.082838411850062</v>
      </c>
      <c r="K87" s="131">
        <v>75.280239158398615</v>
      </c>
    </row>
    <row r="88" spans="1:11" x14ac:dyDescent="0.3">
      <c r="B88" s="59" t="s">
        <v>306</v>
      </c>
      <c r="D88" s="7"/>
      <c r="E88" s="7"/>
      <c r="F88" s="7"/>
      <c r="G88" s="131"/>
      <c r="H88" s="131"/>
      <c r="I88" s="131"/>
      <c r="J88" s="131"/>
      <c r="K88" s="131"/>
    </row>
    <row r="89" spans="1:11" x14ac:dyDescent="0.3">
      <c r="B89" t="s">
        <v>110</v>
      </c>
      <c r="D89" s="7">
        <v>367.13226833883101</v>
      </c>
      <c r="E89" s="7">
        <v>350.14826884227551</v>
      </c>
      <c r="F89" s="7">
        <v>362.58510068602214</v>
      </c>
      <c r="G89" s="131">
        <v>355.01394750014094</v>
      </c>
      <c r="H89" s="131">
        <v>354.72657825926274</v>
      </c>
      <c r="I89" s="131">
        <v>352.25227220007974</v>
      </c>
      <c r="J89" s="131">
        <v>369.77947768871218</v>
      </c>
      <c r="K89" s="131">
        <v>368.56431741147844</v>
      </c>
    </row>
    <row r="90" spans="1:11" x14ac:dyDescent="0.3">
      <c r="B90" t="s">
        <v>129</v>
      </c>
      <c r="D90" s="7">
        <v>157.51675807997006</v>
      </c>
      <c r="E90" s="7">
        <v>150.44420956890005</v>
      </c>
      <c r="F90" s="7">
        <v>170.92035541980178</v>
      </c>
      <c r="G90" s="131">
        <v>180.492157874811</v>
      </c>
      <c r="H90" s="131">
        <v>204.57029658165237</v>
      </c>
      <c r="I90" s="131">
        <v>209.21258224469867</v>
      </c>
      <c r="J90" s="131">
        <v>229.38618194069946</v>
      </c>
      <c r="K90" s="131">
        <v>334.14493954817681</v>
      </c>
    </row>
    <row r="91" spans="1:11" x14ac:dyDescent="0.3">
      <c r="B91" t="s">
        <v>159</v>
      </c>
      <c r="D91" s="7">
        <v>30.939403225806455</v>
      </c>
      <c r="E91" s="7">
        <v>36.337096774193533</v>
      </c>
      <c r="F91" s="7">
        <v>36.521612903225808</v>
      </c>
      <c r="G91" s="131">
        <v>24.474374999999998</v>
      </c>
      <c r="H91" s="131">
        <v>18.420312500000001</v>
      </c>
      <c r="I91" s="131">
        <v>10.619375</v>
      </c>
      <c r="J91" s="131">
        <v>3.849687499999999</v>
      </c>
      <c r="K91" s="131">
        <v>1.0896875000000004</v>
      </c>
    </row>
    <row r="92" spans="1:11" x14ac:dyDescent="0.3">
      <c r="B92" t="s">
        <v>168</v>
      </c>
      <c r="D92" s="7">
        <v>1806.715247780151</v>
      </c>
      <c r="E92" s="7">
        <v>1760.2223341478993</v>
      </c>
      <c r="F92" s="7">
        <v>1723.4313709635639</v>
      </c>
      <c r="G92" s="131">
        <v>1688.3834954123995</v>
      </c>
      <c r="H92" s="131">
        <v>1744.0187221199872</v>
      </c>
      <c r="I92" s="131">
        <v>1744.7789254873785</v>
      </c>
      <c r="J92" s="131">
        <v>1726.9557160967668</v>
      </c>
      <c r="K92" s="131">
        <v>1697.0701833805592</v>
      </c>
    </row>
    <row r="93" spans="1:11" x14ac:dyDescent="0.3">
      <c r="D93" s="7"/>
      <c r="E93" s="7"/>
      <c r="F93" s="7"/>
      <c r="G93" s="131"/>
      <c r="H93" s="131"/>
      <c r="I93" s="131"/>
      <c r="J93" s="131"/>
      <c r="K93" s="131"/>
    </row>
    <row r="94" spans="1:11" x14ac:dyDescent="0.3">
      <c r="B94" s="36" t="s">
        <v>303</v>
      </c>
      <c r="D94" s="7"/>
      <c r="E94" s="7"/>
      <c r="F94" s="7"/>
      <c r="G94" s="131"/>
      <c r="H94" s="131"/>
      <c r="I94" s="131"/>
      <c r="J94" s="131"/>
      <c r="K94" s="131"/>
    </row>
    <row r="95" spans="1:11" x14ac:dyDescent="0.3">
      <c r="D95" s="7"/>
      <c r="E95" s="7"/>
      <c r="F95" s="7"/>
      <c r="G95" s="131"/>
      <c r="H95" s="131"/>
      <c r="I95" s="131"/>
      <c r="J95" s="131"/>
      <c r="K95" s="131"/>
    </row>
    <row r="96" spans="1:11" x14ac:dyDescent="0.3">
      <c r="D96" s="7"/>
      <c r="E96" s="7"/>
      <c r="F96" s="7"/>
      <c r="G96" s="131"/>
      <c r="H96" s="131"/>
      <c r="I96" s="131"/>
      <c r="J96" s="131"/>
      <c r="K96" s="131"/>
    </row>
    <row r="97" spans="4:11" x14ac:dyDescent="0.3">
      <c r="D97" s="7"/>
      <c r="E97" s="7"/>
      <c r="F97" s="7"/>
      <c r="G97" s="131"/>
      <c r="H97" s="131"/>
      <c r="I97" s="131"/>
      <c r="J97" s="131"/>
      <c r="K97" s="131"/>
    </row>
    <row r="98" spans="4:11" x14ac:dyDescent="0.3">
      <c r="D98" s="7"/>
      <c r="E98" s="7"/>
      <c r="F98" s="7"/>
      <c r="G98" s="131"/>
      <c r="H98" s="131"/>
      <c r="I98" s="131"/>
      <c r="J98" s="131"/>
      <c r="K98" s="131"/>
    </row>
    <row r="99" spans="4:11" x14ac:dyDescent="0.3">
      <c r="D99" s="7"/>
      <c r="E99" s="7"/>
      <c r="F99" s="7"/>
      <c r="G99" s="131"/>
      <c r="H99" s="131"/>
      <c r="I99" s="131"/>
      <c r="J99" s="131"/>
      <c r="K99" s="131"/>
    </row>
    <row r="100" spans="4:11" x14ac:dyDescent="0.3">
      <c r="D100" s="7"/>
      <c r="E100" s="7"/>
      <c r="F100" s="7"/>
      <c r="G100" s="131"/>
      <c r="H100" s="131"/>
      <c r="I100" s="131"/>
      <c r="J100" s="131"/>
      <c r="K100" s="131"/>
    </row>
    <row r="101" spans="4:11" x14ac:dyDescent="0.3">
      <c r="D101" s="7"/>
      <c r="E101" s="7"/>
      <c r="F101" s="7"/>
      <c r="G101" s="131"/>
      <c r="H101" s="131"/>
      <c r="I101" s="131"/>
      <c r="J101" s="131"/>
      <c r="K101" s="131"/>
    </row>
    <row r="102" spans="4:11" x14ac:dyDescent="0.3">
      <c r="D102" s="7"/>
      <c r="E102" s="7"/>
      <c r="F102" s="7"/>
      <c r="G102" s="131"/>
      <c r="H102" s="131"/>
      <c r="I102" s="131"/>
      <c r="J102" s="131"/>
      <c r="K102" s="131"/>
    </row>
    <row r="103" spans="4:11" x14ac:dyDescent="0.3">
      <c r="D103" s="7"/>
      <c r="E103" s="7"/>
      <c r="F103" s="7"/>
      <c r="G103" s="131"/>
      <c r="H103" s="131"/>
      <c r="I103" s="131"/>
      <c r="J103" s="131"/>
      <c r="K103" s="131"/>
    </row>
    <row r="104" spans="4:11" x14ac:dyDescent="0.3">
      <c r="D104" s="7"/>
      <c r="E104" s="7"/>
      <c r="F104" s="7"/>
      <c r="G104" s="131"/>
      <c r="H104" s="131"/>
      <c r="I104" s="131"/>
      <c r="J104" s="131"/>
      <c r="K104" s="131"/>
    </row>
    <row r="105" spans="4:11" x14ac:dyDescent="0.3">
      <c r="D105" s="7"/>
      <c r="E105" s="7"/>
      <c r="F105" s="7"/>
      <c r="G105" s="131"/>
      <c r="H105" s="131"/>
      <c r="I105" s="131"/>
      <c r="J105" s="131"/>
      <c r="K105" s="131"/>
    </row>
    <row r="106" spans="4:11" x14ac:dyDescent="0.3">
      <c r="D106" s="7"/>
      <c r="E106" s="7"/>
      <c r="F106" s="7"/>
      <c r="G106" s="131"/>
      <c r="H106" s="131"/>
      <c r="I106" s="131"/>
      <c r="J106" s="131"/>
      <c r="K106" s="131"/>
    </row>
    <row r="107" spans="4:11" x14ac:dyDescent="0.3">
      <c r="D107" s="7"/>
      <c r="E107" s="7"/>
      <c r="F107" s="7"/>
      <c r="G107" s="131"/>
      <c r="H107" s="131"/>
      <c r="I107" s="131"/>
      <c r="J107" s="131"/>
      <c r="K107" s="131"/>
    </row>
    <row r="108" spans="4:11" x14ac:dyDescent="0.3">
      <c r="D108" s="7"/>
      <c r="E108" s="7"/>
      <c r="F108" s="7"/>
      <c r="G108" s="131"/>
      <c r="H108" s="131"/>
      <c r="I108" s="131"/>
      <c r="J108" s="131"/>
      <c r="K108" s="131"/>
    </row>
    <row r="109" spans="4:11" x14ac:dyDescent="0.3">
      <c r="D109" s="7"/>
      <c r="E109" s="7"/>
      <c r="F109" s="7"/>
      <c r="G109" s="131"/>
      <c r="H109" s="131"/>
      <c r="I109" s="131"/>
      <c r="J109" s="131"/>
      <c r="K109" s="131"/>
    </row>
    <row r="110" spans="4:11" x14ac:dyDescent="0.3">
      <c r="D110" s="7"/>
      <c r="E110" s="7"/>
      <c r="F110" s="7"/>
      <c r="G110" s="131"/>
      <c r="H110" s="131"/>
      <c r="I110" s="131"/>
      <c r="J110" s="131"/>
      <c r="K110" s="131"/>
    </row>
    <row r="111" spans="4:11" x14ac:dyDescent="0.3">
      <c r="D111" s="7"/>
      <c r="E111" s="7"/>
      <c r="F111" s="7"/>
      <c r="G111" s="131"/>
      <c r="H111" s="131"/>
      <c r="I111" s="131"/>
      <c r="J111" s="131"/>
      <c r="K111" s="131"/>
    </row>
    <row r="112" spans="4:11" x14ac:dyDescent="0.3">
      <c r="D112" s="7"/>
      <c r="E112" s="7"/>
      <c r="F112" s="7"/>
      <c r="G112" s="131"/>
      <c r="H112" s="131"/>
      <c r="I112" s="131"/>
      <c r="J112" s="131"/>
      <c r="K112" s="131"/>
    </row>
    <row r="113" spans="2:11" x14ac:dyDescent="0.3">
      <c r="D113" s="7"/>
      <c r="E113" s="7"/>
      <c r="F113" s="7"/>
      <c r="G113" s="131"/>
      <c r="H113" s="131"/>
      <c r="I113" s="131"/>
      <c r="J113" s="131"/>
      <c r="K113" s="131"/>
    </row>
    <row r="114" spans="2:11" x14ac:dyDescent="0.3">
      <c r="D114" s="7"/>
      <c r="E114" s="7"/>
      <c r="F114" s="7"/>
      <c r="G114" s="131"/>
      <c r="H114" s="131"/>
      <c r="I114" s="131"/>
      <c r="J114" s="131"/>
      <c r="K114" s="131"/>
    </row>
    <row r="115" spans="2:11" x14ac:dyDescent="0.3">
      <c r="B115" s="36" t="s">
        <v>304</v>
      </c>
      <c r="D115" s="7"/>
      <c r="E115" s="7"/>
      <c r="F115" s="7"/>
      <c r="G115" s="131"/>
      <c r="H115" s="131"/>
      <c r="I115" s="131"/>
      <c r="J115" s="131"/>
      <c r="K115" s="131"/>
    </row>
    <row r="116" spans="2:11" x14ac:dyDescent="0.3">
      <c r="D116" s="7"/>
      <c r="E116" s="7"/>
      <c r="F116" s="7"/>
      <c r="G116" s="131"/>
      <c r="H116" s="131"/>
      <c r="I116" s="131"/>
      <c r="J116" s="131"/>
      <c r="K116" s="131"/>
    </row>
    <row r="117" spans="2:11" x14ac:dyDescent="0.3">
      <c r="D117" s="7"/>
      <c r="E117" s="7"/>
      <c r="F117" s="7"/>
      <c r="G117" s="131"/>
      <c r="H117" s="131"/>
      <c r="I117" s="131"/>
      <c r="J117" s="131"/>
      <c r="K117" s="131"/>
    </row>
    <row r="118" spans="2:11" x14ac:dyDescent="0.3">
      <c r="D118" s="7"/>
      <c r="E118" s="7"/>
      <c r="F118" s="7"/>
      <c r="G118" s="131"/>
      <c r="H118" s="131"/>
      <c r="I118" s="131"/>
      <c r="J118" s="131"/>
      <c r="K118" s="131"/>
    </row>
    <row r="119" spans="2:11" x14ac:dyDescent="0.3">
      <c r="D119" s="7"/>
      <c r="E119" s="7"/>
      <c r="F119" s="7"/>
      <c r="G119" s="131"/>
      <c r="H119" s="131"/>
      <c r="I119" s="131"/>
      <c r="J119" s="131"/>
      <c r="K119" s="131"/>
    </row>
    <row r="120" spans="2:11" x14ac:dyDescent="0.3">
      <c r="D120" s="7"/>
      <c r="E120" s="7"/>
      <c r="F120" s="7"/>
      <c r="G120" s="131"/>
      <c r="H120" s="131"/>
      <c r="I120" s="131"/>
      <c r="J120" s="131"/>
      <c r="K120" s="131"/>
    </row>
    <row r="121" spans="2:11" x14ac:dyDescent="0.3">
      <c r="D121" s="7"/>
      <c r="E121" s="7"/>
      <c r="F121" s="7"/>
      <c r="G121" s="131"/>
      <c r="H121" s="131"/>
      <c r="I121" s="131"/>
      <c r="J121" s="131"/>
      <c r="K121" s="131"/>
    </row>
    <row r="122" spans="2:11" x14ac:dyDescent="0.3">
      <c r="D122" s="7"/>
      <c r="E122" s="7"/>
      <c r="F122" s="7"/>
      <c r="G122" s="131"/>
      <c r="H122" s="131"/>
      <c r="I122" s="131"/>
      <c r="J122" s="131"/>
      <c r="K122" s="131"/>
    </row>
    <row r="123" spans="2:11" x14ac:dyDescent="0.3">
      <c r="D123" s="7"/>
      <c r="E123" s="7"/>
      <c r="F123" s="7"/>
      <c r="G123" s="131"/>
      <c r="H123" s="131"/>
      <c r="I123" s="131"/>
      <c r="J123" s="131"/>
      <c r="K123" s="131"/>
    </row>
    <row r="124" spans="2:11" x14ac:dyDescent="0.3">
      <c r="D124" s="7"/>
      <c r="E124" s="7"/>
      <c r="F124" s="7"/>
      <c r="G124" s="131"/>
      <c r="H124" s="131"/>
      <c r="I124" s="131"/>
      <c r="J124" s="131"/>
      <c r="K124" s="131"/>
    </row>
    <row r="125" spans="2:11" x14ac:dyDescent="0.3">
      <c r="D125" s="7"/>
      <c r="E125" s="7"/>
      <c r="F125" s="7"/>
      <c r="G125" s="131"/>
      <c r="H125" s="131"/>
      <c r="I125" s="131"/>
      <c r="J125" s="131"/>
      <c r="K125" s="131"/>
    </row>
    <row r="126" spans="2:11" x14ac:dyDescent="0.3">
      <c r="D126" s="7"/>
      <c r="E126" s="7"/>
      <c r="F126" s="7"/>
      <c r="G126" s="131"/>
      <c r="H126" s="131"/>
      <c r="I126" s="131"/>
      <c r="J126" s="131"/>
      <c r="K126" s="131"/>
    </row>
    <row r="127" spans="2:11" x14ac:dyDescent="0.3">
      <c r="D127" s="7"/>
      <c r="E127" s="7"/>
      <c r="F127" s="7"/>
      <c r="G127" s="131"/>
      <c r="H127" s="131"/>
      <c r="I127" s="131"/>
      <c r="J127" s="131"/>
      <c r="K127" s="131"/>
    </row>
    <row r="128" spans="2:11" x14ac:dyDescent="0.3">
      <c r="D128" s="7"/>
      <c r="E128" s="7"/>
      <c r="F128" s="7"/>
      <c r="G128" s="131"/>
      <c r="H128" s="131"/>
      <c r="I128" s="131"/>
      <c r="J128" s="131"/>
      <c r="K128" s="131"/>
    </row>
    <row r="129" spans="2:11" x14ac:dyDescent="0.3">
      <c r="D129" s="7"/>
      <c r="E129" s="7"/>
      <c r="F129" s="7"/>
      <c r="G129" s="131"/>
      <c r="H129" s="131"/>
      <c r="I129" s="131"/>
      <c r="J129" s="131"/>
      <c r="K129" s="131"/>
    </row>
    <row r="130" spans="2:11" x14ac:dyDescent="0.3">
      <c r="D130" s="7"/>
      <c r="E130" s="7"/>
      <c r="F130" s="7"/>
      <c r="G130" s="131"/>
      <c r="H130" s="131"/>
      <c r="I130" s="131"/>
      <c r="J130" s="131"/>
      <c r="K130" s="131"/>
    </row>
    <row r="131" spans="2:11" x14ac:dyDescent="0.3">
      <c r="D131" s="7"/>
      <c r="E131" s="7"/>
      <c r="F131" s="7"/>
      <c r="G131" s="131"/>
      <c r="H131" s="131"/>
      <c r="I131" s="131"/>
      <c r="J131" s="131"/>
      <c r="K131" s="131"/>
    </row>
    <row r="132" spans="2:11" x14ac:dyDescent="0.3">
      <c r="D132" s="7"/>
      <c r="E132" s="7"/>
      <c r="F132" s="7"/>
      <c r="G132" s="131"/>
      <c r="H132" s="131"/>
      <c r="I132" s="131"/>
      <c r="J132" s="131"/>
      <c r="K132" s="131"/>
    </row>
    <row r="133" spans="2:11" x14ac:dyDescent="0.3">
      <c r="D133" s="7"/>
      <c r="E133" s="7"/>
      <c r="F133" s="7"/>
      <c r="G133" s="131"/>
      <c r="H133" s="131"/>
      <c r="I133" s="131"/>
      <c r="J133" s="131"/>
      <c r="K133" s="131"/>
    </row>
    <row r="134" spans="2:11" x14ac:dyDescent="0.3">
      <c r="D134" s="7"/>
      <c r="E134" s="7"/>
      <c r="F134" s="7"/>
      <c r="G134" s="131"/>
      <c r="H134" s="131"/>
      <c r="I134" s="131"/>
      <c r="J134" s="131"/>
      <c r="K134" s="131"/>
    </row>
    <row r="135" spans="2:11" x14ac:dyDescent="0.3">
      <c r="D135" s="7"/>
      <c r="E135" s="7"/>
      <c r="F135" s="7"/>
      <c r="G135" s="131"/>
      <c r="H135" s="131"/>
      <c r="I135" s="131"/>
      <c r="J135" s="131"/>
      <c r="K135" s="131"/>
    </row>
    <row r="136" spans="2:11" x14ac:dyDescent="0.3">
      <c r="B136" s="36" t="s">
        <v>159</v>
      </c>
      <c r="D136" s="7"/>
      <c r="E136" s="7"/>
      <c r="F136" s="7"/>
      <c r="G136" s="131"/>
      <c r="H136" s="131"/>
      <c r="I136" s="131"/>
      <c r="J136" s="131"/>
      <c r="K136" s="131"/>
    </row>
    <row r="137" spans="2:11" x14ac:dyDescent="0.3">
      <c r="D137" s="7"/>
      <c r="E137" s="7"/>
      <c r="F137" s="7"/>
      <c r="G137" s="131"/>
      <c r="H137" s="131"/>
      <c r="I137" s="131"/>
      <c r="J137" s="131"/>
      <c r="K137" s="131"/>
    </row>
    <row r="138" spans="2:11" x14ac:dyDescent="0.3">
      <c r="D138" s="7"/>
      <c r="E138" s="7"/>
      <c r="F138" s="7"/>
      <c r="G138" s="131"/>
      <c r="H138" s="131"/>
      <c r="I138" s="131"/>
      <c r="J138" s="131"/>
      <c r="K138" s="131"/>
    </row>
    <row r="139" spans="2:11" x14ac:dyDescent="0.3">
      <c r="D139" s="7"/>
      <c r="E139" s="7"/>
      <c r="F139" s="7"/>
      <c r="G139" s="131"/>
      <c r="H139" s="131"/>
      <c r="I139" s="131"/>
      <c r="J139" s="131"/>
      <c r="K139" s="131"/>
    </row>
    <row r="140" spans="2:11" x14ac:dyDescent="0.3">
      <c r="D140" s="7"/>
      <c r="E140" s="7"/>
      <c r="F140" s="7"/>
      <c r="G140" s="131"/>
      <c r="H140" s="131"/>
      <c r="I140" s="131"/>
      <c r="J140" s="131"/>
      <c r="K140" s="131"/>
    </row>
    <row r="141" spans="2:11" x14ac:dyDescent="0.3">
      <c r="D141" s="7"/>
      <c r="E141" s="7"/>
      <c r="F141" s="7"/>
      <c r="G141" s="131"/>
      <c r="H141" s="131"/>
      <c r="I141" s="131"/>
      <c r="J141" s="131"/>
      <c r="K141" s="131"/>
    </row>
    <row r="142" spans="2:11" x14ac:dyDescent="0.3">
      <c r="D142" s="7"/>
      <c r="E142" s="7"/>
      <c r="F142" s="7"/>
      <c r="G142" s="131"/>
      <c r="H142" s="131"/>
      <c r="I142" s="131"/>
      <c r="J142" s="131"/>
      <c r="K142" s="131"/>
    </row>
    <row r="143" spans="2:11" x14ac:dyDescent="0.3">
      <c r="D143" s="7"/>
      <c r="E143" s="7"/>
      <c r="F143" s="7"/>
      <c r="G143" s="131"/>
      <c r="H143" s="131"/>
      <c r="I143" s="131"/>
      <c r="J143" s="131"/>
      <c r="K143" s="131"/>
    </row>
    <row r="144" spans="2:11" x14ac:dyDescent="0.3">
      <c r="D144" s="7"/>
      <c r="E144" s="7"/>
      <c r="F144" s="7"/>
      <c r="G144" s="131"/>
      <c r="H144" s="131"/>
      <c r="I144" s="131"/>
      <c r="J144" s="131"/>
      <c r="K144" s="131"/>
    </row>
    <row r="145" spans="2:11" x14ac:dyDescent="0.3">
      <c r="D145" s="7"/>
      <c r="E145" s="7"/>
      <c r="F145" s="7"/>
      <c r="G145" s="131"/>
      <c r="H145" s="131"/>
      <c r="I145" s="131"/>
      <c r="J145" s="131"/>
      <c r="K145" s="131"/>
    </row>
    <row r="146" spans="2:11" x14ac:dyDescent="0.3">
      <c r="D146" s="7"/>
      <c r="E146" s="7"/>
      <c r="F146" s="7"/>
      <c r="G146" s="131"/>
      <c r="H146" s="131"/>
      <c r="I146" s="131"/>
      <c r="J146" s="131"/>
      <c r="K146" s="131"/>
    </row>
    <row r="147" spans="2:11" x14ac:dyDescent="0.3">
      <c r="D147" s="7"/>
      <c r="E147" s="7"/>
      <c r="F147" s="7"/>
      <c r="G147" s="131"/>
      <c r="H147" s="131"/>
      <c r="I147" s="131"/>
      <c r="J147" s="131"/>
      <c r="K147" s="131"/>
    </row>
    <row r="148" spans="2:11" x14ac:dyDescent="0.3">
      <c r="D148" s="7"/>
      <c r="E148" s="7"/>
      <c r="F148" s="7"/>
      <c r="G148" s="131"/>
      <c r="H148" s="131"/>
      <c r="I148" s="131"/>
      <c r="J148" s="131"/>
      <c r="K148" s="131"/>
    </row>
    <row r="149" spans="2:11" x14ac:dyDescent="0.3">
      <c r="D149" s="7"/>
      <c r="E149" s="7"/>
      <c r="F149" s="7"/>
      <c r="G149" s="131"/>
      <c r="H149" s="131"/>
      <c r="I149" s="131"/>
      <c r="J149" s="131"/>
      <c r="K149" s="131"/>
    </row>
    <row r="150" spans="2:11" x14ac:dyDescent="0.3">
      <c r="D150" s="7"/>
      <c r="E150" s="7"/>
      <c r="F150" s="7"/>
      <c r="G150" s="131"/>
      <c r="H150" s="131"/>
      <c r="I150" s="131"/>
      <c r="J150" s="131"/>
      <c r="K150" s="131"/>
    </row>
    <row r="151" spans="2:11" x14ac:dyDescent="0.3">
      <c r="D151" s="7"/>
      <c r="E151" s="7"/>
      <c r="F151" s="7"/>
      <c r="G151" s="131"/>
      <c r="H151" s="131"/>
      <c r="I151" s="131"/>
      <c r="J151" s="131"/>
      <c r="K151" s="131"/>
    </row>
    <row r="152" spans="2:11" x14ac:dyDescent="0.3">
      <c r="D152" s="7"/>
      <c r="E152" s="7"/>
      <c r="F152" s="7"/>
      <c r="G152" s="131"/>
      <c r="H152" s="131"/>
      <c r="I152" s="131"/>
      <c r="J152" s="131"/>
      <c r="K152" s="131"/>
    </row>
    <row r="153" spans="2:11" x14ac:dyDescent="0.3">
      <c r="D153" s="7"/>
      <c r="E153" s="7"/>
      <c r="F153" s="7"/>
      <c r="G153" s="131"/>
      <c r="H153" s="131"/>
      <c r="I153" s="131"/>
      <c r="J153" s="131"/>
      <c r="K153" s="131"/>
    </row>
    <row r="154" spans="2:11" x14ac:dyDescent="0.3">
      <c r="D154" s="7"/>
      <c r="E154" s="7"/>
      <c r="F154" s="7"/>
      <c r="G154" s="131"/>
      <c r="H154" s="131"/>
      <c r="I154" s="131"/>
      <c r="J154" s="131"/>
      <c r="K154" s="131"/>
    </row>
    <row r="155" spans="2:11" x14ac:dyDescent="0.3">
      <c r="D155" s="7"/>
      <c r="E155" s="7"/>
      <c r="F155" s="7"/>
      <c r="G155" s="131"/>
      <c r="H155" s="131"/>
      <c r="I155" s="131"/>
      <c r="J155" s="131"/>
      <c r="K155" s="131"/>
    </row>
    <row r="156" spans="2:11" x14ac:dyDescent="0.3">
      <c r="D156" s="7"/>
      <c r="E156" s="7"/>
      <c r="F156" s="7"/>
      <c r="G156" s="131"/>
      <c r="H156" s="131"/>
      <c r="I156" s="131"/>
      <c r="J156" s="131"/>
      <c r="K156" s="131"/>
    </row>
    <row r="157" spans="2:11" x14ac:dyDescent="0.3">
      <c r="B157" s="36" t="s">
        <v>168</v>
      </c>
      <c r="D157" s="7"/>
      <c r="E157" s="7"/>
      <c r="F157" s="7"/>
      <c r="G157" s="131"/>
      <c r="H157" s="131"/>
      <c r="I157" s="131"/>
      <c r="J157" s="131"/>
      <c r="K157" s="131"/>
    </row>
    <row r="158" spans="2:11" x14ac:dyDescent="0.3">
      <c r="D158" s="7"/>
      <c r="E158" s="7"/>
      <c r="F158" s="7"/>
      <c r="G158" s="131"/>
      <c r="H158" s="131"/>
      <c r="I158" s="131"/>
      <c r="J158" s="131"/>
      <c r="K158" s="131"/>
    </row>
    <row r="159" spans="2:11" x14ac:dyDescent="0.3">
      <c r="D159" s="7"/>
      <c r="E159" s="7"/>
      <c r="F159" s="7"/>
      <c r="G159" s="131"/>
      <c r="H159" s="131"/>
      <c r="I159" s="131"/>
      <c r="J159" s="131"/>
      <c r="K159" s="131"/>
    </row>
    <row r="160" spans="2:11" x14ac:dyDescent="0.3">
      <c r="D160" s="7"/>
      <c r="E160" s="7"/>
      <c r="F160" s="7"/>
      <c r="G160" s="131"/>
      <c r="H160" s="131"/>
      <c r="I160" s="131"/>
      <c r="J160" s="131"/>
      <c r="K160" s="131"/>
    </row>
    <row r="161" spans="4:11" x14ac:dyDescent="0.3">
      <c r="D161" s="7"/>
      <c r="E161" s="7"/>
      <c r="F161" s="7"/>
      <c r="G161" s="131"/>
      <c r="H161" s="131"/>
      <c r="I161" s="131"/>
      <c r="J161" s="131"/>
      <c r="K161" s="131"/>
    </row>
    <row r="162" spans="4:11" x14ac:dyDescent="0.3">
      <c r="D162" s="7"/>
      <c r="E162" s="7"/>
      <c r="F162" s="7"/>
      <c r="G162" s="131"/>
      <c r="H162" s="131"/>
      <c r="I162" s="131"/>
      <c r="J162" s="131"/>
      <c r="K162" s="131"/>
    </row>
    <row r="163" spans="4:11" x14ac:dyDescent="0.3">
      <c r="D163" s="7"/>
      <c r="E163" s="7"/>
      <c r="F163" s="7"/>
      <c r="G163" s="131"/>
      <c r="H163" s="131"/>
      <c r="I163" s="131"/>
      <c r="J163" s="131"/>
      <c r="K163" s="131"/>
    </row>
    <row r="164" spans="4:11" x14ac:dyDescent="0.3">
      <c r="D164" s="7"/>
      <c r="E164" s="7"/>
      <c r="F164" s="7"/>
      <c r="G164" s="131"/>
      <c r="H164" s="131"/>
      <c r="I164" s="131"/>
      <c r="J164" s="131"/>
      <c r="K164" s="131"/>
    </row>
    <row r="165" spans="4:11" x14ac:dyDescent="0.3">
      <c r="D165" s="7"/>
      <c r="E165" s="7"/>
      <c r="F165" s="7"/>
      <c r="G165" s="131"/>
      <c r="H165" s="131"/>
      <c r="I165" s="131"/>
      <c r="J165" s="131"/>
      <c r="K165" s="131"/>
    </row>
    <row r="166" spans="4:11" x14ac:dyDescent="0.3">
      <c r="D166" s="7"/>
      <c r="E166" s="7"/>
      <c r="F166" s="7"/>
      <c r="G166" s="131"/>
      <c r="H166" s="131"/>
      <c r="I166" s="131"/>
      <c r="J166" s="131"/>
      <c r="K166" s="131"/>
    </row>
    <row r="167" spans="4:11" x14ac:dyDescent="0.3">
      <c r="D167" s="7"/>
      <c r="E167" s="7"/>
      <c r="F167" s="7"/>
      <c r="G167" s="131"/>
      <c r="H167" s="131"/>
      <c r="I167" s="131"/>
      <c r="J167" s="131"/>
      <c r="K167" s="131"/>
    </row>
    <row r="168" spans="4:11" x14ac:dyDescent="0.3">
      <c r="D168" s="7"/>
      <c r="E168" s="7"/>
      <c r="F168" s="7"/>
      <c r="G168" s="131"/>
      <c r="H168" s="131"/>
      <c r="I168" s="131"/>
      <c r="J168" s="131"/>
      <c r="K168" s="131"/>
    </row>
    <row r="169" spans="4:11" x14ac:dyDescent="0.3">
      <c r="D169" s="7"/>
      <c r="E169" s="7"/>
      <c r="F169" s="7"/>
      <c r="G169" s="131"/>
      <c r="H169" s="131"/>
      <c r="I169" s="131"/>
      <c r="J169" s="131"/>
      <c r="K169" s="131"/>
    </row>
    <row r="170" spans="4:11" x14ac:dyDescent="0.3">
      <c r="D170" s="7"/>
      <c r="E170" s="7"/>
      <c r="F170" s="7"/>
      <c r="G170" s="131"/>
      <c r="H170" s="131"/>
      <c r="I170" s="131"/>
      <c r="J170" s="131"/>
      <c r="K170" s="131"/>
    </row>
    <row r="171" spans="4:11" x14ac:dyDescent="0.3">
      <c r="D171" s="7"/>
      <c r="E171" s="7"/>
      <c r="F171" s="7"/>
      <c r="G171" s="131"/>
      <c r="H171" s="131"/>
      <c r="I171" s="131"/>
      <c r="J171" s="131"/>
      <c r="K171" s="131"/>
    </row>
    <row r="172" spans="4:11" x14ac:dyDescent="0.3">
      <c r="D172" s="7"/>
      <c r="E172" s="7"/>
      <c r="F172" s="7"/>
      <c r="G172" s="131"/>
      <c r="H172" s="131"/>
      <c r="I172" s="131"/>
      <c r="J172" s="131"/>
      <c r="K172" s="131"/>
    </row>
    <row r="173" spans="4:11" x14ac:dyDescent="0.3">
      <c r="D173" s="7"/>
      <c r="E173" s="7"/>
      <c r="F173" s="7"/>
      <c r="G173" s="131"/>
      <c r="H173" s="131"/>
      <c r="I173" s="131"/>
      <c r="J173" s="131"/>
      <c r="K173" s="131"/>
    </row>
    <row r="174" spans="4:11" x14ac:dyDescent="0.3">
      <c r="D174" s="7"/>
      <c r="E174" s="7"/>
      <c r="F174" s="7"/>
      <c r="G174" s="131"/>
      <c r="H174" s="131"/>
      <c r="I174" s="131"/>
      <c r="J174" s="131"/>
      <c r="K174" s="131"/>
    </row>
    <row r="175" spans="4:11" x14ac:dyDescent="0.3">
      <c r="D175" s="7"/>
      <c r="E175" s="7"/>
      <c r="F175" s="7"/>
      <c r="G175" s="131"/>
      <c r="H175" s="131"/>
      <c r="I175" s="131"/>
      <c r="J175" s="131"/>
      <c r="K175" s="131"/>
    </row>
    <row r="176" spans="4:11" x14ac:dyDescent="0.3">
      <c r="D176" s="7"/>
      <c r="E176" s="7"/>
      <c r="F176" s="7"/>
      <c r="G176" s="131"/>
      <c r="H176" s="131"/>
      <c r="I176" s="131"/>
      <c r="J176" s="131"/>
      <c r="K176" s="131"/>
    </row>
    <row r="177" spans="2:11" x14ac:dyDescent="0.3">
      <c r="D177" s="7"/>
      <c r="E177" s="7"/>
      <c r="F177" s="7"/>
      <c r="G177" s="131"/>
      <c r="H177" s="131"/>
      <c r="I177" s="131"/>
      <c r="J177" s="131"/>
      <c r="K177" s="131"/>
    </row>
    <row r="178" spans="2:11" x14ac:dyDescent="0.3">
      <c r="B178" s="36" t="s">
        <v>302</v>
      </c>
    </row>
    <row r="179" spans="2:11" x14ac:dyDescent="0.3">
      <c r="E179" s="28"/>
    </row>
    <row r="199" spans="2:2" x14ac:dyDescent="0.3">
      <c r="B199" s="36" t="s">
        <v>268</v>
      </c>
    </row>
    <row r="218" spans="2:2" x14ac:dyDescent="0.3">
      <c r="B218" s="36" t="s">
        <v>208</v>
      </c>
    </row>
  </sheetData>
  <mergeCells count="1">
    <mergeCell ref="A1:B1"/>
  </mergeCells>
  <conditionalFormatting sqref="D3">
    <cfRule type="cellIs" dxfId="75" priority="57" operator="greaterThan">
      <formula>$C3</formula>
    </cfRule>
  </conditionalFormatting>
  <conditionalFormatting sqref="D12">
    <cfRule type="cellIs" dxfId="74" priority="55" operator="lessThan">
      <formula>$C12</formula>
    </cfRule>
  </conditionalFormatting>
  <conditionalFormatting sqref="D15:G15 K15">
    <cfRule type="cellIs" dxfId="73" priority="53" operator="greaterThan">
      <formula>$C$15</formula>
    </cfRule>
  </conditionalFormatting>
  <conditionalFormatting sqref="E3:G3 K3">
    <cfRule type="cellIs" dxfId="72" priority="49" operator="greaterThan">
      <formula>$C3</formula>
    </cfRule>
  </conditionalFormatting>
  <conditionalFormatting sqref="D51:G51 K51">
    <cfRule type="cellIs" dxfId="71" priority="48" operator="greaterThan">
      <formula>$C51</formula>
    </cfRule>
  </conditionalFormatting>
  <conditionalFormatting sqref="D62:G62 K62">
    <cfRule type="cellIs" dxfId="70" priority="47" operator="greaterThan">
      <formula>$C62</formula>
    </cfRule>
  </conditionalFormatting>
  <conditionalFormatting sqref="D64:G64 K64">
    <cfRule type="cellIs" dxfId="69" priority="46" operator="greaterThan">
      <formula>$C64</formula>
    </cfRule>
  </conditionalFormatting>
  <conditionalFormatting sqref="E12:G12 K12">
    <cfRule type="cellIs" dxfId="68" priority="45" operator="lessThan">
      <formula>$C12</formula>
    </cfRule>
  </conditionalFormatting>
  <conditionalFormatting sqref="D76:G77 K76:K77">
    <cfRule type="cellIs" dxfId="67" priority="44" operator="lessThan">
      <formula>$C76</formula>
    </cfRule>
  </conditionalFormatting>
  <conditionalFormatting sqref="E76:G77 K76:K77">
    <cfRule type="cellIs" dxfId="66" priority="43" operator="lessThan">
      <formula>$C76</formula>
    </cfRule>
  </conditionalFormatting>
  <conditionalFormatting sqref="D65">
    <cfRule type="expression" dxfId="65" priority="34">
      <formula>D$65+D$66&gt;=$C$66</formula>
    </cfRule>
  </conditionalFormatting>
  <conditionalFormatting sqref="E65:G65 K65">
    <cfRule type="expression" dxfId="64" priority="33">
      <formula>E$65+E$66&gt;=$C$66</formula>
    </cfRule>
  </conditionalFormatting>
  <conditionalFormatting sqref="D66">
    <cfRule type="expression" dxfId="63" priority="32">
      <formula>D$65+D$66&gt;=$C$66</formula>
    </cfRule>
  </conditionalFormatting>
  <conditionalFormatting sqref="E66:G66 K66">
    <cfRule type="expression" dxfId="62" priority="31">
      <formula>E$65+E$66&gt;=$C$66</formula>
    </cfRule>
  </conditionalFormatting>
  <conditionalFormatting sqref="H15">
    <cfRule type="cellIs" dxfId="61" priority="30" operator="greaterThan">
      <formula>$C$15</formula>
    </cfRule>
  </conditionalFormatting>
  <conditionalFormatting sqref="H3">
    <cfRule type="cellIs" dxfId="60" priority="29" operator="greaterThan">
      <formula>$C3</formula>
    </cfRule>
  </conditionalFormatting>
  <conditionalFormatting sqref="H51">
    <cfRule type="cellIs" dxfId="59" priority="28" operator="greaterThan">
      <formula>$C51</formula>
    </cfRule>
  </conditionalFormatting>
  <conditionalFormatting sqref="H62">
    <cfRule type="cellIs" dxfId="58" priority="27" operator="greaterThan">
      <formula>$C62</formula>
    </cfRule>
  </conditionalFormatting>
  <conditionalFormatting sqref="H64">
    <cfRule type="cellIs" dxfId="57" priority="26" operator="greaterThan">
      <formula>$C64</formula>
    </cfRule>
  </conditionalFormatting>
  <conditionalFormatting sqref="H12">
    <cfRule type="cellIs" dxfId="56" priority="25" operator="lessThan">
      <formula>$C12</formula>
    </cfRule>
  </conditionalFormatting>
  <conditionalFormatting sqref="H76:H77">
    <cfRule type="cellIs" dxfId="55" priority="24" operator="lessThan">
      <formula>$C76</formula>
    </cfRule>
  </conditionalFormatting>
  <conditionalFormatting sqref="H76:H77">
    <cfRule type="cellIs" dxfId="54" priority="23" operator="lessThan">
      <formula>$C76</formula>
    </cfRule>
  </conditionalFormatting>
  <conditionalFormatting sqref="H65">
    <cfRule type="expression" dxfId="53" priority="22">
      <formula>H$65+H$66&gt;=$C$66</formula>
    </cfRule>
  </conditionalFormatting>
  <conditionalFormatting sqref="H66">
    <cfRule type="expression" dxfId="52" priority="21">
      <formula>H$65+H$66&gt;=$C$66</formula>
    </cfRule>
  </conditionalFormatting>
  <conditionalFormatting sqref="I15">
    <cfRule type="cellIs" dxfId="51" priority="20" operator="greaterThan">
      <formula>$C$15</formula>
    </cfRule>
  </conditionalFormatting>
  <conditionalFormatting sqref="I3">
    <cfRule type="cellIs" dxfId="50" priority="19" operator="greaterThan">
      <formula>$C3</formula>
    </cfRule>
  </conditionalFormatting>
  <conditionalFormatting sqref="I51">
    <cfRule type="cellIs" dxfId="49" priority="18" operator="greaterThan">
      <formula>$C51</formula>
    </cfRule>
  </conditionalFormatting>
  <conditionalFormatting sqref="I62">
    <cfRule type="cellIs" dxfId="48" priority="17" operator="greaterThan">
      <formula>$C62</formula>
    </cfRule>
  </conditionalFormatting>
  <conditionalFormatting sqref="I64">
    <cfRule type="cellIs" dxfId="47" priority="16" operator="greaterThan">
      <formula>$C64</formula>
    </cfRule>
  </conditionalFormatting>
  <conditionalFormatting sqref="I12">
    <cfRule type="cellIs" dxfId="46" priority="15" operator="lessThan">
      <formula>$C12</formula>
    </cfRule>
  </conditionalFormatting>
  <conditionalFormatting sqref="I76:I77">
    <cfRule type="cellIs" dxfId="45" priority="14" operator="lessThan">
      <formula>$C76</formula>
    </cfRule>
  </conditionalFormatting>
  <conditionalFormatting sqref="I76:I77">
    <cfRule type="cellIs" dxfId="44" priority="13" operator="lessThan">
      <formula>$C76</formula>
    </cfRule>
  </conditionalFormatting>
  <conditionalFormatting sqref="I65">
    <cfRule type="expression" dxfId="43" priority="12">
      <formula>I$65+I$66&gt;=$C$66</formula>
    </cfRule>
  </conditionalFormatting>
  <conditionalFormatting sqref="I66">
    <cfRule type="expression" dxfId="42" priority="11">
      <formula>I$65+I$66&gt;=$C$66</formula>
    </cfRule>
  </conditionalFormatting>
  <conditionalFormatting sqref="J15">
    <cfRule type="cellIs" dxfId="41" priority="10" operator="greaterThan">
      <formula>$C$15</formula>
    </cfRule>
  </conditionalFormatting>
  <conditionalFormatting sqref="J3">
    <cfRule type="cellIs" dxfId="40" priority="9" operator="greaterThan">
      <formula>$C3</formula>
    </cfRule>
  </conditionalFormatting>
  <conditionalFormatting sqref="J51">
    <cfRule type="cellIs" dxfId="39" priority="8" operator="greaterThan">
      <formula>$C51</formula>
    </cfRule>
  </conditionalFormatting>
  <conditionalFormatting sqref="J62">
    <cfRule type="cellIs" dxfId="38" priority="7" operator="greaterThan">
      <formula>$C62</formula>
    </cfRule>
  </conditionalFormatting>
  <conditionalFormatting sqref="J64">
    <cfRule type="cellIs" dxfId="37" priority="6" operator="greaterThan">
      <formula>$C64</formula>
    </cfRule>
  </conditionalFormatting>
  <conditionalFormatting sqref="J12">
    <cfRule type="cellIs" dxfId="36" priority="5" operator="lessThan">
      <formula>$C12</formula>
    </cfRule>
  </conditionalFormatting>
  <conditionalFormatting sqref="J76:J77">
    <cfRule type="cellIs" dxfId="35" priority="4" operator="lessThan">
      <formula>$C76</formula>
    </cfRule>
  </conditionalFormatting>
  <conditionalFormatting sqref="J76:J77">
    <cfRule type="cellIs" dxfId="34" priority="3" operator="lessThan">
      <formula>$C76</formula>
    </cfRule>
  </conditionalFormatting>
  <conditionalFormatting sqref="J65">
    <cfRule type="expression" dxfId="33" priority="2">
      <formula>J$65+J$66&gt;=$C$66</formula>
    </cfRule>
  </conditionalFormatting>
  <conditionalFormatting sqref="J66">
    <cfRule type="expression" dxfId="32" priority="1">
      <formula>J$65+J$66&gt;=$C$66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Entrate_Uscite</vt:lpstr>
      <vt:lpstr>Tav_Entrate</vt:lpstr>
      <vt:lpstr>Tav_Uscite</vt:lpstr>
      <vt:lpstr>Tav_Saldi</vt:lpstr>
      <vt:lpstr>Risultato_amministrazione</vt:lpstr>
      <vt:lpstr>Conto_economico</vt:lpstr>
      <vt:lpstr>Tav_contoeconomico</vt:lpstr>
      <vt:lpstr>Stato_patrimoniale</vt:lpstr>
      <vt:lpstr>Piano_indicatori</vt:lpstr>
      <vt:lpstr>Tav_indicatori</vt:lpstr>
      <vt:lpstr>Popolazione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</dc:creator>
  <cp:lastModifiedBy>Franco</cp:lastModifiedBy>
  <dcterms:created xsi:type="dcterms:W3CDTF">2019-02-06T21:02:13Z</dcterms:created>
  <dcterms:modified xsi:type="dcterms:W3CDTF">2024-12-27T11:56:10Z</dcterms:modified>
</cp:coreProperties>
</file>